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elhasználó\Desktop\"/>
    </mc:Choice>
  </mc:AlternateContent>
  <xr:revisionPtr revIDLastSave="0" documentId="8_{5A0CE581-EC3C-40AF-9769-E5E9B87EF4B4}" xr6:coauthVersionLast="46" xr6:coauthVersionMax="46" xr10:uidLastSave="{00000000-0000-0000-0000-000000000000}"/>
  <bookViews>
    <workbookView xWindow="-120" yWindow="-120" windowWidth="29040" windowHeight="15840" tabRatio="595" firstSheet="1" activeTab="5"/>
  </bookViews>
  <sheets>
    <sheet name="1.sz.mell  Mérleg SBÖNK" sheetId="106" r:id="rId1"/>
    <sheet name="2. meléklet normatva" sheetId="191" r:id="rId2"/>
    <sheet name="3.sz.mérleg  KH " sheetId="134" r:id="rId3"/>
    <sheet name="4.a sz mell. óvoda összevont" sheetId="170" r:id="rId4"/>
    <sheet name="4.bsz mell. mérleg óvoda rész" sheetId="175" r:id="rId5"/>
    <sheet name="5.sz.mell Mérleg Társulás" sheetId="157" r:id="rId6"/>
    <sheet name="6. létszámos önk összevont" sheetId="179" r:id="rId7"/>
    <sheet name="7. felhalmozás SB Kiadás" sheetId="194" r:id="rId8"/>
    <sheet name="7. felhalmozás SBBevétel" sheetId="193" r:id="rId9"/>
    <sheet name=" 8.a. Hitel és stabilitás" sheetId="181" r:id="rId10"/>
    <sheet name="8 .b.többéves " sheetId="182" r:id="rId11"/>
    <sheet name="9.sz.m.Közvetett" sheetId="183" r:id="rId12"/>
    <sheet name="10 .melléklet  Közösen fenntart" sheetId="192" r:id="rId13"/>
    <sheet name="11. maradvány" sheetId="176" r:id="rId14"/>
    <sheet name="12. vagyon" sheetId="177" r:id="rId15"/>
    <sheet name="1 függelék SB" sheetId="190" r:id="rId16"/>
    <sheet name="2. függ. KHCofogosForgalmiKim" sheetId="186" r:id="rId17"/>
    <sheet name="3 függelék  CofogosForg.GDO SBO" sheetId="187" r:id="rId18"/>
    <sheet name="3 füg.Cofogos Konyha" sheetId="188" r:id="rId19"/>
    <sheet name="4 CofForgalmi  Társulás" sheetId="189" r:id="rId20"/>
  </sheets>
  <definedNames>
    <definedName name="_xlnm._FilterDatabase" localSheetId="17" hidden="1">'3 függelék  CofogosForg.GDO SBO'!$A$1:$A$109</definedName>
    <definedName name="_xlnm.Print_Area" localSheetId="9">' 8.a. Hitel és stabilitás'!$A$1:$K$44</definedName>
    <definedName name="_xlnm.Print_Area" localSheetId="15">'1 függelék SB'!$A$1:$F$517</definedName>
    <definedName name="_xlnm.Print_Area" localSheetId="0">'1.sz.mell  Mérleg SBÖNK'!$B$1:$O$46</definedName>
    <definedName name="_xlnm.Print_Area" localSheetId="12">'10 .melléklet  Közösen fenntart'!$A$1:$E$80</definedName>
    <definedName name="_xlnm.Print_Area" localSheetId="14">'12. vagyon'!$A$1:$M$55</definedName>
    <definedName name="_xlnm.Print_Area" localSheetId="16">'2. függ. KHCofogosForgalmiKim'!$A$1:$E$76</definedName>
    <definedName name="_xlnm.Print_Area" localSheetId="1">'2. meléklet normatva'!$A$1:$I$52</definedName>
    <definedName name="_xlnm.Print_Area" localSheetId="18">'3 füg.Cofogos Konyha'!$A$1:$F$101</definedName>
    <definedName name="_xlnm.Print_Area" localSheetId="17">'3 függelék  CofogosForg.GDO SBO'!$A$1:$E$104</definedName>
    <definedName name="_xlnm.Print_Area" localSheetId="2">'3.sz.mérleg  KH '!$A$4:$N$43</definedName>
    <definedName name="_xlnm.Print_Area" localSheetId="19">'4 CofForgalmi  Társulás'!$A$1:$E$46</definedName>
    <definedName name="_xlnm.Print_Area" localSheetId="3">'4.a sz mell. óvoda összevont'!$A$1:$N$45</definedName>
    <definedName name="_xlnm.Print_Area" localSheetId="4">'4.bsz mell. mérleg óvoda rész'!$A$1:$V$44</definedName>
    <definedName name="_xlnm.Print_Area" localSheetId="5">'5.sz.mell Mérleg Társulás'!$A$1:$O$44</definedName>
    <definedName name="_xlnm.Print_Area" localSheetId="6">'6. létszámos önk összevont'!$A$1:$H$50</definedName>
    <definedName name="_xlnm.Print_Area" localSheetId="7">'7. felhalmozás SB Kiadás'!$A$1:$E$62</definedName>
    <definedName name="_xlnm.Print_Area" localSheetId="10">'8 .b.többéves '!$A$1:$H$45</definedName>
    <definedName name="_xlnm.Print_Area" localSheetId="11">'9.sz.m.Közvetett'!$A$1:$M$28</definedName>
  </definedNames>
  <calcPr calcId="191029"/>
</workbook>
</file>

<file path=xl/calcChain.xml><?xml version="1.0" encoding="utf-8"?>
<calcChain xmlns="http://schemas.openxmlformats.org/spreadsheetml/2006/main">
  <c r="F11" i="183" l="1"/>
  <c r="J11" i="183"/>
  <c r="J18" i="183"/>
  <c r="E24" i="189"/>
  <c r="D23" i="189"/>
  <c r="E41" i="189"/>
  <c r="D41" i="189"/>
  <c r="C25" i="192"/>
  <c r="C30" i="192"/>
  <c r="G30" i="192"/>
  <c r="C14" i="194"/>
  <c r="F14" i="194"/>
  <c r="C13" i="194"/>
  <c r="F15" i="194"/>
  <c r="F16" i="194"/>
  <c r="F17" i="194"/>
  <c r="E16" i="194"/>
  <c r="E27" i="194"/>
  <c r="E54" i="194"/>
  <c r="E53" i="194"/>
  <c r="E36" i="194"/>
  <c r="E34" i="194"/>
  <c r="E32" i="194"/>
  <c r="E29" i="194"/>
  <c r="E26" i="194"/>
  <c r="E24" i="194"/>
  <c r="E22" i="194"/>
  <c r="E20" i="194"/>
  <c r="E18" i="194"/>
  <c r="E14" i="194"/>
  <c r="E12" i="194"/>
  <c r="F52" i="194"/>
  <c r="F53" i="194"/>
  <c r="F54" i="194"/>
  <c r="F12" i="194"/>
  <c r="F18" i="194"/>
  <c r="F19" i="194"/>
  <c r="F20" i="194"/>
  <c r="F23" i="194"/>
  <c r="F24" i="194"/>
  <c r="F25" i="194"/>
  <c r="F26" i="194"/>
  <c r="F27" i="194"/>
  <c r="F28" i="194"/>
  <c r="F29" i="194"/>
  <c r="F31" i="194"/>
  <c r="F32" i="194"/>
  <c r="F35" i="194"/>
  <c r="F36" i="194"/>
  <c r="F11" i="194"/>
  <c r="D55" i="194"/>
  <c r="F55" i="194"/>
  <c r="C55" i="194"/>
  <c r="B40" i="194"/>
  <c r="D37" i="194"/>
  <c r="B37" i="194"/>
  <c r="F11" i="188"/>
  <c r="F12" i="188"/>
  <c r="F45" i="188"/>
  <c r="F47" i="188"/>
  <c r="E55" i="187"/>
  <c r="F55" i="187"/>
  <c r="G71" i="187"/>
  <c r="D55" i="187"/>
  <c r="F20" i="175"/>
  <c r="E20" i="175"/>
  <c r="D11" i="187"/>
  <c r="D102" i="187"/>
  <c r="E11" i="187"/>
  <c r="B50" i="193"/>
  <c r="C47" i="193"/>
  <c r="C50" i="193"/>
  <c r="D41" i="193"/>
  <c r="C41" i="193"/>
  <c r="B41" i="193"/>
  <c r="D34" i="193"/>
  <c r="C34" i="193"/>
  <c r="B34" i="193"/>
  <c r="I23" i="193"/>
  <c r="H23" i="193"/>
  <c r="G23" i="193"/>
  <c r="F23" i="193"/>
  <c r="E23" i="193"/>
  <c r="D23" i="193"/>
  <c r="C23" i="193"/>
  <c r="B23" i="193"/>
  <c r="I18" i="193"/>
  <c r="H18" i="193"/>
  <c r="G18" i="193"/>
  <c r="F18" i="193"/>
  <c r="E18" i="193"/>
  <c r="D18" i="193"/>
  <c r="C18" i="193"/>
  <c r="B18" i="193"/>
  <c r="E12" i="188"/>
  <c r="D14" i="188"/>
  <c r="B16" i="192"/>
  <c r="C16" i="192"/>
  <c r="B12" i="192"/>
  <c r="C12" i="192"/>
  <c r="F10" i="192"/>
  <c r="C11" i="192"/>
  <c r="E11" i="192"/>
  <c r="B13" i="192"/>
  <c r="F13" i="192"/>
  <c r="G13" i="192"/>
  <c r="C15" i="192"/>
  <c r="E15" i="192"/>
  <c r="D19" i="192"/>
  <c r="I25" i="192"/>
  <c r="E26" i="192"/>
  <c r="B75" i="192"/>
  <c r="E27" i="192"/>
  <c r="B70" i="192"/>
  <c r="E28" i="192"/>
  <c r="B30" i="192"/>
  <c r="D30" i="192"/>
  <c r="B41" i="192"/>
  <c r="C41" i="192"/>
  <c r="E55" i="192"/>
  <c r="B77" i="192"/>
  <c r="H42" i="181"/>
  <c r="I36" i="181"/>
  <c r="H45" i="191"/>
  <c r="G45" i="191"/>
  <c r="I39" i="191"/>
  <c r="I44" i="191"/>
  <c r="G35" i="191"/>
  <c r="G51" i="191"/>
  <c r="G55" i="191"/>
  <c r="H35" i="191"/>
  <c r="F35" i="191"/>
  <c r="I34" i="191"/>
  <c r="I22" i="191"/>
  <c r="I21" i="191"/>
  <c r="F45" i="191"/>
  <c r="I10" i="191"/>
  <c r="I11" i="191"/>
  <c r="I12" i="191"/>
  <c r="I13" i="191"/>
  <c r="I14" i="191"/>
  <c r="I15" i="191"/>
  <c r="I16" i="191"/>
  <c r="I17" i="191"/>
  <c r="I18" i="191"/>
  <c r="I20" i="191"/>
  <c r="I24" i="191"/>
  <c r="I25" i="191"/>
  <c r="I26" i="191"/>
  <c r="I27" i="191"/>
  <c r="I28" i="191"/>
  <c r="I29" i="191"/>
  <c r="I30" i="191"/>
  <c r="I31" i="191"/>
  <c r="I32" i="191"/>
  <c r="I33" i="191"/>
  <c r="I36" i="191"/>
  <c r="I37" i="191"/>
  <c r="I38" i="191"/>
  <c r="I40" i="191"/>
  <c r="I41" i="191"/>
  <c r="I42" i="191"/>
  <c r="I43" i="191"/>
  <c r="I47" i="191"/>
  <c r="I48" i="191"/>
  <c r="I49" i="191"/>
  <c r="I50" i="191"/>
  <c r="I9" i="191"/>
  <c r="G19" i="191"/>
  <c r="G23" i="191"/>
  <c r="H19" i="191"/>
  <c r="H23" i="191"/>
  <c r="F19" i="191"/>
  <c r="F23" i="191"/>
  <c r="H46" i="191"/>
  <c r="G46" i="191"/>
  <c r="F46" i="191"/>
  <c r="I10" i="175"/>
  <c r="P10" i="175"/>
  <c r="S10" i="175"/>
  <c r="G20" i="175"/>
  <c r="J20" i="175"/>
  <c r="F10" i="175"/>
  <c r="C18" i="182"/>
  <c r="S28" i="170"/>
  <c r="Q30" i="170"/>
  <c r="R30" i="170"/>
  <c r="R29" i="170"/>
  <c r="S29" i="170"/>
  <c r="G50" i="188"/>
  <c r="G20" i="170"/>
  <c r="G19" i="170"/>
  <c r="G17" i="170"/>
  <c r="G10" i="170"/>
  <c r="N28" i="170"/>
  <c r="N26" i="170"/>
  <c r="N9" i="170"/>
  <c r="N10" i="170"/>
  <c r="N12" i="170"/>
  <c r="N8" i="170"/>
  <c r="L32" i="170"/>
  <c r="L40" i="170"/>
  <c r="L15" i="170"/>
  <c r="L25" i="170"/>
  <c r="E24" i="170"/>
  <c r="E15" i="170"/>
  <c r="E42" i="170"/>
  <c r="E492" i="190"/>
  <c r="D492" i="190"/>
  <c r="C492" i="190"/>
  <c r="F491" i="190"/>
  <c r="E489" i="190"/>
  <c r="D489" i="190"/>
  <c r="C489" i="190"/>
  <c r="C493" i="190"/>
  <c r="F488" i="190"/>
  <c r="E487" i="190"/>
  <c r="E486" i="190"/>
  <c r="F486" i="190"/>
  <c r="D486" i="190"/>
  <c r="D487" i="190"/>
  <c r="C486" i="190"/>
  <c r="C487" i="190"/>
  <c r="F485" i="190"/>
  <c r="E484" i="190"/>
  <c r="D484" i="190"/>
  <c r="F484" i="190"/>
  <c r="C484" i="190"/>
  <c r="F483" i="190"/>
  <c r="E479" i="190"/>
  <c r="D479" i="190"/>
  <c r="D480" i="190"/>
  <c r="C479" i="190"/>
  <c r="C480" i="190"/>
  <c r="F478" i="190"/>
  <c r="F476" i="190"/>
  <c r="F475" i="190"/>
  <c r="F474" i="190"/>
  <c r="E470" i="190"/>
  <c r="F470" i="190"/>
  <c r="D470" i="190"/>
  <c r="C470" i="190"/>
  <c r="F469" i="190"/>
  <c r="E468" i="190"/>
  <c r="D468" i="190"/>
  <c r="C468" i="190"/>
  <c r="F466" i="190"/>
  <c r="E464" i="190"/>
  <c r="D464" i="190"/>
  <c r="D471" i="190"/>
  <c r="C464" i="190"/>
  <c r="C471" i="190"/>
  <c r="F463" i="190"/>
  <c r="F462" i="190"/>
  <c r="F461" i="190"/>
  <c r="E459" i="190"/>
  <c r="E460" i="190"/>
  <c r="D459" i="190"/>
  <c r="F459" i="190"/>
  <c r="C459" i="190"/>
  <c r="C460" i="190"/>
  <c r="F458" i="190"/>
  <c r="E454" i="190"/>
  <c r="F454" i="190"/>
  <c r="D454" i="190"/>
  <c r="D455" i="190"/>
  <c r="C454" i="190"/>
  <c r="C455" i="190"/>
  <c r="F453" i="190"/>
  <c r="F452" i="190"/>
  <c r="F451" i="190"/>
  <c r="F450" i="190"/>
  <c r="E448" i="190"/>
  <c r="F448" i="190"/>
  <c r="D448" i="190"/>
  <c r="D449" i="190"/>
  <c r="C448" i="190"/>
  <c r="C449" i="190"/>
  <c r="F447" i="190"/>
  <c r="E444" i="190"/>
  <c r="E443" i="190"/>
  <c r="D443" i="190"/>
  <c r="D444" i="190"/>
  <c r="C443" i="190"/>
  <c r="C444" i="190"/>
  <c r="E437" i="190"/>
  <c r="F437" i="190"/>
  <c r="D437" i="190"/>
  <c r="C437" i="190"/>
  <c r="C438" i="190"/>
  <c r="F436" i="190"/>
  <c r="F435" i="190"/>
  <c r="E434" i="190"/>
  <c r="D434" i="190"/>
  <c r="D438" i="190"/>
  <c r="C434" i="190"/>
  <c r="F433" i="190"/>
  <c r="F432" i="190"/>
  <c r="F431" i="190"/>
  <c r="F430" i="190"/>
  <c r="F429" i="190"/>
  <c r="E427" i="190"/>
  <c r="E428" i="190"/>
  <c r="F428" i="190"/>
  <c r="D427" i="190"/>
  <c r="D428" i="190"/>
  <c r="C427" i="190"/>
  <c r="C428" i="190"/>
  <c r="F426" i="190"/>
  <c r="F425" i="190"/>
  <c r="E421" i="190"/>
  <c r="F421" i="190"/>
  <c r="D421" i="190"/>
  <c r="D422" i="190"/>
  <c r="F422" i="190"/>
  <c r="F420" i="190"/>
  <c r="C420" i="190"/>
  <c r="F419" i="190"/>
  <c r="C419" i="190"/>
  <c r="E415" i="190"/>
  <c r="E416" i="190"/>
  <c r="D415" i="190"/>
  <c r="D416" i="190"/>
  <c r="C415" i="190"/>
  <c r="C416" i="190"/>
  <c r="E412" i="190"/>
  <c r="E413" i="190"/>
  <c r="D412" i="190"/>
  <c r="D413" i="190"/>
  <c r="C412" i="190"/>
  <c r="C413" i="190"/>
  <c r="E408" i="190"/>
  <c r="F408" i="190"/>
  <c r="D408" i="190"/>
  <c r="C408" i="190"/>
  <c r="F407" i="190"/>
  <c r="F406" i="190"/>
  <c r="E405" i="190"/>
  <c r="D405" i="190"/>
  <c r="C405" i="190"/>
  <c r="C409" i="190"/>
  <c r="F404" i="190"/>
  <c r="F403" i="190"/>
  <c r="F402" i="190"/>
  <c r="E400" i="190"/>
  <c r="D400" i="190"/>
  <c r="D401" i="190"/>
  <c r="C400" i="190"/>
  <c r="C401" i="190"/>
  <c r="F399" i="190"/>
  <c r="E395" i="190"/>
  <c r="D395" i="190"/>
  <c r="D396" i="190"/>
  <c r="C395" i="190"/>
  <c r="C396" i="190"/>
  <c r="F394" i="190"/>
  <c r="E390" i="190"/>
  <c r="F390" i="190"/>
  <c r="D390" i="190"/>
  <c r="C390" i="190"/>
  <c r="F389" i="190"/>
  <c r="F388" i="190"/>
  <c r="E387" i="190"/>
  <c r="D387" i="190"/>
  <c r="C387" i="190"/>
  <c r="C391" i="190"/>
  <c r="F386" i="190"/>
  <c r="F385" i="190"/>
  <c r="F384" i="190"/>
  <c r="F383" i="190"/>
  <c r="F382" i="190"/>
  <c r="F381" i="190"/>
  <c r="F380" i="190"/>
  <c r="F379" i="190"/>
  <c r="F378" i="190"/>
  <c r="F377" i="190"/>
  <c r="D376" i="190"/>
  <c r="F376" i="190"/>
  <c r="C376" i="190"/>
  <c r="E375" i="190"/>
  <c r="F375" i="190"/>
  <c r="E374" i="190"/>
  <c r="D374" i="190"/>
  <c r="F374" i="190"/>
  <c r="C374" i="190"/>
  <c r="F373" i="190"/>
  <c r="F372" i="190"/>
  <c r="F371" i="190"/>
  <c r="F370" i="190"/>
  <c r="F369" i="190"/>
  <c r="F368" i="190"/>
  <c r="D367" i="190"/>
  <c r="E366" i="190"/>
  <c r="D366" i="190"/>
  <c r="C366" i="190"/>
  <c r="C367" i="190"/>
  <c r="F365" i="190"/>
  <c r="E361" i="190"/>
  <c r="D361" i="190"/>
  <c r="C361" i="190"/>
  <c r="E358" i="190"/>
  <c r="E362" i="190"/>
  <c r="D358" i="190"/>
  <c r="C358" i="190"/>
  <c r="C362" i="190"/>
  <c r="F357" i="190"/>
  <c r="F356" i="190"/>
  <c r="F355" i="190"/>
  <c r="F354" i="190"/>
  <c r="F353" i="190"/>
  <c r="F352" i="190"/>
  <c r="E349" i="190"/>
  <c r="E350" i="190"/>
  <c r="D349" i="190"/>
  <c r="D350" i="190"/>
  <c r="F350" i="190"/>
  <c r="C349" i="190"/>
  <c r="C350" i="190"/>
  <c r="F348" i="190"/>
  <c r="F347" i="190"/>
  <c r="F346" i="190"/>
  <c r="E342" i="190"/>
  <c r="F342" i="190"/>
  <c r="D342" i="190"/>
  <c r="D343" i="190"/>
  <c r="C342" i="190"/>
  <c r="C343" i="190"/>
  <c r="F341" i="190"/>
  <c r="F340" i="190"/>
  <c r="F339" i="190"/>
  <c r="F338" i="190"/>
  <c r="F337" i="190"/>
  <c r="E333" i="190"/>
  <c r="F333" i="190"/>
  <c r="D333" i="190"/>
  <c r="F332" i="190"/>
  <c r="C332" i="190"/>
  <c r="C333" i="190"/>
  <c r="F331" i="190"/>
  <c r="F330" i="190"/>
  <c r="F329" i="190"/>
  <c r="F328" i="190"/>
  <c r="E327" i="190"/>
  <c r="D327" i="190"/>
  <c r="C327" i="190"/>
  <c r="F326" i="190"/>
  <c r="E325" i="190"/>
  <c r="F325" i="190"/>
  <c r="D325" i="190"/>
  <c r="F324" i="190"/>
  <c r="C324" i="190"/>
  <c r="C325" i="190"/>
  <c r="E322" i="190"/>
  <c r="D322" i="190"/>
  <c r="D323" i="190"/>
  <c r="C322" i="190"/>
  <c r="C323" i="190"/>
  <c r="F321" i="190"/>
  <c r="D318" i="190"/>
  <c r="F318" i="190"/>
  <c r="E317" i="190"/>
  <c r="D317" i="190"/>
  <c r="C317" i="190"/>
  <c r="C318" i="190"/>
  <c r="F316" i="190"/>
  <c r="F315" i="190"/>
  <c r="F314" i="190"/>
  <c r="F313" i="190"/>
  <c r="F312" i="190"/>
  <c r="F311" i="190"/>
  <c r="F307" i="190"/>
  <c r="E307" i="190"/>
  <c r="D307" i="190"/>
  <c r="C307" i="190"/>
  <c r="C308" i="190"/>
  <c r="F306" i="190"/>
  <c r="F305" i="190"/>
  <c r="E304" i="190"/>
  <c r="D304" i="190"/>
  <c r="C304" i="190"/>
  <c r="E301" i="190"/>
  <c r="D301" i="190"/>
  <c r="F301" i="190"/>
  <c r="C301" i="190"/>
  <c r="F300" i="190"/>
  <c r="C300" i="190"/>
  <c r="E299" i="190"/>
  <c r="E308" i="190"/>
  <c r="D299" i="190"/>
  <c r="D308" i="190"/>
  <c r="F308" i="190"/>
  <c r="C299" i="190"/>
  <c r="E294" i="190"/>
  <c r="F294" i="190"/>
  <c r="D294" i="190"/>
  <c r="D295" i="190"/>
  <c r="C294" i="190"/>
  <c r="F293" i="190"/>
  <c r="E292" i="190"/>
  <c r="F292" i="190"/>
  <c r="D292" i="190"/>
  <c r="F291" i="190"/>
  <c r="C291" i="190"/>
  <c r="C292" i="190"/>
  <c r="C295" i="190"/>
  <c r="E287" i="190"/>
  <c r="E288" i="190"/>
  <c r="D287" i="190"/>
  <c r="F287" i="190"/>
  <c r="C287" i="190"/>
  <c r="C288" i="190"/>
  <c r="F286" i="190"/>
  <c r="F285" i="190"/>
  <c r="E281" i="190"/>
  <c r="D281" i="190"/>
  <c r="C281" i="190"/>
  <c r="C282" i="190"/>
  <c r="F280" i="190"/>
  <c r="F279" i="190"/>
  <c r="F278" i="190"/>
  <c r="F277" i="190"/>
  <c r="E277" i="190"/>
  <c r="F276" i="190"/>
  <c r="F275" i="190"/>
  <c r="F274" i="190"/>
  <c r="F273" i="190"/>
  <c r="F272" i="190"/>
  <c r="F271" i="190"/>
  <c r="D270" i="190"/>
  <c r="C270" i="190"/>
  <c r="F269" i="190"/>
  <c r="E269" i="190"/>
  <c r="E270" i="190"/>
  <c r="F270" i="190"/>
  <c r="E268" i="190"/>
  <c r="D268" i="190"/>
  <c r="C268" i="190"/>
  <c r="F267" i="190"/>
  <c r="F266" i="190"/>
  <c r="F265" i="190"/>
  <c r="F264" i="190"/>
  <c r="F263" i="190"/>
  <c r="F262" i="190"/>
  <c r="C261" i="190"/>
  <c r="E260" i="190"/>
  <c r="E261" i="190"/>
  <c r="D260" i="190"/>
  <c r="F260" i="190"/>
  <c r="C260" i="190"/>
  <c r="F259" i="190"/>
  <c r="E255" i="190"/>
  <c r="D255" i="190"/>
  <c r="C255" i="190"/>
  <c r="F254" i="190"/>
  <c r="F253" i="190"/>
  <c r="D252" i="190"/>
  <c r="D256" i="190"/>
  <c r="C252" i="190"/>
  <c r="F251" i="190"/>
  <c r="F250" i="190"/>
  <c r="E249" i="190"/>
  <c r="F248" i="190"/>
  <c r="F247" i="190"/>
  <c r="F246" i="190"/>
  <c r="F245" i="190"/>
  <c r="E244" i="190"/>
  <c r="D244" i="190"/>
  <c r="F244" i="190"/>
  <c r="C244" i="190"/>
  <c r="F243" i="190"/>
  <c r="E242" i="190"/>
  <c r="D242" i="190"/>
  <c r="C242" i="190"/>
  <c r="F241" i="190"/>
  <c r="F240" i="190"/>
  <c r="F239" i="190"/>
  <c r="F238" i="190"/>
  <c r="D236" i="190"/>
  <c r="C236" i="190"/>
  <c r="C237" i="190"/>
  <c r="E235" i="190"/>
  <c r="F235" i="190"/>
  <c r="E233" i="190"/>
  <c r="F233" i="190"/>
  <c r="D233" i="190"/>
  <c r="C233" i="190"/>
  <c r="F232" i="190"/>
  <c r="F231" i="190"/>
  <c r="E231" i="190"/>
  <c r="D231" i="190"/>
  <c r="D237" i="190"/>
  <c r="C231" i="190"/>
  <c r="F230" i="190"/>
  <c r="E226" i="190"/>
  <c r="D226" i="190"/>
  <c r="C226" i="190"/>
  <c r="F225" i="190"/>
  <c r="F224" i="190"/>
  <c r="D223" i="190"/>
  <c r="D227" i="190"/>
  <c r="C223" i="190"/>
  <c r="F222" i="190"/>
  <c r="F221" i="190"/>
  <c r="E220" i="190"/>
  <c r="F219" i="190"/>
  <c r="F218" i="190"/>
  <c r="F217" i="190"/>
  <c r="E215" i="190"/>
  <c r="E216" i="190"/>
  <c r="D215" i="190"/>
  <c r="D511" i="190"/>
  <c r="C215" i="190"/>
  <c r="F214" i="190"/>
  <c r="E211" i="190"/>
  <c r="F210" i="190"/>
  <c r="E210" i="190"/>
  <c r="D210" i="190"/>
  <c r="D211" i="190"/>
  <c r="F211" i="190"/>
  <c r="C210" i="190"/>
  <c r="C211" i="190"/>
  <c r="F209" i="190"/>
  <c r="F208" i="190"/>
  <c r="F207" i="190"/>
  <c r="E203" i="190"/>
  <c r="D203" i="190"/>
  <c r="C203" i="190"/>
  <c r="F201" i="190"/>
  <c r="E200" i="190"/>
  <c r="E204" i="190"/>
  <c r="D200" i="190"/>
  <c r="D204" i="190"/>
  <c r="F204" i="190"/>
  <c r="C200" i="190"/>
  <c r="F199" i="190"/>
  <c r="F198" i="190"/>
  <c r="F197" i="190"/>
  <c r="E196" i="190"/>
  <c r="D196" i="190"/>
  <c r="C196" i="190"/>
  <c r="C204" i="190"/>
  <c r="F195" i="190"/>
  <c r="F193" i="190"/>
  <c r="E193" i="190"/>
  <c r="E194" i="190"/>
  <c r="D193" i="190"/>
  <c r="D194" i="190"/>
  <c r="C193" i="190"/>
  <c r="C194" i="190"/>
  <c r="F192" i="190"/>
  <c r="F188" i="190"/>
  <c r="E188" i="190"/>
  <c r="E503" i="190"/>
  <c r="F503" i="190"/>
  <c r="D188" i="190"/>
  <c r="D503" i="190"/>
  <c r="C188" i="190"/>
  <c r="C503" i="190"/>
  <c r="F187" i="190"/>
  <c r="E186" i="190"/>
  <c r="E189" i="190"/>
  <c r="D186" i="190"/>
  <c r="D189" i="190"/>
  <c r="F189" i="190"/>
  <c r="C186" i="190"/>
  <c r="C189" i="190"/>
  <c r="F185" i="190"/>
  <c r="E184" i="190"/>
  <c r="D184" i="190"/>
  <c r="E183" i="190"/>
  <c r="D183" i="190"/>
  <c r="D513" i="190"/>
  <c r="C183" i="190"/>
  <c r="C513" i="190"/>
  <c r="C184" i="190"/>
  <c r="F182" i="190"/>
  <c r="E178" i="190"/>
  <c r="F178" i="190"/>
  <c r="E179" i="190"/>
  <c r="F179" i="190"/>
  <c r="D178" i="190"/>
  <c r="C178" i="190"/>
  <c r="F177" i="190"/>
  <c r="F176" i="190"/>
  <c r="E175" i="190"/>
  <c r="D175" i="190"/>
  <c r="D179" i="190"/>
  <c r="C175" i="190"/>
  <c r="C179" i="190"/>
  <c r="F174" i="190"/>
  <c r="C174" i="190"/>
  <c r="F173" i="190"/>
  <c r="F172" i="190"/>
  <c r="D168" i="190"/>
  <c r="C168" i="190"/>
  <c r="F167" i="190"/>
  <c r="F166" i="190"/>
  <c r="E165" i="190"/>
  <c r="E168" i="190"/>
  <c r="F164" i="190"/>
  <c r="F163" i="190"/>
  <c r="E162" i="190"/>
  <c r="D162" i="190"/>
  <c r="D169" i="190"/>
  <c r="C162" i="190"/>
  <c r="F161" i="190"/>
  <c r="E160" i="190"/>
  <c r="D160" i="190"/>
  <c r="C160" i="190"/>
  <c r="F159" i="190"/>
  <c r="E157" i="190"/>
  <c r="E158" i="190"/>
  <c r="D157" i="190"/>
  <c r="D158" i="190"/>
  <c r="C157" i="190"/>
  <c r="C158" i="190"/>
  <c r="F156" i="190"/>
  <c r="E152" i="190"/>
  <c r="F152" i="190"/>
  <c r="D152" i="190"/>
  <c r="C152" i="190"/>
  <c r="F151" i="190"/>
  <c r="F150" i="190"/>
  <c r="E149" i="190"/>
  <c r="D149" i="190"/>
  <c r="C149" i="190"/>
  <c r="F148" i="190"/>
  <c r="F147" i="190"/>
  <c r="E146" i="190"/>
  <c r="F146" i="190"/>
  <c r="D146" i="190"/>
  <c r="C146" i="190"/>
  <c r="F145" i="190"/>
  <c r="F144" i="190"/>
  <c r="F143" i="190"/>
  <c r="E142" i="190"/>
  <c r="F142" i="190"/>
  <c r="D142" i="190"/>
  <c r="D153" i="190"/>
  <c r="C142" i="190"/>
  <c r="F141" i="190"/>
  <c r="E140" i="190"/>
  <c r="D140" i="190"/>
  <c r="C140" i="190"/>
  <c r="F139" i="190"/>
  <c r="E137" i="190"/>
  <c r="F137" i="190"/>
  <c r="D137" i="190"/>
  <c r="C137" i="190"/>
  <c r="F136" i="190"/>
  <c r="E135" i="190"/>
  <c r="D135" i="190"/>
  <c r="D508" i="190"/>
  <c r="C135" i="190"/>
  <c r="F134" i="190"/>
  <c r="E133" i="190"/>
  <c r="D133" i="190"/>
  <c r="C133" i="190"/>
  <c r="C138" i="190"/>
  <c r="F132" i="190"/>
  <c r="E128" i="190"/>
  <c r="D128" i="190"/>
  <c r="C128" i="190"/>
  <c r="C501" i="190"/>
  <c r="E125" i="190"/>
  <c r="D125" i="190"/>
  <c r="C125" i="190"/>
  <c r="F122" i="190"/>
  <c r="E121" i="190"/>
  <c r="D121" i="190"/>
  <c r="F121" i="190"/>
  <c r="C121" i="190"/>
  <c r="C129" i="190"/>
  <c r="F120" i="190"/>
  <c r="E119" i="190"/>
  <c r="E129" i="190"/>
  <c r="D119" i="190"/>
  <c r="C119" i="190"/>
  <c r="F117" i="190"/>
  <c r="E115" i="190"/>
  <c r="D115" i="190"/>
  <c r="C115" i="190"/>
  <c r="E113" i="190"/>
  <c r="E116" i="190"/>
  <c r="F116" i="190"/>
  <c r="D113" i="190"/>
  <c r="D116" i="190"/>
  <c r="C113" i="190"/>
  <c r="C116" i="190"/>
  <c r="F112" i="190"/>
  <c r="F108" i="190"/>
  <c r="E108" i="190"/>
  <c r="E109" i="190"/>
  <c r="D108" i="190"/>
  <c r="D109" i="190"/>
  <c r="C108" i="190"/>
  <c r="C109" i="190"/>
  <c r="F107" i="190"/>
  <c r="F106" i="190"/>
  <c r="F105" i="190"/>
  <c r="E101" i="190"/>
  <c r="D101" i="190"/>
  <c r="C101" i="190"/>
  <c r="F100" i="190"/>
  <c r="E99" i="190"/>
  <c r="C99" i="190"/>
  <c r="F97" i="190"/>
  <c r="F95" i="190"/>
  <c r="D94" i="190"/>
  <c r="D99" i="190"/>
  <c r="F99" i="190"/>
  <c r="F93" i="190"/>
  <c r="E91" i="190"/>
  <c r="D91" i="190"/>
  <c r="C91" i="190"/>
  <c r="F90" i="190"/>
  <c r="F89" i="190"/>
  <c r="E88" i="190"/>
  <c r="D88" i="190"/>
  <c r="D92" i="190"/>
  <c r="C88" i="190"/>
  <c r="F87" i="190"/>
  <c r="E83" i="190"/>
  <c r="E504" i="190"/>
  <c r="D83" i="190"/>
  <c r="C83" i="190"/>
  <c r="C84" i="190"/>
  <c r="F82" i="190"/>
  <c r="E81" i="190"/>
  <c r="C81" i="190"/>
  <c r="C500" i="190"/>
  <c r="D80" i="190"/>
  <c r="F79" i="190"/>
  <c r="F78" i="190"/>
  <c r="F77" i="190"/>
  <c r="F76" i="190"/>
  <c r="E74" i="190"/>
  <c r="D74" i="190"/>
  <c r="C74" i="190"/>
  <c r="F73" i="190"/>
  <c r="E72" i="190"/>
  <c r="D72" i="190"/>
  <c r="D75" i="190"/>
  <c r="C72" i="190"/>
  <c r="F71" i="190"/>
  <c r="F70" i="190"/>
  <c r="E70" i="190"/>
  <c r="E507" i="190"/>
  <c r="D70" i="190"/>
  <c r="D507" i="190"/>
  <c r="C70" i="190"/>
  <c r="C507" i="190"/>
  <c r="F69" i="190"/>
  <c r="F68" i="190"/>
  <c r="F67" i="190"/>
  <c r="F66" i="190"/>
  <c r="F65" i="190"/>
  <c r="F64" i="190"/>
  <c r="F63" i="190"/>
  <c r="E59" i="190"/>
  <c r="F59" i="190"/>
  <c r="D59" i="190"/>
  <c r="C59" i="190"/>
  <c r="F58" i="190"/>
  <c r="F57" i="190"/>
  <c r="E56" i="190"/>
  <c r="D56" i="190"/>
  <c r="C56" i="190"/>
  <c r="F55" i="190"/>
  <c r="F54" i="190"/>
  <c r="E53" i="190"/>
  <c r="F53" i="190"/>
  <c r="D53" i="190"/>
  <c r="D60" i="190"/>
  <c r="C53" i="190"/>
  <c r="C60" i="190"/>
  <c r="F51" i="190"/>
  <c r="F50" i="190"/>
  <c r="F49" i="190"/>
  <c r="E47" i="190"/>
  <c r="E48" i="190"/>
  <c r="D47" i="190"/>
  <c r="D512" i="190"/>
  <c r="C47" i="190"/>
  <c r="C512" i="190"/>
  <c r="F46" i="190"/>
  <c r="E45" i="190"/>
  <c r="D45" i="190"/>
  <c r="C45" i="190"/>
  <c r="C48" i="190"/>
  <c r="F44" i="190"/>
  <c r="F43" i="190"/>
  <c r="F42" i="190"/>
  <c r="F41" i="190"/>
  <c r="E37" i="190"/>
  <c r="E502" i="190"/>
  <c r="F502" i="190"/>
  <c r="D37" i="190"/>
  <c r="C36" i="190"/>
  <c r="C37" i="190"/>
  <c r="C502" i="190"/>
  <c r="F34" i="190"/>
  <c r="E34" i="190"/>
  <c r="E38" i="190"/>
  <c r="D34" i="190"/>
  <c r="D38" i="190"/>
  <c r="C34" i="190"/>
  <c r="C38" i="190"/>
  <c r="F33" i="190"/>
  <c r="F32" i="190"/>
  <c r="F31" i="190"/>
  <c r="F30" i="190"/>
  <c r="F29" i="190"/>
  <c r="E27" i="190"/>
  <c r="F27" i="190"/>
  <c r="D27" i="190"/>
  <c r="C27" i="190"/>
  <c r="C28" i="190"/>
  <c r="F26" i="190"/>
  <c r="E22" i="190"/>
  <c r="D22" i="190"/>
  <c r="D498" i="190"/>
  <c r="C22" i="190"/>
  <c r="F21" i="190"/>
  <c r="F20" i="190"/>
  <c r="F19" i="190"/>
  <c r="F18" i="190"/>
  <c r="F17" i="190"/>
  <c r="F16" i="190"/>
  <c r="F15" i="190"/>
  <c r="F14" i="190"/>
  <c r="E13" i="190"/>
  <c r="D13" i="190"/>
  <c r="D497" i="190"/>
  <c r="F497" i="190"/>
  <c r="C13" i="190"/>
  <c r="C497" i="190"/>
  <c r="F12" i="190"/>
  <c r="E11" i="190"/>
  <c r="D11" i="190"/>
  <c r="C11" i="190"/>
  <c r="F10" i="190"/>
  <c r="E8" i="190"/>
  <c r="E9" i="190"/>
  <c r="D8" i="190"/>
  <c r="C8" i="190"/>
  <c r="C9" i="190"/>
  <c r="F7" i="190"/>
  <c r="F168" i="190"/>
  <c r="E169" i="190"/>
  <c r="F468" i="190"/>
  <c r="D499" i="190"/>
  <c r="F11" i="190"/>
  <c r="E23" i="190"/>
  <c r="F23" i="190"/>
  <c r="D509" i="190"/>
  <c r="D28" i="190"/>
  <c r="F47" i="190"/>
  <c r="F74" i="190"/>
  <c r="F88" i="190"/>
  <c r="D514" i="190"/>
  <c r="F113" i="190"/>
  <c r="F119" i="190"/>
  <c r="F165" i="190"/>
  <c r="F200" i="190"/>
  <c r="F203" i="190"/>
  <c r="D216" i="190"/>
  <c r="F216" i="190"/>
  <c r="F226" i="190"/>
  <c r="F242" i="190"/>
  <c r="F255" i="190"/>
  <c r="D261" i="190"/>
  <c r="F261" i="190"/>
  <c r="F281" i="190"/>
  <c r="D334" i="190"/>
  <c r="E343" i="190"/>
  <c r="F343" i="190"/>
  <c r="D362" i="190"/>
  <c r="F362" i="190"/>
  <c r="E409" i="190"/>
  <c r="C421" i="190"/>
  <c r="C422" i="190"/>
  <c r="E471" i="190"/>
  <c r="F471" i="190"/>
  <c r="F464" i="190"/>
  <c r="D493" i="190"/>
  <c r="C514" i="190"/>
  <c r="E102" i="190"/>
  <c r="C509" i="190"/>
  <c r="F13" i="190"/>
  <c r="F22" i="190"/>
  <c r="E509" i="190"/>
  <c r="E28" i="190"/>
  <c r="F28" i="190"/>
  <c r="E506" i="190"/>
  <c r="C75" i="190"/>
  <c r="F94" i="190"/>
  <c r="C102" i="190"/>
  <c r="F175" i="190"/>
  <c r="E513" i="190"/>
  <c r="F513" i="190"/>
  <c r="F183" i="190"/>
  <c r="F196" i="190"/>
  <c r="C256" i="190"/>
  <c r="F317" i="190"/>
  <c r="F327" i="190"/>
  <c r="E334" i="190"/>
  <c r="E512" i="190"/>
  <c r="F512" i="190"/>
  <c r="E449" i="190"/>
  <c r="F449" i="190"/>
  <c r="E455" i="190"/>
  <c r="F455" i="190"/>
  <c r="F487" i="190"/>
  <c r="F489" i="190"/>
  <c r="C499" i="190"/>
  <c r="D23" i="190"/>
  <c r="E511" i="190"/>
  <c r="F511" i="190"/>
  <c r="F215" i="190"/>
  <c r="D501" i="190"/>
  <c r="D502" i="190"/>
  <c r="E508" i="190"/>
  <c r="F508" i="190"/>
  <c r="E252" i="190"/>
  <c r="F249" i="190"/>
  <c r="E282" i="190"/>
  <c r="C334" i="190"/>
  <c r="E422" i="190"/>
  <c r="D460" i="190"/>
  <c r="E236" i="190"/>
  <c r="F236" i="190"/>
  <c r="E295" i="190"/>
  <c r="F295" i="190"/>
  <c r="E318" i="190"/>
  <c r="E367" i="190"/>
  <c r="F367" i="190"/>
  <c r="E376" i="190"/>
  <c r="E391" i="190"/>
  <c r="F186" i="190"/>
  <c r="F366" i="190"/>
  <c r="E237" i="190"/>
  <c r="F237" i="190"/>
  <c r="E497" i="190"/>
  <c r="F334" i="190"/>
  <c r="E256" i="190"/>
  <c r="F256" i="190"/>
  <c r="F252" i="190"/>
  <c r="J32" i="134"/>
  <c r="K32" i="134"/>
  <c r="K40" i="134"/>
  <c r="L32" i="134"/>
  <c r="L40" i="134"/>
  <c r="M32" i="134"/>
  <c r="E24" i="134"/>
  <c r="E43" i="134"/>
  <c r="D24" i="134"/>
  <c r="D43" i="134"/>
  <c r="C16" i="134"/>
  <c r="D16" i="134"/>
  <c r="D25" i="134"/>
  <c r="D41" i="134"/>
  <c r="E16" i="134"/>
  <c r="E42" i="134"/>
  <c r="E44" i="134"/>
  <c r="F16" i="134"/>
  <c r="E48" i="186"/>
  <c r="E47" i="186"/>
  <c r="D48" i="186"/>
  <c r="D51" i="186"/>
  <c r="D60" i="186"/>
  <c r="D62" i="186"/>
  <c r="E62" i="186"/>
  <c r="C62" i="186"/>
  <c r="D53" i="186"/>
  <c r="E53" i="186"/>
  <c r="C53" i="186"/>
  <c r="J16" i="134"/>
  <c r="K16" i="134"/>
  <c r="K25" i="134"/>
  <c r="L16" i="134"/>
  <c r="L25" i="134"/>
  <c r="L41" i="134"/>
  <c r="M16" i="134"/>
  <c r="E39" i="186"/>
  <c r="E51" i="186"/>
  <c r="E60" i="186"/>
  <c r="D32" i="186"/>
  <c r="E30" i="186"/>
  <c r="E31" i="186"/>
  <c r="D30" i="186"/>
  <c r="D31" i="186"/>
  <c r="D57" i="186"/>
  <c r="D20" i="186"/>
  <c r="E20" i="186"/>
  <c r="C20" i="186"/>
  <c r="D12" i="186"/>
  <c r="E12" i="186"/>
  <c r="D9" i="186"/>
  <c r="E9" i="186"/>
  <c r="C9" i="186"/>
  <c r="E55" i="186"/>
  <c r="E56" i="186"/>
  <c r="E63" i="186"/>
  <c r="E16" i="186"/>
  <c r="E70" i="186"/>
  <c r="E75" i="186"/>
  <c r="E7" i="186"/>
  <c r="E67" i="186"/>
  <c r="D55" i="186"/>
  <c r="D56" i="186"/>
  <c r="D63" i="186"/>
  <c r="D16" i="186"/>
  <c r="D70" i="186"/>
  <c r="D75" i="186"/>
  <c r="D7" i="186"/>
  <c r="D67" i="186"/>
  <c r="N26" i="134"/>
  <c r="N13" i="134"/>
  <c r="N14" i="134"/>
  <c r="N15" i="134"/>
  <c r="N12" i="134"/>
  <c r="G21" i="134"/>
  <c r="G18" i="134"/>
  <c r="G13" i="134"/>
  <c r="G14" i="134"/>
  <c r="G12" i="134"/>
  <c r="N44" i="106"/>
  <c r="N41" i="106"/>
  <c r="F57" i="188"/>
  <c r="E78" i="188"/>
  <c r="F78" i="188"/>
  <c r="F88" i="188"/>
  <c r="D78" i="188"/>
  <c r="M15" i="175"/>
  <c r="E48" i="188"/>
  <c r="F20" i="188"/>
  <c r="F7" i="188"/>
  <c r="F8" i="188"/>
  <c r="F95" i="188"/>
  <c r="E7" i="188"/>
  <c r="E8" i="188"/>
  <c r="E41" i="188"/>
  <c r="E88" i="188"/>
  <c r="F41" i="188"/>
  <c r="D41" i="188"/>
  <c r="D88" i="188"/>
  <c r="D14" i="187"/>
  <c r="D98" i="187"/>
  <c r="E14" i="187"/>
  <c r="E98" i="187"/>
  <c r="C14" i="187"/>
  <c r="C98" i="187"/>
  <c r="D17" i="187"/>
  <c r="D18" i="187"/>
  <c r="E17" i="187"/>
  <c r="E18" i="187"/>
  <c r="E87" i="187"/>
  <c r="C17" i="187"/>
  <c r="C87" i="187"/>
  <c r="D75" i="187"/>
  <c r="D88" i="187"/>
  <c r="E75" i="187"/>
  <c r="E66" i="187"/>
  <c r="H68" i="187"/>
  <c r="G68" i="187"/>
  <c r="I68" i="187"/>
  <c r="J68" i="187"/>
  <c r="I55" i="187"/>
  <c r="E46" i="187"/>
  <c r="E83" i="187"/>
  <c r="E26" i="187"/>
  <c r="D26" i="187"/>
  <c r="C77" i="187"/>
  <c r="C78" i="187"/>
  <c r="C89" i="187"/>
  <c r="C74" i="187"/>
  <c r="C75" i="187"/>
  <c r="C88" i="187"/>
  <c r="C67" i="187"/>
  <c r="F68" i="187"/>
  <c r="C64" i="187"/>
  <c r="C57" i="187"/>
  <c r="D78" i="187"/>
  <c r="D89" i="187"/>
  <c r="D57" i="187"/>
  <c r="I58" i="187"/>
  <c r="C49" i="187"/>
  <c r="C48" i="187"/>
  <c r="C44" i="187"/>
  <c r="C43" i="187"/>
  <c r="C41" i="187"/>
  <c r="D44" i="187"/>
  <c r="D46" i="187"/>
  <c r="C36" i="187"/>
  <c r="C37" i="187"/>
  <c r="C35" i="187"/>
  <c r="D37" i="187"/>
  <c r="D35" i="187"/>
  <c r="C29" i="187"/>
  <c r="C28" i="187"/>
  <c r="C30" i="187"/>
  <c r="C31" i="187"/>
  <c r="C24" i="187"/>
  <c r="C23" i="187"/>
  <c r="C21" i="187"/>
  <c r="D30" i="187"/>
  <c r="D31" i="187"/>
  <c r="C9" i="187"/>
  <c r="C11" i="187"/>
  <c r="F75" i="188"/>
  <c r="F83" i="188"/>
  <c r="F48" i="188"/>
  <c r="F37" i="188"/>
  <c r="E75" i="188"/>
  <c r="E83" i="188"/>
  <c r="E56" i="188"/>
  <c r="E57" i="188"/>
  <c r="E35" i="188"/>
  <c r="E19" i="188"/>
  <c r="E82" i="188"/>
  <c r="E18" i="188"/>
  <c r="E20" i="188"/>
  <c r="D10" i="189"/>
  <c r="E10" i="189"/>
  <c r="C10" i="189"/>
  <c r="C11" i="189"/>
  <c r="E20" i="189"/>
  <c r="E45" i="189"/>
  <c r="E18" i="189"/>
  <c r="E37" i="189"/>
  <c r="E21" i="189"/>
  <c r="E13" i="189"/>
  <c r="E28" i="189"/>
  <c r="E11" i="189"/>
  <c r="D24" i="189"/>
  <c r="D34" i="189"/>
  <c r="D20" i="189"/>
  <c r="D45" i="189"/>
  <c r="D18" i="189"/>
  <c r="D21" i="189"/>
  <c r="D13" i="189"/>
  <c r="D28" i="189"/>
  <c r="D11" i="189"/>
  <c r="D44" i="157"/>
  <c r="E44" i="157"/>
  <c r="F44" i="157"/>
  <c r="G44" i="157"/>
  <c r="F43" i="157"/>
  <c r="G43" i="157"/>
  <c r="G26" i="157"/>
  <c r="D25" i="157"/>
  <c r="D26" i="157"/>
  <c r="E25" i="157"/>
  <c r="F25" i="157"/>
  <c r="F26" i="157"/>
  <c r="F42" i="157"/>
  <c r="G25" i="157"/>
  <c r="H18" i="157"/>
  <c r="D16" i="157"/>
  <c r="E16" i="157"/>
  <c r="E43" i="157"/>
  <c r="F16" i="157"/>
  <c r="G16" i="157"/>
  <c r="H16" i="157"/>
  <c r="C16" i="157"/>
  <c r="H12" i="157"/>
  <c r="H10" i="157"/>
  <c r="M26" i="157"/>
  <c r="M42" i="157"/>
  <c r="K16" i="157"/>
  <c r="L16" i="157"/>
  <c r="L26" i="157"/>
  <c r="L42" i="157"/>
  <c r="M16" i="157"/>
  <c r="N16" i="157"/>
  <c r="O15" i="157"/>
  <c r="O11" i="157"/>
  <c r="F31" i="106"/>
  <c r="F38" i="106"/>
  <c r="G31" i="106"/>
  <c r="H31" i="106"/>
  <c r="H25" i="106"/>
  <c r="H26" i="106"/>
  <c r="H27" i="106"/>
  <c r="F24" i="106"/>
  <c r="H24" i="106"/>
  <c r="G8" i="106"/>
  <c r="F8" i="106"/>
  <c r="H9" i="106"/>
  <c r="H10" i="106"/>
  <c r="H11" i="106"/>
  <c r="H7" i="106"/>
  <c r="G16" i="106"/>
  <c r="K37" i="106"/>
  <c r="L37" i="106"/>
  <c r="M37" i="106"/>
  <c r="N37" i="106"/>
  <c r="K22" i="106"/>
  <c r="L22" i="106"/>
  <c r="M22" i="106"/>
  <c r="N22" i="106"/>
  <c r="J22" i="106"/>
  <c r="N25" i="106"/>
  <c r="O25" i="106"/>
  <c r="O26" i="106"/>
  <c r="O27" i="106"/>
  <c r="O29" i="106"/>
  <c r="O30" i="106"/>
  <c r="O24" i="106"/>
  <c r="K31" i="106"/>
  <c r="K38" i="106"/>
  <c r="L31" i="106"/>
  <c r="L38" i="106"/>
  <c r="M31" i="106"/>
  <c r="M38" i="106"/>
  <c r="N31" i="106"/>
  <c r="M13" i="106"/>
  <c r="M11" i="106"/>
  <c r="F16" i="106"/>
  <c r="G22" i="106"/>
  <c r="H18" i="106"/>
  <c r="H16" i="106"/>
  <c r="F14" i="106"/>
  <c r="F37" i="106"/>
  <c r="F20" i="106"/>
  <c r="F22" i="106"/>
  <c r="F23" i="106"/>
  <c r="O19" i="106"/>
  <c r="O21" i="106"/>
  <c r="O16" i="106"/>
  <c r="N11" i="106"/>
  <c r="O8" i="106"/>
  <c r="O9" i="106"/>
  <c r="O10" i="106"/>
  <c r="O7" i="106"/>
  <c r="C24" i="189"/>
  <c r="C25" i="189"/>
  <c r="C34" i="189"/>
  <c r="C20" i="189"/>
  <c r="C17" i="189"/>
  <c r="C18" i="189"/>
  <c r="C37" i="189"/>
  <c r="C13" i="189"/>
  <c r="C14" i="189"/>
  <c r="D74" i="188"/>
  <c r="D87" i="188"/>
  <c r="D75" i="188"/>
  <c r="D61" i="188"/>
  <c r="D60" i="188"/>
  <c r="D58" i="188"/>
  <c r="D83" i="188"/>
  <c r="D56" i="188"/>
  <c r="D55" i="188"/>
  <c r="D54" i="188"/>
  <c r="D53" i="188"/>
  <c r="D52" i="188"/>
  <c r="D57" i="188"/>
  <c r="D46" i="188"/>
  <c r="D48" i="188"/>
  <c r="D37" i="188"/>
  <c r="J37" i="188"/>
  <c r="L36" i="188"/>
  <c r="M36" i="188"/>
  <c r="J36" i="188"/>
  <c r="L34" i="188"/>
  <c r="J34" i="188"/>
  <c r="L33" i="188"/>
  <c r="J33" i="188"/>
  <c r="M33" i="188"/>
  <c r="L31" i="188"/>
  <c r="M31" i="188"/>
  <c r="J31" i="188"/>
  <c r="L30" i="188"/>
  <c r="J30" i="188"/>
  <c r="L29" i="188"/>
  <c r="J29" i="188"/>
  <c r="M29" i="188"/>
  <c r="L28" i="188"/>
  <c r="M28" i="188"/>
  <c r="J28" i="188"/>
  <c r="L27" i="188"/>
  <c r="J27" i="188"/>
  <c r="L26" i="188"/>
  <c r="J26" i="188"/>
  <c r="M26" i="188"/>
  <c r="L25" i="188"/>
  <c r="J25" i="188"/>
  <c r="D24" i="188"/>
  <c r="J24" i="188"/>
  <c r="D23" i="188"/>
  <c r="L23" i="188"/>
  <c r="L22" i="188"/>
  <c r="J22" i="188"/>
  <c r="M22" i="188"/>
  <c r="D21" i="188"/>
  <c r="L21" i="188"/>
  <c r="J21" i="188"/>
  <c r="M21" i="188"/>
  <c r="D19" i="188"/>
  <c r="L19" i="188"/>
  <c r="D18" i="188"/>
  <c r="L18" i="188"/>
  <c r="M18" i="188"/>
  <c r="D17" i="188"/>
  <c r="D16" i="188"/>
  <c r="L16" i="188"/>
  <c r="L14" i="188"/>
  <c r="D10" i="188"/>
  <c r="D12" i="188"/>
  <c r="L9" i="188"/>
  <c r="M9" i="188"/>
  <c r="J9" i="188"/>
  <c r="D7" i="188"/>
  <c r="L7" i="188"/>
  <c r="L6" i="188"/>
  <c r="J6" i="188"/>
  <c r="E78" i="187"/>
  <c r="E89" i="187"/>
  <c r="E88" i="187"/>
  <c r="F63" i="187"/>
  <c r="H47" i="187"/>
  <c r="E37" i="187"/>
  <c r="E35" i="187"/>
  <c r="E30" i="187"/>
  <c r="C55" i="186"/>
  <c r="F56" i="186"/>
  <c r="C50" i="186"/>
  <c r="C51" i="186"/>
  <c r="F44" i="186"/>
  <c r="C33" i="186"/>
  <c r="H27" i="186"/>
  <c r="C26" i="186"/>
  <c r="C34" i="186"/>
  <c r="C22" i="186"/>
  <c r="C16" i="186"/>
  <c r="C70" i="186"/>
  <c r="F11" i="186"/>
  <c r="C11" i="186"/>
  <c r="C12" i="186"/>
  <c r="M23" i="183"/>
  <c r="I23" i="183"/>
  <c r="E23" i="183"/>
  <c r="M22" i="183"/>
  <c r="I22" i="183"/>
  <c r="E22" i="183"/>
  <c r="M21" i="183"/>
  <c r="H21" i="183"/>
  <c r="I21" i="183"/>
  <c r="D21" i="183"/>
  <c r="E21" i="183"/>
  <c r="M20" i="183"/>
  <c r="I20" i="183"/>
  <c r="E20" i="183"/>
  <c r="L18" i="183"/>
  <c r="L24" i="183"/>
  <c r="K18" i="183"/>
  <c r="K24" i="183"/>
  <c r="H18" i="183"/>
  <c r="H24" i="183"/>
  <c r="G18" i="183"/>
  <c r="G24" i="183"/>
  <c r="F18" i="183"/>
  <c r="F24" i="183"/>
  <c r="D18" i="183"/>
  <c r="D24" i="183"/>
  <c r="C18" i="183"/>
  <c r="C24" i="183"/>
  <c r="M17" i="183"/>
  <c r="I17" i="183"/>
  <c r="E17" i="183"/>
  <c r="M16" i="183"/>
  <c r="I16" i="183"/>
  <c r="E16" i="183"/>
  <c r="M15" i="183"/>
  <c r="I15" i="183"/>
  <c r="E15" i="183"/>
  <c r="M14" i="183"/>
  <c r="I14" i="183"/>
  <c r="C14" i="183"/>
  <c r="E14" i="183"/>
  <c r="M13" i="183"/>
  <c r="I13" i="183"/>
  <c r="E13" i="183"/>
  <c r="M12" i="183"/>
  <c r="I12" i="183"/>
  <c r="E12" i="183"/>
  <c r="M11" i="183"/>
  <c r="I11" i="183"/>
  <c r="E11" i="183"/>
  <c r="B11" i="183"/>
  <c r="B18" i="183"/>
  <c r="B24" i="183"/>
  <c r="H24" i="182"/>
  <c r="G24" i="182"/>
  <c r="F24" i="182"/>
  <c r="E24" i="182"/>
  <c r="D24" i="182"/>
  <c r="C24" i="182"/>
  <c r="B24" i="182"/>
  <c r="H20" i="182"/>
  <c r="G20" i="182"/>
  <c r="F20" i="182"/>
  <c r="E20" i="182"/>
  <c r="D20" i="182"/>
  <c r="C20" i="182"/>
  <c r="B20" i="182"/>
  <c r="H15" i="182"/>
  <c r="G15" i="182"/>
  <c r="F15" i="182"/>
  <c r="E15" i="182"/>
  <c r="D15" i="182"/>
  <c r="C15" i="182"/>
  <c r="B15" i="182"/>
  <c r="K19" i="181"/>
  <c r="J19" i="181"/>
  <c r="I19" i="181"/>
  <c r="H19" i="181"/>
  <c r="D19" i="181"/>
  <c r="F38" i="179"/>
  <c r="G36" i="179"/>
  <c r="E36" i="179"/>
  <c r="C36" i="179"/>
  <c r="H35" i="179"/>
  <c r="H34" i="179"/>
  <c r="H33" i="179"/>
  <c r="E28" i="179"/>
  <c r="C28" i="179"/>
  <c r="G28" i="179"/>
  <c r="C21" i="179"/>
  <c r="G21" i="179"/>
  <c r="E12" i="179"/>
  <c r="C12" i="179"/>
  <c r="G11" i="179"/>
  <c r="G10" i="179"/>
  <c r="G9" i="179"/>
  <c r="G8" i="179"/>
  <c r="G7" i="179"/>
  <c r="B51" i="177"/>
  <c r="D51" i="177"/>
  <c r="C33" i="177"/>
  <c r="C22" i="177"/>
  <c r="E22" i="177"/>
  <c r="D22" i="177"/>
  <c r="F22" i="177"/>
  <c r="I22" i="177"/>
  <c r="G22" i="177"/>
  <c r="B22" i="177"/>
  <c r="J22" i="177"/>
  <c r="F54" i="177"/>
  <c r="F48" i="177"/>
  <c r="H48" i="177"/>
  <c r="F45" i="177"/>
  <c r="F43" i="177"/>
  <c r="F33" i="177"/>
  <c r="F27" i="177"/>
  <c r="F34" i="177"/>
  <c r="F18" i="177"/>
  <c r="F11" i="177"/>
  <c r="B54" i="177"/>
  <c r="J54" i="177"/>
  <c r="B48" i="177"/>
  <c r="B45" i="177"/>
  <c r="B43" i="177"/>
  <c r="B33" i="177"/>
  <c r="B27" i="177"/>
  <c r="B17" i="177"/>
  <c r="B18" i="177"/>
  <c r="J18" i="177"/>
  <c r="B13" i="177"/>
  <c r="J13" i="177"/>
  <c r="B11" i="177"/>
  <c r="B8" i="177"/>
  <c r="J8" i="177"/>
  <c r="G54" i="177"/>
  <c r="H54" i="177"/>
  <c r="C54" i="177"/>
  <c r="K53" i="177"/>
  <c r="L53" i="177"/>
  <c r="J53" i="177"/>
  <c r="H53" i="177"/>
  <c r="D53" i="177"/>
  <c r="K52" i="177"/>
  <c r="L52" i="177"/>
  <c r="J52" i="177"/>
  <c r="H52" i="177"/>
  <c r="D52" i="177"/>
  <c r="J50" i="177"/>
  <c r="J49" i="177"/>
  <c r="G48" i="177"/>
  <c r="C48" i="177"/>
  <c r="K48" i="177"/>
  <c r="L48" i="177"/>
  <c r="K47" i="177"/>
  <c r="J47" i="177"/>
  <c r="H47" i="177"/>
  <c r="D47" i="177"/>
  <c r="J46" i="177"/>
  <c r="G45" i="177"/>
  <c r="H45" i="177"/>
  <c r="G51" i="177"/>
  <c r="C45" i="177"/>
  <c r="C51" i="177"/>
  <c r="K44" i="177"/>
  <c r="K45" i="177"/>
  <c r="L45" i="177"/>
  <c r="J44" i="177"/>
  <c r="H44" i="177"/>
  <c r="D44" i="177"/>
  <c r="H43" i="177"/>
  <c r="G43" i="177"/>
  <c r="C43" i="177"/>
  <c r="E43" i="177"/>
  <c r="K43" i="177"/>
  <c r="L42" i="177"/>
  <c r="K42" i="177"/>
  <c r="J42" i="177"/>
  <c r="H42" i="177"/>
  <c r="D42" i="177"/>
  <c r="K41" i="177"/>
  <c r="J41" i="177"/>
  <c r="M41" i="177"/>
  <c r="I41" i="177"/>
  <c r="H41" i="177"/>
  <c r="E41" i="177"/>
  <c r="D41" i="177"/>
  <c r="K40" i="177"/>
  <c r="M40" i="177"/>
  <c r="J40" i="177"/>
  <c r="I40" i="177"/>
  <c r="H40" i="177"/>
  <c r="E40" i="177"/>
  <c r="D40" i="177"/>
  <c r="J39" i="177"/>
  <c r="K38" i="177"/>
  <c r="J38" i="177"/>
  <c r="H38" i="177"/>
  <c r="E38" i="177"/>
  <c r="D38" i="177"/>
  <c r="K36" i="177"/>
  <c r="L36" i="177"/>
  <c r="J36" i="177"/>
  <c r="H36" i="177"/>
  <c r="D36" i="177"/>
  <c r="K35" i="177"/>
  <c r="L35" i="177"/>
  <c r="J35" i="177"/>
  <c r="H35" i="177"/>
  <c r="D35" i="177"/>
  <c r="G33" i="177"/>
  <c r="H33" i="177"/>
  <c r="J33" i="177"/>
  <c r="J32" i="177"/>
  <c r="K31" i="177"/>
  <c r="L31" i="177"/>
  <c r="J31" i="177"/>
  <c r="H31" i="177"/>
  <c r="E31" i="177"/>
  <c r="D31" i="177"/>
  <c r="K30" i="177"/>
  <c r="J30" i="177"/>
  <c r="L30" i="177"/>
  <c r="H30" i="177"/>
  <c r="D30" i="177"/>
  <c r="K29" i="177"/>
  <c r="J29" i="177"/>
  <c r="L29" i="177"/>
  <c r="H29" i="177"/>
  <c r="D29" i="177"/>
  <c r="K28" i="177"/>
  <c r="J28" i="177"/>
  <c r="H28" i="177"/>
  <c r="D28" i="177"/>
  <c r="H27" i="177"/>
  <c r="G27" i="177"/>
  <c r="G34" i="177"/>
  <c r="K34" i="177"/>
  <c r="C27" i="177"/>
  <c r="J26" i="177"/>
  <c r="E26" i="177"/>
  <c r="D26" i="177"/>
  <c r="J25" i="177"/>
  <c r="E25" i="177"/>
  <c r="D25" i="177"/>
  <c r="K24" i="177"/>
  <c r="J24" i="177"/>
  <c r="L24" i="177"/>
  <c r="H24" i="177"/>
  <c r="E24" i="177"/>
  <c r="D24" i="177"/>
  <c r="K23" i="177"/>
  <c r="J23" i="177"/>
  <c r="H23" i="177"/>
  <c r="E23" i="177"/>
  <c r="D23" i="177"/>
  <c r="K21" i="177"/>
  <c r="M21" i="177"/>
  <c r="J21" i="177"/>
  <c r="I21" i="177"/>
  <c r="H21" i="177"/>
  <c r="E21" i="177"/>
  <c r="D21" i="177"/>
  <c r="K20" i="177"/>
  <c r="J20" i="177"/>
  <c r="H20" i="177"/>
  <c r="H22" i="177"/>
  <c r="E20" i="177"/>
  <c r="D20" i="177"/>
  <c r="M18" i="177"/>
  <c r="L18" i="177"/>
  <c r="I18" i="177"/>
  <c r="H18" i="177"/>
  <c r="G18" i="177"/>
  <c r="C17" i="177"/>
  <c r="K17" i="177"/>
  <c r="K18" i="177"/>
  <c r="K16" i="177"/>
  <c r="J16" i="177"/>
  <c r="E16" i="177"/>
  <c r="D16" i="177"/>
  <c r="K15" i="177"/>
  <c r="J15" i="177"/>
  <c r="E15" i="177"/>
  <c r="D15" i="177"/>
  <c r="H13" i="177"/>
  <c r="C13" i="177"/>
  <c r="K12" i="177"/>
  <c r="J12" i="177"/>
  <c r="L12" i="177"/>
  <c r="H12" i="177"/>
  <c r="E12" i="177"/>
  <c r="D12" i="177"/>
  <c r="G11" i="177"/>
  <c r="G14" i="177"/>
  <c r="H14" i="177"/>
  <c r="C11" i="177"/>
  <c r="K10" i="177"/>
  <c r="J10" i="177"/>
  <c r="H10" i="177"/>
  <c r="E10" i="177"/>
  <c r="D10" i="177"/>
  <c r="K9" i="177"/>
  <c r="M9" i="177"/>
  <c r="J9" i="177"/>
  <c r="H9" i="177"/>
  <c r="E9" i="177"/>
  <c r="D9" i="177"/>
  <c r="H8" i="177"/>
  <c r="C8" i="177"/>
  <c r="E7" i="177"/>
  <c r="D7" i="177"/>
  <c r="E29" i="176"/>
  <c r="E28" i="176"/>
  <c r="E26" i="176"/>
  <c r="E24" i="176"/>
  <c r="E23" i="176"/>
  <c r="E22" i="176"/>
  <c r="E21" i="176"/>
  <c r="E20" i="176"/>
  <c r="E19" i="176"/>
  <c r="E18" i="176"/>
  <c r="D16" i="176"/>
  <c r="C16" i="176"/>
  <c r="E15" i="176"/>
  <c r="E14" i="176"/>
  <c r="D13" i="176"/>
  <c r="C13" i="176"/>
  <c r="E12" i="176"/>
  <c r="E11" i="176"/>
  <c r="S43" i="175"/>
  <c r="T43" i="175"/>
  <c r="U43" i="175"/>
  <c r="U8" i="175"/>
  <c r="H24" i="175"/>
  <c r="J32" i="170"/>
  <c r="J40" i="170"/>
  <c r="K32" i="170"/>
  <c r="M32" i="170"/>
  <c r="K40" i="170"/>
  <c r="J15" i="170"/>
  <c r="J25" i="170"/>
  <c r="J41" i="170"/>
  <c r="K15" i="170"/>
  <c r="K25" i="170"/>
  <c r="M15" i="170"/>
  <c r="F24" i="170"/>
  <c r="F43" i="170"/>
  <c r="D20" i="170"/>
  <c r="D24" i="170"/>
  <c r="R20" i="170"/>
  <c r="O20" i="170"/>
  <c r="C15" i="170"/>
  <c r="C42" i="170"/>
  <c r="D15" i="170"/>
  <c r="D42" i="170"/>
  <c r="F15" i="170"/>
  <c r="F42" i="170"/>
  <c r="O41" i="106"/>
  <c r="L13" i="106"/>
  <c r="L11" i="106"/>
  <c r="L14" i="106"/>
  <c r="N14" i="106"/>
  <c r="E20" i="106"/>
  <c r="E22" i="106"/>
  <c r="E43" i="106"/>
  <c r="E44" i="106"/>
  <c r="E37" i="106"/>
  <c r="E38" i="106"/>
  <c r="E24" i="106"/>
  <c r="E31" i="106"/>
  <c r="E8" i="106"/>
  <c r="E14" i="106"/>
  <c r="E41" i="106"/>
  <c r="K25" i="106"/>
  <c r="T15" i="175"/>
  <c r="U12" i="175"/>
  <c r="U28" i="175"/>
  <c r="U26" i="175"/>
  <c r="U10" i="175"/>
  <c r="R28" i="175"/>
  <c r="R26" i="175"/>
  <c r="R17" i="175"/>
  <c r="O17" i="175"/>
  <c r="R9" i="175"/>
  <c r="R10" i="175"/>
  <c r="R8" i="175"/>
  <c r="O9" i="175"/>
  <c r="O10" i="175"/>
  <c r="O8" i="175"/>
  <c r="C20" i="175"/>
  <c r="B24" i="170"/>
  <c r="B43" i="170"/>
  <c r="C20" i="170"/>
  <c r="C24" i="170"/>
  <c r="M39" i="170"/>
  <c r="M24" i="170"/>
  <c r="J39" i="170"/>
  <c r="J24" i="170"/>
  <c r="B15" i="170"/>
  <c r="B42" i="170"/>
  <c r="B44" i="170"/>
  <c r="T39" i="175"/>
  <c r="S39" i="175"/>
  <c r="U38" i="175"/>
  <c r="U37" i="175"/>
  <c r="U36" i="175"/>
  <c r="U35" i="175"/>
  <c r="U34" i="175"/>
  <c r="U33" i="175"/>
  <c r="U39" i="175"/>
  <c r="T32" i="175"/>
  <c r="T40" i="175"/>
  <c r="S32" i="175"/>
  <c r="S40" i="175"/>
  <c r="U31" i="175"/>
  <c r="U30" i="175"/>
  <c r="T24" i="175"/>
  <c r="S24" i="175"/>
  <c r="U23" i="175"/>
  <c r="U22" i="175"/>
  <c r="U21" i="175"/>
  <c r="U20" i="175"/>
  <c r="U19" i="175"/>
  <c r="U18" i="175"/>
  <c r="U17" i="175"/>
  <c r="U16" i="175"/>
  <c r="Q39" i="175"/>
  <c r="P39" i="175"/>
  <c r="R38" i="175"/>
  <c r="R37" i="175"/>
  <c r="R36" i="175"/>
  <c r="R35" i="175"/>
  <c r="R34" i="175"/>
  <c r="R33" i="175"/>
  <c r="R39" i="175"/>
  <c r="Q32" i="175"/>
  <c r="Q40" i="175"/>
  <c r="P32" i="175"/>
  <c r="P40" i="175"/>
  <c r="R31" i="175"/>
  <c r="R30" i="175"/>
  <c r="Q24" i="175"/>
  <c r="P24" i="175"/>
  <c r="R24" i="175"/>
  <c r="R23" i="175"/>
  <c r="R22" i="175"/>
  <c r="R21" i="175"/>
  <c r="R18" i="175"/>
  <c r="R16" i="175"/>
  <c r="Q15" i="175"/>
  <c r="Q25" i="175"/>
  <c r="P15" i="175"/>
  <c r="N43" i="175"/>
  <c r="N39" i="175"/>
  <c r="O38" i="175"/>
  <c r="O37" i="175"/>
  <c r="O36" i="175"/>
  <c r="O35" i="175"/>
  <c r="O34" i="175"/>
  <c r="O33" i="175"/>
  <c r="O39" i="175"/>
  <c r="N32" i="175"/>
  <c r="N40" i="175"/>
  <c r="O31" i="175"/>
  <c r="O30" i="175"/>
  <c r="O26" i="175"/>
  <c r="N24" i="175"/>
  <c r="O24" i="175"/>
  <c r="O23" i="175"/>
  <c r="O22" i="175"/>
  <c r="O21" i="175"/>
  <c r="O18" i="175"/>
  <c r="O16" i="175"/>
  <c r="N15" i="175"/>
  <c r="O15" i="175"/>
  <c r="O14" i="175"/>
  <c r="H39" i="175"/>
  <c r="J38" i="175"/>
  <c r="J37" i="175"/>
  <c r="J36" i="175"/>
  <c r="J35" i="175"/>
  <c r="J34" i="175"/>
  <c r="J33" i="175"/>
  <c r="J39" i="175"/>
  <c r="J40" i="175"/>
  <c r="I32" i="175"/>
  <c r="I40" i="175"/>
  <c r="I41" i="175"/>
  <c r="H32" i="175"/>
  <c r="H40" i="175"/>
  <c r="J31" i="175"/>
  <c r="J30" i="175"/>
  <c r="J29" i="175"/>
  <c r="J28" i="175"/>
  <c r="J27" i="175"/>
  <c r="J26" i="175"/>
  <c r="I24" i="175"/>
  <c r="J23" i="175"/>
  <c r="J22" i="175"/>
  <c r="J21" i="175"/>
  <c r="J18" i="175"/>
  <c r="J16" i="175"/>
  <c r="H15" i="175"/>
  <c r="H42" i="175"/>
  <c r="J14" i="175"/>
  <c r="J19" i="175"/>
  <c r="J24" i="175"/>
  <c r="J11" i="175"/>
  <c r="J10" i="175"/>
  <c r="J9" i="175"/>
  <c r="J8" i="175"/>
  <c r="J15" i="175"/>
  <c r="K15" i="175"/>
  <c r="E39" i="175"/>
  <c r="G38" i="175"/>
  <c r="G37" i="175"/>
  <c r="G36" i="175"/>
  <c r="G35" i="175"/>
  <c r="G34" i="175"/>
  <c r="G33" i="175"/>
  <c r="G39" i="175"/>
  <c r="G40" i="175"/>
  <c r="F32" i="175"/>
  <c r="F40" i="175"/>
  <c r="E32" i="175"/>
  <c r="G31" i="175"/>
  <c r="G30" i="175"/>
  <c r="G29" i="175"/>
  <c r="O29" i="175"/>
  <c r="G28" i="175"/>
  <c r="O28" i="175"/>
  <c r="G27" i="175"/>
  <c r="G32" i="175"/>
  <c r="G26" i="175"/>
  <c r="F24" i="175"/>
  <c r="F25" i="175"/>
  <c r="F41" i="175"/>
  <c r="E24" i="175"/>
  <c r="G23" i="175"/>
  <c r="G22" i="175"/>
  <c r="G21" i="175"/>
  <c r="G18" i="175"/>
  <c r="G17" i="175"/>
  <c r="G16" i="175"/>
  <c r="E15" i="175"/>
  <c r="E42" i="175"/>
  <c r="G14" i="175"/>
  <c r="F15" i="175"/>
  <c r="G19" i="175"/>
  <c r="G11" i="175"/>
  <c r="O11" i="175"/>
  <c r="U11" i="175"/>
  <c r="G10" i="175"/>
  <c r="G9" i="175"/>
  <c r="G8" i="175"/>
  <c r="M43" i="175"/>
  <c r="B43" i="175"/>
  <c r="M39" i="175"/>
  <c r="B39" i="175"/>
  <c r="D38" i="175"/>
  <c r="D37" i="175"/>
  <c r="D36" i="175"/>
  <c r="D35" i="175"/>
  <c r="D34" i="175"/>
  <c r="D33" i="175"/>
  <c r="D39" i="175"/>
  <c r="M32" i="175"/>
  <c r="C32" i="175"/>
  <c r="C40" i="175"/>
  <c r="B32" i="175"/>
  <c r="D31" i="175"/>
  <c r="D30" i="175"/>
  <c r="D29" i="175"/>
  <c r="D28" i="175"/>
  <c r="D27" i="175"/>
  <c r="D32" i="175"/>
  <c r="D26" i="175"/>
  <c r="M24" i="175"/>
  <c r="U24" i="175"/>
  <c r="C24" i="175"/>
  <c r="B24" i="175"/>
  <c r="B25" i="175"/>
  <c r="B41" i="175"/>
  <c r="D23" i="175"/>
  <c r="D22" i="175"/>
  <c r="D21" i="175"/>
  <c r="D18" i="175"/>
  <c r="D43" i="175"/>
  <c r="D17" i="175"/>
  <c r="D16" i="175"/>
  <c r="M25" i="175"/>
  <c r="B15" i="175"/>
  <c r="B42" i="175"/>
  <c r="D14" i="175"/>
  <c r="D20" i="175"/>
  <c r="D19" i="175"/>
  <c r="D11" i="175"/>
  <c r="D10" i="175"/>
  <c r="D9" i="175"/>
  <c r="D8" i="175"/>
  <c r="D15" i="175"/>
  <c r="D42" i="175"/>
  <c r="H44" i="157"/>
  <c r="N40" i="157"/>
  <c r="N33" i="157"/>
  <c r="N25" i="157"/>
  <c r="K40" i="157"/>
  <c r="K33" i="157"/>
  <c r="K41" i="157"/>
  <c r="K25" i="157"/>
  <c r="G40" i="157"/>
  <c r="G33" i="157"/>
  <c r="D40" i="157"/>
  <c r="D41" i="157"/>
  <c r="D33" i="157"/>
  <c r="J40" i="157"/>
  <c r="J33" i="157"/>
  <c r="J41" i="157"/>
  <c r="J42" i="157"/>
  <c r="J25" i="157"/>
  <c r="J16" i="157"/>
  <c r="J26" i="157"/>
  <c r="C44" i="157"/>
  <c r="C40" i="157"/>
  <c r="C33" i="157"/>
  <c r="C25" i="157"/>
  <c r="C43" i="157"/>
  <c r="B36" i="134"/>
  <c r="B39" i="134"/>
  <c r="B32" i="134"/>
  <c r="B40" i="134"/>
  <c r="B22" i="134"/>
  <c r="B24" i="134"/>
  <c r="B16" i="134"/>
  <c r="C36" i="134"/>
  <c r="C39" i="134"/>
  <c r="C32" i="134"/>
  <c r="C40" i="134"/>
  <c r="C22" i="134"/>
  <c r="C24" i="134"/>
  <c r="C25" i="134"/>
  <c r="C41" i="134"/>
  <c r="F36" i="134"/>
  <c r="F39" i="134"/>
  <c r="F32" i="134"/>
  <c r="F22" i="134"/>
  <c r="F24" i="134"/>
  <c r="G24" i="134"/>
  <c r="N39" i="134"/>
  <c r="N24" i="134"/>
  <c r="M39" i="134"/>
  <c r="M24" i="134"/>
  <c r="M25" i="134"/>
  <c r="M41" i="134"/>
  <c r="N41" i="134"/>
  <c r="I39" i="134"/>
  <c r="I32" i="134"/>
  <c r="I24" i="134"/>
  <c r="I16" i="134"/>
  <c r="I25" i="134"/>
  <c r="D16" i="106"/>
  <c r="D22" i="106"/>
  <c r="D8" i="106"/>
  <c r="D14" i="106"/>
  <c r="D41" i="106"/>
  <c r="D44" i="106"/>
  <c r="O42" i="106"/>
  <c r="K12" i="106"/>
  <c r="K11" i="106"/>
  <c r="K14" i="106"/>
  <c r="K23" i="106"/>
  <c r="K39" i="106"/>
  <c r="J44" i="106"/>
  <c r="O44" i="106"/>
  <c r="J43" i="106"/>
  <c r="J45" i="106"/>
  <c r="J37" i="106"/>
  <c r="J26" i="106"/>
  <c r="J31" i="106"/>
  <c r="J12" i="106"/>
  <c r="J11" i="106"/>
  <c r="J14" i="106"/>
  <c r="G33" i="106"/>
  <c r="H33" i="106"/>
  <c r="G37" i="106"/>
  <c r="H37" i="106"/>
  <c r="C8" i="106"/>
  <c r="C14" i="106"/>
  <c r="C20" i="106"/>
  <c r="C22" i="106"/>
  <c r="C23" i="106"/>
  <c r="C39" i="106"/>
  <c r="D20" i="106"/>
  <c r="C24" i="106"/>
  <c r="C31" i="106"/>
  <c r="D24" i="106"/>
  <c r="D31" i="106"/>
  <c r="D38" i="106"/>
  <c r="C33" i="106"/>
  <c r="C37" i="106"/>
  <c r="C38" i="106"/>
  <c r="D33" i="106"/>
  <c r="D37" i="106"/>
  <c r="O25" i="157"/>
  <c r="H33" i="157"/>
  <c r="H43" i="157"/>
  <c r="O33" i="157"/>
  <c r="H40" i="157"/>
  <c r="H41" i="157"/>
  <c r="O40" i="157"/>
  <c r="I15" i="170"/>
  <c r="I25" i="170"/>
  <c r="I41" i="170"/>
  <c r="I24" i="170"/>
  <c r="I32" i="170"/>
  <c r="I39" i="170"/>
  <c r="I40" i="170"/>
  <c r="J24" i="134"/>
  <c r="G32" i="134"/>
  <c r="G36" i="134"/>
  <c r="G39" i="134"/>
  <c r="G40" i="134"/>
  <c r="J39" i="134"/>
  <c r="H25" i="157"/>
  <c r="E40" i="175"/>
  <c r="J32" i="175"/>
  <c r="I15" i="175"/>
  <c r="I25" i="175"/>
  <c r="M40" i="175"/>
  <c r="D40" i="175"/>
  <c r="B40" i="175"/>
  <c r="C15" i="175"/>
  <c r="C25" i="175"/>
  <c r="B25" i="170"/>
  <c r="B41" i="170"/>
  <c r="O13" i="175"/>
  <c r="R13" i="175"/>
  <c r="U13" i="175"/>
  <c r="O12" i="175"/>
  <c r="R11" i="175"/>
  <c r="R12" i="175"/>
  <c r="V12" i="175"/>
  <c r="N43" i="106"/>
  <c r="N45" i="106"/>
  <c r="O45" i="106"/>
  <c r="O43" i="106"/>
  <c r="M40" i="170"/>
  <c r="S15" i="175"/>
  <c r="U15" i="175"/>
  <c r="V15" i="175"/>
  <c r="U9" i="175"/>
  <c r="V9" i="175"/>
  <c r="C38" i="179"/>
  <c r="D45" i="177"/>
  <c r="C34" i="177"/>
  <c r="K27" i="177"/>
  <c r="D33" i="177"/>
  <c r="I43" i="177"/>
  <c r="I55" i="177"/>
  <c r="F14" i="177"/>
  <c r="F37" i="177"/>
  <c r="J11" i="177"/>
  <c r="J48" i="177"/>
  <c r="L23" i="177"/>
  <c r="K33" i="177"/>
  <c r="B14" i="177"/>
  <c r="F51" i="177"/>
  <c r="F55" i="177"/>
  <c r="C14" i="177"/>
  <c r="M10" i="177"/>
  <c r="L9" i="177"/>
  <c r="E16" i="176"/>
  <c r="C17" i="176"/>
  <c r="C25" i="176"/>
  <c r="C27" i="176"/>
  <c r="E27" i="176"/>
  <c r="E13" i="176"/>
  <c r="K54" i="177"/>
  <c r="L54" i="177"/>
  <c r="J14" i="177"/>
  <c r="D11" i="177"/>
  <c r="M23" i="177"/>
  <c r="L28" i="177"/>
  <c r="L40" i="177"/>
  <c r="B55" i="177"/>
  <c r="J55" i="177"/>
  <c r="L10" i="177"/>
  <c r="E11" i="177"/>
  <c r="L20" i="177"/>
  <c r="M38" i="177"/>
  <c r="L47" i="177"/>
  <c r="D17" i="176"/>
  <c r="D25" i="176"/>
  <c r="D27" i="176"/>
  <c r="G55" i="177"/>
  <c r="K51" i="177"/>
  <c r="D13" i="177"/>
  <c r="L21" i="177"/>
  <c r="L38" i="177"/>
  <c r="L44" i="177"/>
  <c r="J45" i="177"/>
  <c r="D48" i="177"/>
  <c r="D54" i="177"/>
  <c r="K22" i="177"/>
  <c r="L41" i="177"/>
  <c r="E33" i="177"/>
  <c r="D14" i="177"/>
  <c r="L14" i="177"/>
  <c r="H51" i="177"/>
  <c r="E14" i="177"/>
  <c r="J51" i="177"/>
  <c r="E17" i="176"/>
  <c r="M22" i="177"/>
  <c r="L22" i="177"/>
  <c r="M45" i="177"/>
  <c r="E25" i="176"/>
  <c r="M51" i="177"/>
  <c r="C45" i="189"/>
  <c r="C46" i="189"/>
  <c r="I18" i="183"/>
  <c r="I24" i="183"/>
  <c r="F43" i="106"/>
  <c r="C41" i="106"/>
  <c r="J38" i="106"/>
  <c r="D43" i="106"/>
  <c r="O12" i="106"/>
  <c r="G38" i="106"/>
  <c r="H38" i="106"/>
  <c r="F39" i="106"/>
  <c r="H8" i="106"/>
  <c r="G14" i="106"/>
  <c r="G41" i="106"/>
  <c r="G23" i="106"/>
  <c r="H23" i="106"/>
  <c r="G39" i="106"/>
  <c r="G43" i="106"/>
  <c r="H43" i="106"/>
  <c r="N38" i="106"/>
  <c r="O31" i="106"/>
  <c r="M14" i="106"/>
  <c r="O14" i="106"/>
  <c r="M23" i="106"/>
  <c r="O13" i="106"/>
  <c r="H14" i="106"/>
  <c r="O38" i="106"/>
  <c r="J23" i="188"/>
  <c r="M23" i="188"/>
  <c r="F72" i="188"/>
  <c r="F79" i="188"/>
  <c r="F82" i="188"/>
  <c r="D32" i="188"/>
  <c r="L32" i="188"/>
  <c r="M27" i="188"/>
  <c r="F87" i="188"/>
  <c r="D8" i="188"/>
  <c r="J8" i="188"/>
  <c r="M8" i="188"/>
  <c r="D95" i="188"/>
  <c r="C18" i="187"/>
  <c r="C46" i="187"/>
  <c r="C27" i="187"/>
  <c r="D50" i="187"/>
  <c r="C26" i="187"/>
  <c r="C102" i="187"/>
  <c r="C47" i="187"/>
  <c r="C50" i="187"/>
  <c r="E50" i="187"/>
  <c r="D15" i="187"/>
  <c r="D71" i="187"/>
  <c r="C69" i="187"/>
  <c r="C71" i="187"/>
  <c r="C85" i="187"/>
  <c r="E102" i="187"/>
  <c r="E38" i="187"/>
  <c r="F58" i="187"/>
  <c r="F38" i="188"/>
  <c r="F35" i="188"/>
  <c r="F42" i="188"/>
  <c r="H10" i="188"/>
  <c r="D72" i="188"/>
  <c r="E72" i="188"/>
  <c r="E79" i="188"/>
  <c r="E49" i="188"/>
  <c r="E50" i="188"/>
  <c r="E100" i="188"/>
  <c r="J18" i="188"/>
  <c r="M6" i="188"/>
  <c r="M34" i="188"/>
  <c r="E38" i="188"/>
  <c r="J7" i="188"/>
  <c r="M7" i="188"/>
  <c r="M30" i="188"/>
  <c r="L37" i="188"/>
  <c r="M37" i="188"/>
  <c r="J16" i="188"/>
  <c r="M16" i="188"/>
  <c r="M25" i="188"/>
  <c r="J12" i="188"/>
  <c r="L12" i="188"/>
  <c r="D13" i="188"/>
  <c r="J13" i="188"/>
  <c r="M13" i="188"/>
  <c r="C28" i="189"/>
  <c r="C35" i="189"/>
  <c r="D25" i="189"/>
  <c r="E14" i="189"/>
  <c r="D14" i="189"/>
  <c r="E46" i="189"/>
  <c r="E47" i="189"/>
  <c r="D37" i="189"/>
  <c r="D46" i="189"/>
  <c r="C26" i="157"/>
  <c r="G41" i="157"/>
  <c r="O41" i="157"/>
  <c r="C41" i="157"/>
  <c r="N41" i="157"/>
  <c r="L8" i="188"/>
  <c r="D51" i="187"/>
  <c r="M12" i="188"/>
  <c r="L13" i="188"/>
  <c r="C42" i="157"/>
  <c r="U32" i="175"/>
  <c r="V28" i="175"/>
  <c r="U40" i="175"/>
  <c r="V26" i="175"/>
  <c r="Q41" i="175"/>
  <c r="R32" i="175"/>
  <c r="R40" i="175"/>
  <c r="V40" i="175"/>
  <c r="V10" i="175"/>
  <c r="R15" i="175"/>
  <c r="V8" i="175"/>
  <c r="J32" i="188"/>
  <c r="M32" i="188"/>
  <c r="J19" i="188"/>
  <c r="M19" i="188"/>
  <c r="J14" i="188"/>
  <c r="M14" i="188"/>
  <c r="D35" i="188"/>
  <c r="J35" i="188"/>
  <c r="M35" i="188"/>
  <c r="L35" i="188"/>
  <c r="E87" i="188"/>
  <c r="E25" i="175"/>
  <c r="E41" i="175"/>
  <c r="P25" i="175"/>
  <c r="P41" i="175"/>
  <c r="R41" i="175"/>
  <c r="V32" i="175"/>
  <c r="D71" i="186"/>
  <c r="C56" i="186"/>
  <c r="C63" i="186"/>
  <c r="C60" i="186"/>
  <c r="C31" i="186"/>
  <c r="C58" i="186"/>
  <c r="C32" i="186"/>
  <c r="C35" i="186"/>
  <c r="E21" i="186"/>
  <c r="C71" i="186"/>
  <c r="E71" i="186"/>
  <c r="E58" i="186"/>
  <c r="D35" i="186"/>
  <c r="D59" i="186"/>
  <c r="E35" i="186"/>
  <c r="F23" i="186"/>
  <c r="C6" i="186"/>
  <c r="C7" i="186"/>
  <c r="C67" i="186"/>
  <c r="C75" i="186"/>
  <c r="C74" i="186"/>
  <c r="R26" i="134"/>
  <c r="Q26" i="134"/>
  <c r="F10" i="186"/>
  <c r="E74" i="186"/>
  <c r="D74" i="186"/>
  <c r="F34" i="186"/>
  <c r="G24" i="170"/>
  <c r="G15" i="170"/>
  <c r="N40" i="170"/>
  <c r="L41" i="170"/>
  <c r="N32" i="170"/>
  <c r="N15" i="170"/>
  <c r="M25" i="170"/>
  <c r="N25" i="170"/>
  <c r="E25" i="170"/>
  <c r="E43" i="170"/>
  <c r="E44" i="170"/>
  <c r="C25" i="170"/>
  <c r="C41" i="170"/>
  <c r="C43" i="170"/>
  <c r="C44" i="170"/>
  <c r="D43" i="170"/>
  <c r="D44" i="170"/>
  <c r="D25" i="170"/>
  <c r="D41" i="170"/>
  <c r="Q20" i="170"/>
  <c r="P20" i="170"/>
  <c r="M41" i="170"/>
  <c r="N41" i="170"/>
  <c r="E42" i="188"/>
  <c r="E81" i="188"/>
  <c r="F13" i="188"/>
  <c r="D79" i="188"/>
  <c r="D49" i="188"/>
  <c r="H12" i="188"/>
  <c r="H13" i="188"/>
  <c r="D84" i="188"/>
  <c r="L24" i="188"/>
  <c r="M24" i="188"/>
  <c r="J17" i="188"/>
  <c r="D38" i="188"/>
  <c r="J38" i="188"/>
  <c r="M38" i="188"/>
  <c r="L17" i="188"/>
  <c r="D42" i="181"/>
  <c r="I35" i="191"/>
  <c r="I45" i="191"/>
  <c r="I23" i="191"/>
  <c r="I19" i="191"/>
  <c r="I46" i="191"/>
  <c r="R25" i="175"/>
  <c r="S25" i="175"/>
  <c r="K10" i="175"/>
  <c r="K17" i="175"/>
  <c r="M17" i="188"/>
  <c r="L38" i="188"/>
  <c r="D50" i="188"/>
  <c r="D51" i="188"/>
  <c r="S41" i="175"/>
  <c r="K20" i="175"/>
  <c r="E84" i="188"/>
  <c r="E91" i="188"/>
  <c r="D85" i="187"/>
  <c r="C103" i="187"/>
  <c r="E84" i="187"/>
  <c r="C15" i="187"/>
  <c r="E103" i="187"/>
  <c r="C83" i="187"/>
  <c r="D83" i="187"/>
  <c r="D103" i="187"/>
  <c r="E31" i="187"/>
  <c r="E15" i="187"/>
  <c r="C38" i="187"/>
  <c r="D87" i="187"/>
  <c r="F25" i="170"/>
  <c r="F41" i="170"/>
  <c r="M44" i="170"/>
  <c r="E41" i="170"/>
  <c r="I40" i="134"/>
  <c r="B25" i="134"/>
  <c r="B41" i="134"/>
  <c r="N16" i="134"/>
  <c r="B42" i="134"/>
  <c r="G16" i="134"/>
  <c r="J40" i="134"/>
  <c r="J41" i="134"/>
  <c r="J25" i="134"/>
  <c r="C42" i="134"/>
  <c r="M40" i="134"/>
  <c r="N40" i="134"/>
  <c r="I41" i="134"/>
  <c r="F42" i="134"/>
  <c r="G42" i="134"/>
  <c r="K41" i="134"/>
  <c r="F40" i="134"/>
  <c r="F41" i="134"/>
  <c r="D42" i="134"/>
  <c r="D44" i="134"/>
  <c r="F25" i="134"/>
  <c r="N32" i="134"/>
  <c r="P26" i="134"/>
  <c r="E25" i="134"/>
  <c r="E41" i="134"/>
  <c r="C37" i="194"/>
  <c r="F37" i="194"/>
  <c r="F13" i="194"/>
  <c r="G41" i="170"/>
  <c r="G25" i="170"/>
  <c r="G25" i="134"/>
  <c r="E12" i="192"/>
  <c r="F12" i="192"/>
  <c r="C17" i="192"/>
  <c r="F15" i="192"/>
  <c r="E41" i="192"/>
  <c r="E44" i="192"/>
  <c r="E48" i="192"/>
  <c r="E25" i="192"/>
  <c r="B79" i="192"/>
  <c r="G25" i="192"/>
  <c r="E30" i="192"/>
  <c r="E17" i="192"/>
  <c r="B69" i="192"/>
  <c r="B71" i="192"/>
  <c r="E34" i="189"/>
  <c r="E35" i="189"/>
  <c r="E25" i="189"/>
  <c r="M39" i="106"/>
  <c r="O11" i="106"/>
  <c r="J24" i="183"/>
  <c r="M18" i="183"/>
  <c r="M24" i="183"/>
  <c r="G44" i="106"/>
  <c r="C84" i="187"/>
  <c r="C92" i="187"/>
  <c r="C51" i="187"/>
  <c r="F17" i="192"/>
  <c r="B76" i="192"/>
  <c r="B80" i="192"/>
  <c r="G80" i="192"/>
  <c r="B44" i="134"/>
  <c r="C47" i="189"/>
  <c r="F46" i="189"/>
  <c r="J25" i="175"/>
  <c r="T44" i="175"/>
  <c r="D80" i="187"/>
  <c r="E51" i="188"/>
  <c r="D76" i="186"/>
  <c r="G41" i="134"/>
  <c r="O42" i="134"/>
  <c r="M42" i="134"/>
  <c r="E66" i="186"/>
  <c r="E76" i="186"/>
  <c r="E78" i="186"/>
  <c r="C59" i="186"/>
  <c r="C66" i="186"/>
  <c r="C76" i="186"/>
  <c r="F35" i="186"/>
  <c r="F81" i="188"/>
  <c r="F49" i="188"/>
  <c r="F50" i="188"/>
  <c r="B43" i="134"/>
  <c r="J23" i="106"/>
  <c r="E13" i="188"/>
  <c r="E80" i="188"/>
  <c r="E95" i="188"/>
  <c r="E101" i="188"/>
  <c r="E103" i="188"/>
  <c r="G49" i="187"/>
  <c r="H39" i="106"/>
  <c r="C43" i="106"/>
  <c r="C44" i="106"/>
  <c r="C41" i="175"/>
  <c r="M41" i="175"/>
  <c r="R14" i="175"/>
  <c r="U14" i="175"/>
  <c r="M12" i="177"/>
  <c r="E51" i="177"/>
  <c r="C55" i="177"/>
  <c r="J27" i="177"/>
  <c r="B34" i="177"/>
  <c r="E27" i="177"/>
  <c r="F140" i="190"/>
  <c r="E153" i="190"/>
  <c r="F153" i="190"/>
  <c r="C511" i="190"/>
  <c r="C216" i="190"/>
  <c r="F268" i="190"/>
  <c r="D496" i="190"/>
  <c r="D282" i="190"/>
  <c r="F282" i="190"/>
  <c r="I51" i="191"/>
  <c r="C21" i="186"/>
  <c r="D84" i="187"/>
  <c r="D92" i="187"/>
  <c r="D104" i="187"/>
  <c r="F43" i="134"/>
  <c r="C43" i="134"/>
  <c r="C44" i="134"/>
  <c r="N25" i="134"/>
  <c r="D80" i="188"/>
  <c r="D100" i="188"/>
  <c r="D101" i="188"/>
  <c r="F84" i="188"/>
  <c r="F91" i="188"/>
  <c r="D21" i="186"/>
  <c r="D79" i="187"/>
  <c r="E71" i="187"/>
  <c r="E18" i="183"/>
  <c r="E24" i="183"/>
  <c r="E17" i="177"/>
  <c r="H34" i="177"/>
  <c r="M33" i="177"/>
  <c r="L33" i="177"/>
  <c r="L27" i="177"/>
  <c r="M27" i="177"/>
  <c r="D23" i="106"/>
  <c r="D39" i="106"/>
  <c r="D24" i="175"/>
  <c r="D25" i="175"/>
  <c r="D41" i="175"/>
  <c r="G24" i="175"/>
  <c r="O27" i="175"/>
  <c r="O32" i="175"/>
  <c r="O40" i="175"/>
  <c r="K41" i="170"/>
  <c r="H25" i="175"/>
  <c r="H41" i="175"/>
  <c r="S44" i="175"/>
  <c r="E13" i="177"/>
  <c r="K13" i="177"/>
  <c r="D27" i="177"/>
  <c r="D34" i="177"/>
  <c r="G12" i="179"/>
  <c r="G38" i="179"/>
  <c r="E38" i="179"/>
  <c r="F41" i="106"/>
  <c r="F44" i="106"/>
  <c r="F504" i="190"/>
  <c r="E57" i="186"/>
  <c r="J39" i="106"/>
  <c r="L51" i="177"/>
  <c r="G42" i="170"/>
  <c r="F44" i="170"/>
  <c r="C18" i="177"/>
  <c r="E18" i="177"/>
  <c r="D17" i="177"/>
  <c r="D18" i="177"/>
  <c r="E23" i="106"/>
  <c r="E39" i="106"/>
  <c r="K26" i="157"/>
  <c r="K42" i="157"/>
  <c r="H26" i="157"/>
  <c r="H42" i="157"/>
  <c r="G42" i="157"/>
  <c r="F16" i="192"/>
  <c r="E51" i="187"/>
  <c r="J42" i="175"/>
  <c r="D58" i="186"/>
  <c r="D66" i="186"/>
  <c r="B19" i="192"/>
  <c r="C79" i="187"/>
  <c r="C80" i="187"/>
  <c r="E16" i="192"/>
  <c r="E19" i="192"/>
  <c r="E59" i="186"/>
  <c r="C57" i="186"/>
  <c r="K19" i="175"/>
  <c r="K14" i="177"/>
  <c r="M14" i="177"/>
  <c r="G37" i="177"/>
  <c r="O26" i="134"/>
  <c r="O43" i="175"/>
  <c r="G15" i="175"/>
  <c r="G42" i="175"/>
  <c r="R29" i="175"/>
  <c r="U29" i="175"/>
  <c r="T25" i="175"/>
  <c r="T41" i="175"/>
  <c r="U41" i="175"/>
  <c r="D8" i="177"/>
  <c r="K8" i="177"/>
  <c r="E8" i="177"/>
  <c r="K11" i="177"/>
  <c r="H55" i="177"/>
  <c r="J43" i="177"/>
  <c r="L43" i="177"/>
  <c r="D43" i="177"/>
  <c r="H11" i="177"/>
  <c r="H36" i="179"/>
  <c r="L23" i="106"/>
  <c r="L39" i="106"/>
  <c r="M52" i="106"/>
  <c r="D81" i="190"/>
  <c r="F80" i="190"/>
  <c r="N25" i="175"/>
  <c r="N41" i="175"/>
  <c r="N23" i="106"/>
  <c r="N26" i="157"/>
  <c r="E496" i="190"/>
  <c r="D48" i="190"/>
  <c r="F48" i="190"/>
  <c r="F45" i="190"/>
  <c r="D510" i="190"/>
  <c r="D504" i="190"/>
  <c r="F101" i="190"/>
  <c r="D102" i="190"/>
  <c r="D138" i="190"/>
  <c r="F387" i="190"/>
  <c r="D391" i="190"/>
  <c r="F391" i="190"/>
  <c r="D409" i="190"/>
  <c r="F405" i="190"/>
  <c r="F460" i="190"/>
  <c r="J17" i="177"/>
  <c r="D20" i="188"/>
  <c r="C21" i="189"/>
  <c r="H20" i="106"/>
  <c r="H22" i="106"/>
  <c r="D43" i="157"/>
  <c r="E26" i="157"/>
  <c r="E42" i="157"/>
  <c r="D38" i="187"/>
  <c r="F102" i="190"/>
  <c r="C498" i="190"/>
  <c r="C92" i="190"/>
  <c r="C494" i="190"/>
  <c r="C506" i="190"/>
  <c r="C515" i="190"/>
  <c r="F91" i="190"/>
  <c r="E514" i="190"/>
  <c r="F514" i="190"/>
  <c r="E138" i="190"/>
  <c r="F138" i="190"/>
  <c r="F133" i="190"/>
  <c r="F157" i="190"/>
  <c r="D42" i="157"/>
  <c r="D35" i="189"/>
  <c r="D47" i="189"/>
  <c r="C23" i="190"/>
  <c r="C495" i="190"/>
  <c r="C496" i="190"/>
  <c r="E60" i="190"/>
  <c r="D506" i="190"/>
  <c r="D515" i="190"/>
  <c r="F507" i="190"/>
  <c r="F72" i="190"/>
  <c r="E75" i="190"/>
  <c r="F75" i="190"/>
  <c r="E510" i="190"/>
  <c r="F510" i="190"/>
  <c r="F81" i="190"/>
  <c r="E500" i="190"/>
  <c r="E84" i="190"/>
  <c r="E223" i="190"/>
  <c r="F220" i="190"/>
  <c r="F509" i="190"/>
  <c r="F409" i="190"/>
  <c r="F135" i="190"/>
  <c r="C153" i="190"/>
  <c r="F158" i="190"/>
  <c r="C169" i="190"/>
  <c r="F184" i="190"/>
  <c r="F322" i="190"/>
  <c r="E323" i="190"/>
  <c r="F323" i="190"/>
  <c r="F434" i="190"/>
  <c r="E438" i="190"/>
  <c r="F438" i="190"/>
  <c r="H51" i="191"/>
  <c r="H55" i="191"/>
  <c r="F11" i="192"/>
  <c r="O22" i="106"/>
  <c r="O16" i="157"/>
  <c r="F169" i="190"/>
  <c r="F83" i="190"/>
  <c r="C504" i="190"/>
  <c r="F109" i="190"/>
  <c r="D129" i="190"/>
  <c r="F129" i="190"/>
  <c r="F149" i="190"/>
  <c r="B55" i="194"/>
  <c r="B41" i="194"/>
  <c r="F8" i="190"/>
  <c r="D9" i="190"/>
  <c r="F38" i="190"/>
  <c r="C510" i="190"/>
  <c r="F56" i="190"/>
  <c r="E501" i="190"/>
  <c r="F501" i="190"/>
  <c r="E92" i="190"/>
  <c r="F92" i="190"/>
  <c r="F125" i="190"/>
  <c r="F160" i="190"/>
  <c r="F162" i="190"/>
  <c r="F194" i="190"/>
  <c r="C227" i="190"/>
  <c r="F395" i="190"/>
  <c r="E396" i="190"/>
  <c r="F396" i="190"/>
  <c r="F400" i="190"/>
  <c r="E401" i="190"/>
  <c r="F401" i="190"/>
  <c r="E499" i="190"/>
  <c r="F499" i="190"/>
  <c r="F479" i="190"/>
  <c r="E480" i="190"/>
  <c r="F480" i="190"/>
  <c r="F492" i="190"/>
  <c r="E493" i="190"/>
  <c r="F493" i="190"/>
  <c r="F51" i="191"/>
  <c r="F349" i="190"/>
  <c r="F427" i="190"/>
  <c r="C508" i="190"/>
  <c r="D288" i="190"/>
  <c r="F288" i="190"/>
  <c r="F358" i="190"/>
  <c r="E18" i="192"/>
  <c r="C18" i="192"/>
  <c r="F18" i="192"/>
  <c r="M13" i="177"/>
  <c r="L13" i="177"/>
  <c r="D505" i="190"/>
  <c r="O25" i="175"/>
  <c r="J41" i="175"/>
  <c r="C19" i="192"/>
  <c r="F19" i="192"/>
  <c r="E227" i="190"/>
  <c r="F227" i="190"/>
  <c r="F223" i="190"/>
  <c r="E498" i="190"/>
  <c r="F498" i="190"/>
  <c r="N39" i="106"/>
  <c r="O23" i="106"/>
  <c r="F100" i="188"/>
  <c r="F101" i="188"/>
  <c r="F103" i="188"/>
  <c r="F51" i="188"/>
  <c r="F80" i="188"/>
  <c r="H41" i="106"/>
  <c r="D494" i="190"/>
  <c r="F9" i="190"/>
  <c r="F60" i="190"/>
  <c r="F496" i="190"/>
  <c r="E505" i="190"/>
  <c r="F505" i="190"/>
  <c r="M8" i="177"/>
  <c r="L8" i="177"/>
  <c r="H37" i="177"/>
  <c r="I37" i="177"/>
  <c r="E494" i="190"/>
  <c r="F494" i="190"/>
  <c r="E515" i="190"/>
  <c r="F515" i="190"/>
  <c r="R27" i="175"/>
  <c r="U27" i="175"/>
  <c r="C37" i="177"/>
  <c r="E79" i="187"/>
  <c r="E80" i="187"/>
  <c r="E85" i="187"/>
  <c r="E92" i="187"/>
  <c r="F44" i="134"/>
  <c r="G43" i="134"/>
  <c r="G44" i="134"/>
  <c r="B37" i="177"/>
  <c r="J37" i="177"/>
  <c r="J34" i="177"/>
  <c r="E34" i="177"/>
  <c r="O41" i="175"/>
  <c r="K42" i="175"/>
  <c r="N45" i="157"/>
  <c r="M43" i="177"/>
  <c r="F506" i="190"/>
  <c r="G25" i="175"/>
  <c r="G41" i="175"/>
  <c r="C505" i="190"/>
  <c r="C517" i="190"/>
  <c r="L20" i="188"/>
  <c r="D42" i="188"/>
  <c r="J20" i="188"/>
  <c r="D82" i="188"/>
  <c r="D91" i="188"/>
  <c r="D103" i="188"/>
  <c r="O26" i="157"/>
  <c r="N42" i="157"/>
  <c r="O42" i="157"/>
  <c r="D500" i="190"/>
  <c r="F500" i="190"/>
  <c r="D84" i="190"/>
  <c r="D495" i="190"/>
  <c r="M11" i="177"/>
  <c r="L11" i="177"/>
  <c r="V41" i="175"/>
  <c r="U52" i="175"/>
  <c r="D55" i="177"/>
  <c r="E55" i="177"/>
  <c r="K55" i="177"/>
  <c r="K24" i="175"/>
  <c r="U25" i="175"/>
  <c r="V25" i="175"/>
  <c r="H44" i="106"/>
  <c r="F84" i="190"/>
  <c r="M55" i="177"/>
  <c r="L55" i="177"/>
  <c r="M20" i="188"/>
  <c r="U44" i="175"/>
  <c r="K41" i="175"/>
  <c r="E37" i="177"/>
  <c r="K37" i="177"/>
  <c r="D37" i="177"/>
  <c r="O39" i="106"/>
  <c r="N46" i="106"/>
  <c r="L34" i="177"/>
  <c r="M34" i="177"/>
  <c r="D81" i="188"/>
  <c r="G42" i="188"/>
  <c r="J42" i="188"/>
  <c r="M42" i="188"/>
  <c r="L42" i="188"/>
  <c r="G95" i="187"/>
  <c r="E104" i="187"/>
  <c r="E495" i="190"/>
  <c r="F495" i="190"/>
  <c r="K25" i="175"/>
  <c r="L37" i="177"/>
  <c r="M37" i="177"/>
  <c r="F14" i="192"/>
  <c r="C14" i="192"/>
  <c r="B14" i="192"/>
  <c r="E14" i="192"/>
</calcChain>
</file>

<file path=xl/sharedStrings.xml><?xml version="1.0" encoding="utf-8"?>
<sst xmlns="http://schemas.openxmlformats.org/spreadsheetml/2006/main" count="2702" uniqueCount="1022">
  <si>
    <t xml:space="preserve">   Költségvetési maradvány igénybevétele 2016.évi</t>
  </si>
  <si>
    <t>Cofog: 082030 - Művészeti tevékenységek (kivéve: színház) - zenekar</t>
  </si>
  <si>
    <t>Cofog: 082070 - Történelmi hely, építmény, egyéb látványosság működtetése és megóvása - hagyományok háza</t>
  </si>
  <si>
    <t>Cofog: 082091 - Közművelődés – közösségi és társadalmi részvétel fejlesztése - granárium</t>
  </si>
  <si>
    <t>Cofog: 082092 - Közművelődés – hagyományos közösségi kulturális értékek gondozása - Művelődési ház</t>
  </si>
  <si>
    <t>9.</t>
  </si>
  <si>
    <t>10.</t>
  </si>
  <si>
    <t>11.</t>
  </si>
  <si>
    <t>12.</t>
  </si>
  <si>
    <t>13.</t>
  </si>
  <si>
    <t>14.</t>
  </si>
  <si>
    <t>Felújítások</t>
  </si>
  <si>
    <t>Beruházások</t>
  </si>
  <si>
    <t>Sor-
szám</t>
  </si>
  <si>
    <t>Bevételek</t>
  </si>
  <si>
    <t>Kiadások</t>
  </si>
  <si>
    <t>Megnevezés</t>
  </si>
  <si>
    <t>Személyi juttatások</t>
  </si>
  <si>
    <t>Működési célú támogatások államháztartáson belülről</t>
  </si>
  <si>
    <t>Munkaadókat terhelő járulékok és szociális hozzájárulási adó</t>
  </si>
  <si>
    <t>Működési bevételek</t>
  </si>
  <si>
    <t xml:space="preserve">Dologi kiadások </t>
  </si>
  <si>
    <t>Működési célú átvett pénzeszközök</t>
  </si>
  <si>
    <t>Ellátottak pénzbeli juttatásai</t>
  </si>
  <si>
    <t>Egyéb működési célú kiadások</t>
  </si>
  <si>
    <t>Tartalékok</t>
  </si>
  <si>
    <t>Költségvetési szervek finanszírozása</t>
  </si>
  <si>
    <t>Költségvetési bevételek összesen (1.+…+7.)</t>
  </si>
  <si>
    <t>Egyéb közhatalmi bevételek</t>
  </si>
  <si>
    <t>Egyéb szolgáltatások</t>
  </si>
  <si>
    <t>Költségvetési kiadások összesen (1.+...+7.)</t>
  </si>
  <si>
    <t>Hiány belső finanszírozásának bevételei (10.+…+13. )</t>
  </si>
  <si>
    <t>Értékpapír vásárlása, visszavásárlása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</si>
  <si>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</si>
  <si>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</si>
  <si>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</si>
  <si>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>Rövid lejáratú hitelek törlesztése</t>
  </si>
  <si>
    <t xml:space="preserve">   Betét visszavonásából származó bevétel </t>
  </si>
  <si>
    <t>Hosszú lejáratú hitelek törlesztése</t>
  </si>
  <si>
    <t xml:space="preserve">   Egyéb belső finanszírozási bevételek</t>
  </si>
  <si>
    <t>Kölcsön törlesztése</t>
  </si>
  <si>
    <t>Forgatási célú belföldi, külföldi értékpapírok vásárlása</t>
  </si>
  <si>
    <t>15.</t>
  </si>
  <si>
    <t xml:space="preserve">   Likviditási célú hitelek, kölcsönök felvétele</t>
  </si>
  <si>
    <t>Betét elhelyezése</t>
  </si>
  <si>
    <t>16.</t>
  </si>
  <si>
    <t>17.</t>
  </si>
  <si>
    <t>Működési célú finanszírozási bevételek összesen (9.+14.)</t>
  </si>
  <si>
    <t>18.</t>
  </si>
  <si>
    <t>MŰKÖDÉSI KIADÁSOK ÖSSZESEN (8.+17.)</t>
  </si>
  <si>
    <t>19.</t>
  </si>
  <si>
    <t>Felhalmozási célú támogatások államháztartáson belülről</t>
  </si>
  <si>
    <t>20.</t>
  </si>
  <si>
    <t>21.</t>
  </si>
  <si>
    <t>Felhalmozási bevételek</t>
  </si>
  <si>
    <t>22.</t>
  </si>
  <si>
    <t>23.</t>
  </si>
  <si>
    <t>24.</t>
  </si>
  <si>
    <t>Egyéb felhalmozási célú bevételek</t>
  </si>
  <si>
    <t>25.</t>
  </si>
  <si>
    <t>26.</t>
  </si>
  <si>
    <t>Hiány belső finanszírozás bevételei ( 27.+28.)</t>
  </si>
  <si>
    <t>27.</t>
  </si>
  <si>
    <t>Költségvetési maradvány igénybevétele</t>
  </si>
  <si>
    <t>28.</t>
  </si>
  <si>
    <t>Egyéb belső finanszírozási bevételek</t>
  </si>
  <si>
    <t>Pénzügyi lízing kiadásai</t>
  </si>
  <si>
    <t>29.</t>
  </si>
  <si>
    <t>Finanszírozási bevételek</t>
  </si>
  <si>
    <t>Finanszírozási kiadások</t>
  </si>
  <si>
    <t>Főkönyvi szám</t>
  </si>
  <si>
    <t>Főkönyvi szám név</t>
  </si>
  <si>
    <t>Szociális hozzájárulási adó</t>
  </si>
  <si>
    <t>Kiadás összesen:</t>
  </si>
  <si>
    <t>Bevétel összesen:</t>
  </si>
  <si>
    <t>Villamos energia</t>
  </si>
  <si>
    <t>Víz- és csatornadíj</t>
  </si>
  <si>
    <t>Egészségügyi hozzájárulás</t>
  </si>
  <si>
    <t>Más járulék fizetési kötelezettség</t>
  </si>
  <si>
    <t>Egyéb költségtérítések</t>
  </si>
  <si>
    <t>ebből tárgyévi költségvetési bevétel összesen:</t>
  </si>
  <si>
    <t>ebből előző évi pénzmaradvány felhasználás/ finaszirozási bevétel :</t>
  </si>
  <si>
    <t xml:space="preserve">forintban </t>
  </si>
  <si>
    <t xml:space="preserve"> forintban </t>
  </si>
  <si>
    <t xml:space="preserve">Egyéb működési célú kiadások Társulásnak átadott </t>
  </si>
  <si>
    <t>Béren kívüli juttatások</t>
  </si>
  <si>
    <t>Közlekedési költségtérítés</t>
  </si>
  <si>
    <t>K1</t>
  </si>
  <si>
    <t>K2</t>
  </si>
  <si>
    <t>Egyéb kommunikációs szolgáltatások</t>
  </si>
  <si>
    <t>Karbantartási, kisjavítási szolgáltatások</t>
  </si>
  <si>
    <t>Kiküldetések kiadásai</t>
  </si>
  <si>
    <t>K3</t>
  </si>
  <si>
    <t>K4</t>
  </si>
  <si>
    <t>Munkaadókat terhelő járulék</t>
  </si>
  <si>
    <t>Felhalmozási célú átvett pénzeszköz</t>
  </si>
  <si>
    <t>Működési célú átvett pénzeszköz</t>
  </si>
  <si>
    <t>Foglalkoztatottak személyi juttatásai</t>
  </si>
  <si>
    <t>Dologi kiadás</t>
  </si>
  <si>
    <t>KIADÁS ÖSSZESEN</t>
  </si>
  <si>
    <t>B1</t>
  </si>
  <si>
    <t xml:space="preserve">ebből: Önkormányzatok működési támogatásai                    </t>
  </si>
  <si>
    <t>B2</t>
  </si>
  <si>
    <t xml:space="preserve">B3 </t>
  </si>
  <si>
    <t>B4</t>
  </si>
  <si>
    <t>B5</t>
  </si>
  <si>
    <t>B6</t>
  </si>
  <si>
    <t>B7</t>
  </si>
  <si>
    <t>B8</t>
  </si>
  <si>
    <t>BEVÉTEL ÖSSZESEN</t>
  </si>
  <si>
    <t>Tartalékok Általános</t>
  </si>
  <si>
    <t>K5</t>
  </si>
  <si>
    <t>K6</t>
  </si>
  <si>
    <t>K7</t>
  </si>
  <si>
    <t>K8</t>
  </si>
  <si>
    <t>K9</t>
  </si>
  <si>
    <t>Hiány külső finanszírozásának bevételei (30.+31. )</t>
  </si>
  <si>
    <t>30.</t>
  </si>
  <si>
    <t>Rövid lejáratú hitelek, kölcsönök felvétele</t>
  </si>
  <si>
    <t>31.</t>
  </si>
  <si>
    <t>Egyéb külső finanszírozási bevételek</t>
  </si>
  <si>
    <t>32.</t>
  </si>
  <si>
    <t>33.</t>
  </si>
  <si>
    <t>34.</t>
  </si>
  <si>
    <t>Közhatalmi bevételek</t>
  </si>
  <si>
    <t>5.</t>
  </si>
  <si>
    <t>4.</t>
  </si>
  <si>
    <t>3.</t>
  </si>
  <si>
    <t>2.</t>
  </si>
  <si>
    <t>1.</t>
  </si>
  <si>
    <t>6.</t>
  </si>
  <si>
    <t>7.</t>
  </si>
  <si>
    <t>8.</t>
  </si>
  <si>
    <t>Háztartásoknak lakásvásárlási támogatás</t>
  </si>
  <si>
    <t>Önkormányzatok működési támogatásai</t>
  </si>
  <si>
    <t>Központi irányító szervi támogatás</t>
  </si>
  <si>
    <t>Felhalmozási célú átvett pénzeszközök átvétele</t>
  </si>
  <si>
    <t>eredeti</t>
  </si>
  <si>
    <t>BEVÉTEL</t>
  </si>
  <si>
    <t>KIADÁS</t>
  </si>
  <si>
    <t>- ebből EU-s támogatás (közvetlen)</t>
  </si>
  <si>
    <t>Egyéb felhalmozási kiadások államháztartáson kívülre</t>
  </si>
  <si>
    <t>Felhalmozási céltartalék</t>
  </si>
  <si>
    <t>- ebből EU-s forrásból megvalósuló beruházás</t>
  </si>
  <si>
    <t>- ebből EU-s forrásból megvalósuló felújítás</t>
  </si>
  <si>
    <t>- ebből EU-s támogatás</t>
  </si>
  <si>
    <t>Költségvetési bevételek összesen (1.+…+5.)</t>
  </si>
  <si>
    <t>Hiány belső finanszírozásának bevételei (8.+…+11. )</t>
  </si>
  <si>
    <t xml:space="preserve">Hiány külső finanszírozásának bevételei (13.) </t>
  </si>
  <si>
    <t>Működési célú finanszírozási kiadások összesen (7.+...+13.)</t>
  </si>
  <si>
    <t>Költségvetési kiadások összesen (1.+...+5.)</t>
  </si>
  <si>
    <t>Működési célú finanszírozási bevételek összesen (7.+12.)</t>
  </si>
  <si>
    <t>MŰKÖDÉSI BEVÉTEL ÖSSZESEN (6.+14.)</t>
  </si>
  <si>
    <t>Költségvetési bevételek összesen: (16.+18.+19.+21.)</t>
  </si>
  <si>
    <t>Hiány külső finanszírozásának bevételei (27.+28. )</t>
  </si>
  <si>
    <t>Felhalmozási célú finanszírozási bevételek összesen (23.+26.)</t>
  </si>
  <si>
    <t>FELHALMOZÁSI BEVÉTEL ÖSSZESEN (22.+29.)</t>
  </si>
  <si>
    <t>BEVÉTELEK ÖSSZESEN (15.+30.)</t>
  </si>
  <si>
    <t>KIADÁSOK ÖSSZESEN (15.+30.)</t>
  </si>
  <si>
    <t>FELHALMOZÁSI KIADÁSOK ÖSSZESEN (22.+29.)</t>
  </si>
  <si>
    <t>Felhalmozási célú finanszírozási kiadások összesen (23.+…+26.)</t>
  </si>
  <si>
    <t>Költségvetési kiadások összesen: (16.+18.+20.+21.)</t>
  </si>
  <si>
    <t>Hiány belső finanszírozásának bevételei ( 24.+25.)</t>
  </si>
  <si>
    <t>Felhalmozási célú átvett pénzeszközök</t>
  </si>
  <si>
    <t xml:space="preserve">Az átcsoportosítás jogát a Képviselő-testület gyakorolja. </t>
  </si>
  <si>
    <t xml:space="preserve">Cofog: 011130 - Önkormányzatok és önkormányzati hivatalok jogalkotó és általános igazgatási tevékenysége               </t>
  </si>
  <si>
    <t>Személyi juttatások összesen</t>
  </si>
  <si>
    <t>Cofog: 013320 - Köztemető-fenntartás és -működtetés</t>
  </si>
  <si>
    <t>Dologi kiadások</t>
  </si>
  <si>
    <t>Cofog: 013350 - Az önkormányzati vagyonnal való gazdálkodással kapcsolatos feladatok</t>
  </si>
  <si>
    <t>Cofog: 018010 - Önkormányzatok elszámolásai a központi költségvetéssel</t>
  </si>
  <si>
    <t>Települési önkormányzatok egyes köznevelési feladatainak támogatása</t>
  </si>
  <si>
    <t>Települési önkormányzatok kulturális feladatainak támogatása</t>
  </si>
  <si>
    <t>Egyéb működési célú kiadás</t>
  </si>
  <si>
    <t>Cofog: 018030 - Támogatási célú finanszírozási műveletek</t>
  </si>
  <si>
    <t>Cofog: 045150 - Egyéb szárazföldi személyszállítás</t>
  </si>
  <si>
    <t>Szolgáltatások ellenértéke</t>
  </si>
  <si>
    <t>Cofog: 045160 - Közutak, hidak, alagutak üzemeltetése, fenntartása</t>
  </si>
  <si>
    <t>Cofog: 061030 - Lakáshoz jutást segítő támogatások</t>
  </si>
  <si>
    <t>Egyéb felhalmozási célú kiadás</t>
  </si>
  <si>
    <t>Cofog: 064010 - Közvilágítás</t>
  </si>
  <si>
    <t>Cofog: 066010 - Zöldterület-kezelés</t>
  </si>
  <si>
    <t>Cofog: 066020 - Város-, községgazdálkodási egyéb szolgáltatások</t>
  </si>
  <si>
    <t>Cofog: 074031 - Család és nővédelmi egészségügyi gondozás</t>
  </si>
  <si>
    <t>Informatikai szolgáltatások igénybevétele</t>
  </si>
  <si>
    <t>Cofog: 081041 - Versenysport- és utánpótlás-nevelési tevékenység és támogatása</t>
  </si>
  <si>
    <t>Vásárolt élelmezés</t>
  </si>
  <si>
    <t>Cofog: 107051 - Szociális étkeztetés</t>
  </si>
  <si>
    <t>Cofog: 107060 - Egyéb szociális pénzbeli és természetbeni ellátások, támogatások - rendkívüli települési tám</t>
  </si>
  <si>
    <t>Cofog: 900020 - Szabad kapacitás terhére végzett, nem haszonszerzési célú tevékenységek kiadásai és bevételei</t>
  </si>
  <si>
    <t>Cofog: 900060 - Forgatási és befektetési finaszírozási műveletek</t>
  </si>
  <si>
    <t>ÖNKORMÁNYZATI BEVÉTEL ÖSSZESEN</t>
  </si>
  <si>
    <t>ÖNKORMÁNYZATI KIADÁS ÖSSZESEN</t>
  </si>
  <si>
    <t>ÁH belüli előleg vissza</t>
  </si>
  <si>
    <t>Központi, irányító szervi támogatás folyósítása- Hivatal működése</t>
  </si>
  <si>
    <t>Kincstárjegy</t>
  </si>
  <si>
    <t xml:space="preserve">Cofog: 104037 - Intézményen kívüli gyermekétkeztetés </t>
  </si>
  <si>
    <t>Somberek Óvoda</t>
  </si>
  <si>
    <t>Konyha</t>
  </si>
  <si>
    <t>Óvoda működési támogatásai</t>
  </si>
  <si>
    <t>Irányítószervtől kapott támogatás ( társulástól normatíva)</t>
  </si>
  <si>
    <t>Irányítószervtől kapott támogatás ( társulástól önk rész)</t>
  </si>
  <si>
    <t xml:space="preserve">Hiány külső finanszírozásának bevételei (15.+16.) </t>
  </si>
  <si>
    <t xml:space="preserve">   Értékpapírok bevételei</t>
  </si>
  <si>
    <t>Működési célú finanszírozási kiadások összesen (9.+...+16.)</t>
  </si>
  <si>
    <t>MŰKÖDÉSI BEVÉTEL ÖSSZESEN (8.+17.)</t>
  </si>
  <si>
    <t>Költségvetési bevételek összesen: (19.+21.+22.+24.)</t>
  </si>
  <si>
    <t>Költségvetési kiadások összesen: (19.+21.+23.+24.)</t>
  </si>
  <si>
    <t>Hiány belső finanszírozásának bevételei ( 27.+28.)</t>
  </si>
  <si>
    <t>Felhalmozási célú finanszírozási bevételek összesen (26.+29.)</t>
  </si>
  <si>
    <t>FELHALMOZÁSI BEVÉTEL ÖSSZESEN (25.+32.)</t>
  </si>
  <si>
    <t>FELHALMOZÁSI KIADÁSOK ÖSSZESEN (25.+32.)</t>
  </si>
  <si>
    <t>BEVÉTELEK ÖSSZESEN (18.+33.)</t>
  </si>
  <si>
    <t>KIADÁSOK ÖSSZESEN (18.+33.)</t>
  </si>
  <si>
    <t xml:space="preserve">Irányítószervtől kapott támogatás </t>
  </si>
  <si>
    <t>Önkormányzati támogatás</t>
  </si>
  <si>
    <t>ebből EU-s támogatás</t>
  </si>
  <si>
    <t>ebből EU-s forrásból megvalósuló beruházás</t>
  </si>
  <si>
    <t>ebből EU-s forrásból megvalósuló felújítás</t>
  </si>
  <si>
    <t>ebből EU-s támogatás (közvetlen)</t>
  </si>
  <si>
    <t>Tartalékok Céltartalék felhalmozási</t>
  </si>
  <si>
    <t>Felhalmozási célú finanszírozási kiadások összesen  (26.+…+28.)</t>
  </si>
  <si>
    <t>Iparűzési adó</t>
  </si>
  <si>
    <t xml:space="preserve">Egyéb felhalmozási célú kiadások </t>
  </si>
  <si>
    <t xml:space="preserve">Felhalmozási célú finanszírozási bevételek összesen </t>
  </si>
  <si>
    <t xml:space="preserve">Felhalmozási célú finanszírozási kiadások összesen </t>
  </si>
  <si>
    <t xml:space="preserve">FELHALMOZÁSI KIADÁSOK ÖSSZESEN </t>
  </si>
  <si>
    <t>FELHALMOZÁSI BEVÉTEL ÖSSZESEN</t>
  </si>
  <si>
    <t xml:space="preserve">                                                                                                              </t>
  </si>
  <si>
    <t>Cofog: 062020 - Településfejlesztési Projektek és támogatásuk</t>
  </si>
  <si>
    <t>Közvetített szolgáltatások ellenértéke</t>
  </si>
  <si>
    <t>Cofog: 095020 - Iskolarendszeren kívüli egyéb oktatás, képzés EFOP óvoda pályázat</t>
  </si>
  <si>
    <t>ÁFA</t>
  </si>
  <si>
    <t>2020. évi előirányzat összesen</t>
  </si>
  <si>
    <t>Kiadások visszatérítései</t>
  </si>
  <si>
    <t>Szakmai anyagok beszerzése</t>
  </si>
  <si>
    <t>Cofog: 081045 - Szabadidősport- (rekreációs sport-) tevékenység és támogatása - Kondi terem- Panzió</t>
  </si>
  <si>
    <t>Bevétel-Kiadás</t>
  </si>
  <si>
    <t>Ravatalozó felújítás</t>
  </si>
  <si>
    <t>TAO Sport öltöző felújítás 2020 - önerő</t>
  </si>
  <si>
    <t xml:space="preserve">TAO Sport öltöző felújítás 2020 </t>
  </si>
  <si>
    <t>Cofog: 084031 - Civil szervezetek működési támogatása</t>
  </si>
  <si>
    <t>Granárium felújítás - homlokzat</t>
  </si>
  <si>
    <t>Felhalmozási  célú támogatások államháztartáson belülről</t>
  </si>
  <si>
    <t>Összes pénzeszköz</t>
  </si>
  <si>
    <t>Szabad felhasználású pénzeszköz összesen</t>
  </si>
  <si>
    <t>Önkormányzatok működési támogatásai  irányító szervtől</t>
  </si>
  <si>
    <t xml:space="preserve">Költségvetési bevételek összesen </t>
  </si>
  <si>
    <t xml:space="preserve">Költségvetési kiadások összesen </t>
  </si>
  <si>
    <t xml:space="preserve">Működési célú finanszírozási kiadások összesen </t>
  </si>
  <si>
    <t xml:space="preserve">MŰKÖDÉSI BEVÉTEL ÖSSZESEN </t>
  </si>
  <si>
    <t xml:space="preserve">MŰKÖDÉSI KIADÁSOK ÖSSZESEN </t>
  </si>
  <si>
    <t xml:space="preserve">Felhalmozási Költségvetési bevételek összesen: </t>
  </si>
  <si>
    <t xml:space="preserve">Felhalmozási Költségvetési kiadások összesen: </t>
  </si>
  <si>
    <t>Felhalmozási célú finanszírozási bevételek összesen</t>
  </si>
  <si>
    <t xml:space="preserve">BEVÉTELEK ÖSSZESEN </t>
  </si>
  <si>
    <t>KIADÁSOK ÖSSZESEN</t>
  </si>
  <si>
    <t xml:space="preserve">FELHALMOZÁSI BEVÉTEL ÖSSZESEN </t>
  </si>
  <si>
    <t>FELHALMOZÁSI KIADÁSOK ÖSSZESEN</t>
  </si>
  <si>
    <t xml:space="preserve">Hiány külső finanszírozásának bevételei </t>
  </si>
  <si>
    <t>Hiány belső finanszírozás bevételei</t>
  </si>
  <si>
    <t xml:space="preserve">Hiány belső finanszírozásának bevételei </t>
  </si>
  <si>
    <t>LEADER Sport  öltöző nyílászáró - támogatás  2019 visszatérítés</t>
  </si>
  <si>
    <t>Üzemeltetési anyagok beszerzése</t>
  </si>
  <si>
    <t>Közüzemi díjak</t>
  </si>
  <si>
    <t>Ingatlanok felújítása</t>
  </si>
  <si>
    <t>Törvény szerinti illetmények, munkabérek</t>
  </si>
  <si>
    <t>Foglalkoztatottak egyéb személyi juttatásai</t>
  </si>
  <si>
    <t>Egyéb elvonások, befizetések</t>
  </si>
  <si>
    <t>2020. évi eredeti  előirányzat</t>
  </si>
  <si>
    <t>Egyéb tárgyi eszköz értékesítése</t>
  </si>
  <si>
    <t>Államkötvény visszaváltása - forgatási célú</t>
  </si>
  <si>
    <t>Államkötvény  vásárlása - forgatási célú</t>
  </si>
  <si>
    <t>módosított</t>
  </si>
  <si>
    <t>tény</t>
  </si>
  <si>
    <t>%</t>
  </si>
  <si>
    <t>2020. évi mód ei összesen</t>
  </si>
  <si>
    <t>2020. évi tény összesen</t>
  </si>
  <si>
    <t>adatok forintban</t>
  </si>
  <si>
    <t>Teljesülés %</t>
  </si>
  <si>
    <t>Művelődési ház mosógép csere</t>
  </si>
  <si>
    <t>2020. évi módosított ei I. félév</t>
  </si>
  <si>
    <t>2020. évi módosított ei III. n.év</t>
  </si>
  <si>
    <t xml:space="preserve"> %</t>
  </si>
  <si>
    <t>Somberek és Görcsönydoboka  Óvodafenntartó Társulás</t>
  </si>
  <si>
    <t>Bankbetét elhelyezése</t>
  </si>
  <si>
    <t>Alaptevékenység szabad maradványa</t>
  </si>
  <si>
    <t xml:space="preserve">                  - Államkötvény étéke /bankbetét</t>
  </si>
  <si>
    <t>ebből tárgyévi finaszírozási bevétel összesen:</t>
  </si>
  <si>
    <t>Sor  szám</t>
  </si>
  <si>
    <t>Somberek Község Önkormányzata</t>
  </si>
  <si>
    <t>Sombereki Közös Önkormányzati Hivatal</t>
  </si>
  <si>
    <t>Somberek Község Önkormányzata összevontan</t>
  </si>
  <si>
    <t>Összeg / Ft</t>
  </si>
  <si>
    <t>01</t>
  </si>
  <si>
    <t>Alaptevékenység költségvetési bevételei</t>
  </si>
  <si>
    <t>02</t>
  </si>
  <si>
    <t>Alaptevékenység költségvetési kiadásai</t>
  </si>
  <si>
    <t>I. Alaptevékenység költségvetési egyenlege (=01-02)</t>
  </si>
  <si>
    <t>03</t>
  </si>
  <si>
    <t>Alaptevékenység finanszírozási bevételei</t>
  </si>
  <si>
    <t>04</t>
  </si>
  <si>
    <t>Alaptevékenység finanszírozási kiadásai</t>
  </si>
  <si>
    <t>II. Alaptevékenység finanszírozási egyenlege (=03-04)</t>
  </si>
  <si>
    <t>A Alaptevékenység maradványa (=±I±II)</t>
  </si>
  <si>
    <t>05</t>
  </si>
  <si>
    <t>Vállalkozási tevékenység költségvetési bevételei</t>
  </si>
  <si>
    <t>06</t>
  </si>
  <si>
    <t>Vállalkozási tevékenység költségvetési kiadásai</t>
  </si>
  <si>
    <t>III.Vállalkozási tevékenység költségvetési egyenlege (=05-06)</t>
  </si>
  <si>
    <t>07</t>
  </si>
  <si>
    <t>Vállalkozási tevékenység finanszírozási bevételei</t>
  </si>
  <si>
    <t>08</t>
  </si>
  <si>
    <t>Vállalkozási tevékenység finanszírozási kiadásai</t>
  </si>
  <si>
    <t>IV.Vállalkozási tevékenység finanszírozási egyenlege (=07-08)</t>
  </si>
  <si>
    <t>B.Vállalkozási tevékenység maradványa (=±III±IV)</t>
  </si>
  <si>
    <t>C Összes maradvány (=A+B)</t>
  </si>
  <si>
    <t>D Alaptevékenység kötelezettségvállalással terhelt maradványa</t>
  </si>
  <si>
    <t>E Alaptevékenység szabad maradványa (=A-D)</t>
  </si>
  <si>
    <t>F Vállalkozási tevékenységet terhelő befizetési kötelezettség (=B*0,1)</t>
  </si>
  <si>
    <t>G Vállalkozási tevékenység felhasználható maradványa (=B-F)</t>
  </si>
  <si>
    <t>Ft-ban</t>
  </si>
  <si>
    <t xml:space="preserve">Sombereki Közös Önkormányzati Hivatal </t>
  </si>
  <si>
    <t>2019.dec.31.</t>
  </si>
  <si>
    <t>összegben változás</t>
  </si>
  <si>
    <t>%-ban változás</t>
  </si>
  <si>
    <t>A/I/1 Vagyon értékű jogok</t>
  </si>
  <si>
    <t>A/I Immateriális javak</t>
  </si>
  <si>
    <t>A/II/1 Ingatlanok és a kapcsolódó vagyoni értékű jogok</t>
  </si>
  <si>
    <t>A/II/2 Gépek, berendezések, felszerelések, járművek</t>
  </si>
  <si>
    <t xml:space="preserve">A/II Tárgyi eszközök </t>
  </si>
  <si>
    <t>A/III/1 Tartós részesedések</t>
  </si>
  <si>
    <t xml:space="preserve">A/III Befektetett pénzügyi eszközök </t>
  </si>
  <si>
    <t>A) NEMZETI VAGYONBA TARTOZÓ BEFEKTETETT ESZKÖZÖK</t>
  </si>
  <si>
    <t>B/II/2 Forgatási célú hitelviszonyt megtest.értékpapírok (&gt;=B/II/2a+…+B/II/2e)</t>
  </si>
  <si>
    <t>B/II/2b - ebből: kincstárjegyek</t>
  </si>
  <si>
    <t>B/II Értékpapírok (=B/II/1+B/II/2)</t>
  </si>
  <si>
    <t>B) NEMZETI VAGYONBA TARTOZÓ FORGÓESZKÖZÖK</t>
  </si>
  <si>
    <t>C/II Pénztárak, csekkek, betétkönyvek</t>
  </si>
  <si>
    <t>C/III Forintszámlák</t>
  </si>
  <si>
    <t xml:space="preserve">C) PÉNZESZKÖZÖK </t>
  </si>
  <si>
    <t>D/I/3 Költségvetési évben esedékes követelések közhatalmi bevételre</t>
  </si>
  <si>
    <t>D/I/4 Költségvetési évben esedékes követelések működési bevételre</t>
  </si>
  <si>
    <t>D/I/6 Költségvetési évben esedékes követelések működési célú átvett pénzeszközre</t>
  </si>
  <si>
    <t>D/I/7 Költségvetési évben esedékes követelések felhalmozási  célú átvett pénzeszközre</t>
  </si>
  <si>
    <t>D/I Költségvetési évben esedékes követelések</t>
  </si>
  <si>
    <t>D/III/1 Adott előlegek</t>
  </si>
  <si>
    <t>D/III/1e - ebből: foglalkoztatottaknak adott előlegek</t>
  </si>
  <si>
    <t xml:space="preserve">D/III/1f - ebből: túlfizetések </t>
  </si>
  <si>
    <t>D/III/4 Forgótőke elszámolása</t>
  </si>
  <si>
    <t xml:space="preserve">D/III/7Folyosított TB </t>
  </si>
  <si>
    <t>D/III Követelés jellegű sajátos elszámolások</t>
  </si>
  <si>
    <t xml:space="preserve">D) KÖVETELÉSEK </t>
  </si>
  <si>
    <t>E) EGYÉB SAJÁTOS ESZKÖZOLDALI  ELSZÁMOLÁSOK</t>
  </si>
  <si>
    <t xml:space="preserve">F) AKTÍV IDŐBELI  ELHATÁROLÁSOK </t>
  </si>
  <si>
    <t>ESZKÖZÖK ÖSSZESEN (=A+B+C+D+E+F)</t>
  </si>
  <si>
    <t>G/I Nemzeti vagyon induláskori értéke</t>
  </si>
  <si>
    <t>G/II Nemzeti vagyon változásai</t>
  </si>
  <si>
    <t>G/III Egyéb eszközök induláskori értéke és változásai</t>
  </si>
  <si>
    <t>G/IV Felhalmozott eredmény</t>
  </si>
  <si>
    <t>G/VI Mérleg szerinti eredmény</t>
  </si>
  <si>
    <t>G) SAJÁT TŐKE (=G/I+…+G/VI)</t>
  </si>
  <si>
    <t>H/I/3 Költségvetési évben esedékes kötelezettségek dologi kiadásokra</t>
  </si>
  <si>
    <t>H/I Költségvetési évben esedékes kötelezettségek</t>
  </si>
  <si>
    <t>H/I/7 Költségvetési évet köv. esedékes kötelezettségek dologi kiadásokra</t>
  </si>
  <si>
    <t>H/II/9 Költségvetési évet követően esedékes kötelezettségek finanszírozási kiadásokra</t>
  </si>
  <si>
    <t>H/II Költségvetési évet követően esedékes kötelezettségek</t>
  </si>
  <si>
    <t>H/III / 1 Kapott előlegek</t>
  </si>
  <si>
    <t xml:space="preserve">H/III/ 3 más szervezetet megillető bevételek elszámolása  </t>
  </si>
  <si>
    <t>H) KÖTELEZETTSÉGEK (=H/I+H/II+H/III)</t>
  </si>
  <si>
    <t>I) EGYÉB SAJÁTOS FORRÁSOLDALI ELSZÁMOLÁSOK</t>
  </si>
  <si>
    <t>J/2 Költségek, ráfordítások passzív időbeli elhatárolása</t>
  </si>
  <si>
    <t>J) PASSZÍV IDŐBELI ELHATÁROLÁSOK (=K/1+K/2+K/3)</t>
  </si>
  <si>
    <t>FORRÁSOK ÖSSZESEN (=G+H+I+J+K)</t>
  </si>
  <si>
    <t>Somberek Község Önkormányzat 2020. évi költségvetés teljesítésének  maradványkimutatása</t>
  </si>
  <si>
    <t>2020.évi költségvetés teljesítésének vagyonkimutatása</t>
  </si>
  <si>
    <t>2020.dec.31.</t>
  </si>
  <si>
    <t>C/I/1 Éven túli lejáratú forint lekötött bankbetétek</t>
  </si>
  <si>
    <t>Önkormányzat</t>
  </si>
  <si>
    <t>Korm. Funk.</t>
  </si>
  <si>
    <t>Teljes munkaidő</t>
  </si>
  <si>
    <t>Részmunkaidő</t>
  </si>
  <si>
    <t>Összesen</t>
  </si>
  <si>
    <t xml:space="preserve">Személyszállítás         </t>
  </si>
  <si>
    <t>045150</t>
  </si>
  <si>
    <t>MT alapján</t>
  </si>
  <si>
    <t xml:space="preserve">   közalkalmazott</t>
  </si>
  <si>
    <t xml:space="preserve">Önkormányzati jogalk.    </t>
  </si>
  <si>
    <t>011130</t>
  </si>
  <si>
    <t xml:space="preserve">Család és nővédelem  </t>
  </si>
  <si>
    <t>074031</t>
  </si>
  <si>
    <t xml:space="preserve">Közművelődési tev.        </t>
  </si>
  <si>
    <t>082092</t>
  </si>
  <si>
    <t>Óvoda</t>
  </si>
  <si>
    <t>091130</t>
  </si>
  <si>
    <t>Nemz. óvodai nevelés    SB</t>
  </si>
  <si>
    <t xml:space="preserve">Óvodai étkeztetés       </t>
  </si>
  <si>
    <t>096010</t>
  </si>
  <si>
    <t xml:space="preserve">    közalkalmazott</t>
  </si>
  <si>
    <t xml:space="preserve">Iskolai étkeztetés        </t>
  </si>
  <si>
    <t>096020</t>
  </si>
  <si>
    <t xml:space="preserve">Vendégétkeztetés      </t>
  </si>
  <si>
    <t>900050</t>
  </si>
  <si>
    <t>Szociális  étkeztetés</t>
  </si>
  <si>
    <t>107051</t>
  </si>
  <si>
    <t xml:space="preserve">Önkormányzati ig.       </t>
  </si>
  <si>
    <t xml:space="preserve">  jegyző</t>
  </si>
  <si>
    <t xml:space="preserve">Önkormányzati ig.      </t>
  </si>
  <si>
    <t xml:space="preserve">  köztisztviselő ügyintéző</t>
  </si>
  <si>
    <t>Közfoglalkoztatás</t>
  </si>
  <si>
    <t>Valós létszám</t>
  </si>
  <si>
    <t>Hónapok száma</t>
  </si>
  <si>
    <t>Kerekítve</t>
  </si>
  <si>
    <t>számított létszám évre vetítve</t>
  </si>
  <si>
    <t>041237</t>
  </si>
  <si>
    <t>041233</t>
  </si>
  <si>
    <t>HT 2019</t>
  </si>
  <si>
    <t>Mindösszesen</t>
  </si>
  <si>
    <t xml:space="preserve">Somberek Község Önkormányzat és intézményeinek létszámadatai a 2020. évi költségvetéshez </t>
  </si>
  <si>
    <t>községgazdálkodás</t>
  </si>
  <si>
    <t>066020</t>
  </si>
  <si>
    <t>választott tisztviselő</t>
  </si>
  <si>
    <t>START Minta Szociális 2020</t>
  </si>
  <si>
    <t>HT 2020</t>
  </si>
  <si>
    <t>Ebből 12 fő közfoglalkoztatott 3 illetve 10 hónapig tartó időtartamban, ezért az  éves számított létszám 37 fő,</t>
  </si>
  <si>
    <t>fő</t>
  </si>
  <si>
    <t>II.2. Óvodaműködtetési támogatás</t>
  </si>
  <si>
    <t>II.5. Nemzetiségi pótlék</t>
  </si>
  <si>
    <t>KIMUTATÁS</t>
  </si>
  <si>
    <t>Somberek Község Önkormányzata által felvett működési és beruházási hitelekről és azok kamatairól</t>
  </si>
  <si>
    <t>(adatok eFt-ban)</t>
  </si>
  <si>
    <t>Feladatok megnevezése</t>
  </si>
  <si>
    <t>Felvétel</t>
  </si>
  <si>
    <t>Kedvezmé- nyezett</t>
  </si>
  <si>
    <t xml:space="preserve">Fennálló hitel              </t>
  </si>
  <si>
    <t>Lejárat ideje</t>
  </si>
  <si>
    <t>Ideje</t>
  </si>
  <si>
    <t>Összege</t>
  </si>
  <si>
    <t>Tőke</t>
  </si>
  <si>
    <t>Kamat</t>
  </si>
  <si>
    <t>Hitelek összesen:</t>
  </si>
  <si>
    <t>Kincstárjegy vásárlás</t>
  </si>
  <si>
    <t xml:space="preserve">Fennálló követelés      e Ft        </t>
  </si>
  <si>
    <t>Összege    e Ft</t>
  </si>
  <si>
    <t>Kamatózó Kincstárjegy</t>
  </si>
  <si>
    <t xml:space="preserve"> Beváltás</t>
  </si>
  <si>
    <t>-</t>
  </si>
  <si>
    <t xml:space="preserve">Vásárlás </t>
  </si>
  <si>
    <t xml:space="preserve">K I M U T A T Á S </t>
  </si>
  <si>
    <t xml:space="preserve">Kimutatás Somberek Község Önkormányzat többéves kihatással járó döntéseről </t>
  </si>
  <si>
    <t>ezer Ft-ban</t>
  </si>
  <si>
    <t>A feladat megnevezése</t>
  </si>
  <si>
    <t>Előirányzat</t>
  </si>
  <si>
    <t>Módosított</t>
  </si>
  <si>
    <t>Tény</t>
  </si>
  <si>
    <t>Felhalmozási célú kiadások</t>
  </si>
  <si>
    <t>Lakástámogatás</t>
  </si>
  <si>
    <t xml:space="preserve">Lakásépítésére,vásárlására folyósított kölcsönök </t>
  </si>
  <si>
    <t>Felhalmozási célú kiadások összesen:</t>
  </si>
  <si>
    <t>Lakásépítésére,vásárlására folyósított kölcsönök megtérülése</t>
  </si>
  <si>
    <t>Felhalmozási célú bevételek összesen:</t>
  </si>
  <si>
    <t>Működési célú kiadások -hitelfelvétel</t>
  </si>
  <si>
    <t>Működési célú kiadások összesen:</t>
  </si>
  <si>
    <t>Működési bevételek hitelfelvétel</t>
  </si>
  <si>
    <t>Működési célú bevételek összesen:</t>
  </si>
  <si>
    <t>Adónem</t>
  </si>
  <si>
    <t>Közvetett támogatás</t>
  </si>
  <si>
    <t>Összesen eredeti ei.</t>
  </si>
  <si>
    <t>Összesen módosított ei.</t>
  </si>
  <si>
    <t xml:space="preserve">Összesen tény </t>
  </si>
  <si>
    <t>Kedvezmény</t>
  </si>
  <si>
    <t>Mentesség</t>
  </si>
  <si>
    <t>Elengedés</t>
  </si>
  <si>
    <t>Magánszem. kommunális adó</t>
  </si>
  <si>
    <t>Termőföld bérbead. jöv.</t>
  </si>
  <si>
    <t>Gépjármű adó</t>
  </si>
  <si>
    <t>Késedelmi pótlék</t>
  </si>
  <si>
    <t>Bírság</t>
  </si>
  <si>
    <t>Egyéb bevétel</t>
  </si>
  <si>
    <t>Helyi adó összesen:</t>
  </si>
  <si>
    <t>Ellátottak térítési méltányossági díjának, kártérítésének elengedése</t>
  </si>
  <si>
    <t>Lakosság részére lakásépítéshez, lakásvásárláshoz vissza nem térítendő kölcsön nyújtása</t>
  </si>
  <si>
    <t>Hulladékszállítás költségeinek támogatása</t>
  </si>
  <si>
    <t>Helyiségek, eszközök hasznosításából származó bevételből nyújtott kedvezmény, mentesség</t>
  </si>
  <si>
    <t>Egyéb nyújtott kedvezmény vagy kölcsön elgengedése</t>
  </si>
  <si>
    <t>KÖZVETETT TÁMOGATÁSOK ÖSSZESEN:</t>
  </si>
  <si>
    <t>Sombereki Közös Önkormányzati Hivatal müködéséhez hozzájárulás</t>
  </si>
  <si>
    <t xml:space="preserve"> Ft-ban</t>
  </si>
  <si>
    <t xml:space="preserve"> Költség -Normatva felosztás lakosságszám alapján Somberek</t>
  </si>
  <si>
    <t>Saját bevétel</t>
  </si>
  <si>
    <t>Költség - Normatva felosztás lakosságszám alapján  Görcsönydoboka</t>
  </si>
  <si>
    <t>Lakosságszám  fő</t>
  </si>
  <si>
    <t>Működési támogatás ÁH belülről</t>
  </si>
  <si>
    <t>Somberek és Görcsönydoboka Óvodafenntartó Társulás működési hozzájárulása</t>
  </si>
  <si>
    <t>Összes kiadás</t>
  </si>
  <si>
    <t>Állami támogatás</t>
  </si>
  <si>
    <t>Saját bevétel/ egyéb támogatás</t>
  </si>
  <si>
    <t>Önkormányzatok  által teljesített hozzájárulás</t>
  </si>
  <si>
    <t>200000 saját</t>
  </si>
  <si>
    <t>óvodafenntartó társulás</t>
  </si>
  <si>
    <t>normatíva vissza fizetés államkincstár</t>
  </si>
  <si>
    <t>ÖSSZESEN :</t>
  </si>
  <si>
    <t>Fizetendő hozzájárulás összesen :</t>
  </si>
  <si>
    <t xml:space="preserve">Óvoda hozzájárulás </t>
  </si>
  <si>
    <t>Közös Önkormányzati Hivatal</t>
  </si>
  <si>
    <t>normatíva visszafizetés</t>
  </si>
  <si>
    <t xml:space="preserve">Sombereki Közös Önkormányzati Hivatal 2020. évi  költségvetésének bevételei és kiadásai kormányzati funkciók szerinti bontásban </t>
  </si>
  <si>
    <t xml:space="preserve">Cofog: 018030 - Támogatási célű finszíroozási műveletek </t>
  </si>
  <si>
    <t>2020. évi eredeti ei.</t>
  </si>
  <si>
    <t>0916</t>
  </si>
  <si>
    <t>Egyéb működési cálú támogatás</t>
  </si>
  <si>
    <t>0981313</t>
  </si>
  <si>
    <t>Előző év költségvetési maradványának igénybevétele</t>
  </si>
  <si>
    <t>098163</t>
  </si>
  <si>
    <t>Központi, irányító szervi támogatás</t>
  </si>
  <si>
    <t>Cofog: 011130 - Önkormányzatok és önkormányzati hivatalok jogalkotó és általános igazgatási tevékenysége</t>
  </si>
  <si>
    <t>09363</t>
  </si>
  <si>
    <t>0940821</t>
  </si>
  <si>
    <t>Kamatbevételek</t>
  </si>
  <si>
    <t>0941132</t>
  </si>
  <si>
    <t>0511011</t>
  </si>
  <si>
    <t>Köztisztviselők,közalkalmazottak bére</t>
  </si>
  <si>
    <t>Céljuttatás , projektprémium</t>
  </si>
  <si>
    <t>0511041</t>
  </si>
  <si>
    <t>Készenléti, ügyeleti, helyettesítési díj, túlóra, túlszolgálat</t>
  </si>
  <si>
    <t>0511063</t>
  </si>
  <si>
    <t xml:space="preserve">Jubileumi </t>
  </si>
  <si>
    <t>0511071</t>
  </si>
  <si>
    <t>0511083</t>
  </si>
  <si>
    <t>Ruházati költségtérítés</t>
  </si>
  <si>
    <t>0511093</t>
  </si>
  <si>
    <t>0511101</t>
  </si>
  <si>
    <t>05213</t>
  </si>
  <si>
    <t>05241</t>
  </si>
  <si>
    <t>05261</t>
  </si>
  <si>
    <t>Más Járulékfizetési - munkáltatói SZJA</t>
  </si>
  <si>
    <t>0531123</t>
  </si>
  <si>
    <t>0531223</t>
  </si>
  <si>
    <t>Üzemeltetési anyag - Irodaszer</t>
  </si>
  <si>
    <t>0531241</t>
  </si>
  <si>
    <t>Üzemeltetési anyag - Munka és védőruha</t>
  </si>
  <si>
    <t>0531263</t>
  </si>
  <si>
    <t>Üzemeletési anyag - Egyéb anyag</t>
  </si>
  <si>
    <t>Informatikai szolg igénybevétele internet</t>
  </si>
  <si>
    <t>0532213</t>
  </si>
  <si>
    <t>Egyéb kommunikáció - Telefonszámla</t>
  </si>
  <si>
    <t>0533113</t>
  </si>
  <si>
    <t>0533123</t>
  </si>
  <si>
    <t>Gázdíj</t>
  </si>
  <si>
    <t>0533133</t>
  </si>
  <si>
    <t>053343</t>
  </si>
  <si>
    <t>053363</t>
  </si>
  <si>
    <t>Szakmai tevékenységet segítő szolgáltatások -postaköltség</t>
  </si>
  <si>
    <t>053373</t>
  </si>
  <si>
    <t>Egyéb szolháltatás -  bank költség</t>
  </si>
  <si>
    <t>053413</t>
  </si>
  <si>
    <t>053513</t>
  </si>
  <si>
    <t>Működési célú előzetesen felszámított általános forgalmi adó</t>
  </si>
  <si>
    <t>05643</t>
  </si>
  <si>
    <t xml:space="preserve">Eszközbeszerzés </t>
  </si>
  <si>
    <t>05673</t>
  </si>
  <si>
    <t>Eszközbeszerzés</t>
  </si>
  <si>
    <t xml:space="preserve"> </t>
  </si>
  <si>
    <t>Finanszírozási bevételek - átvett normatív támogatás</t>
  </si>
  <si>
    <t xml:space="preserve">Sombereki Óvoda és Konyha 2020. évi költségvetésének bevételei és kiadásai kormányzati funkciók szerinti bontásban </t>
  </si>
  <si>
    <t>Sombereki Óvoda  és Konyha</t>
  </si>
  <si>
    <t xml:space="preserve">2 hónap </t>
  </si>
  <si>
    <t xml:space="preserve">       Sombereki Óvoda</t>
  </si>
  <si>
    <t xml:space="preserve">Cofog: 018030 Támogatás         </t>
  </si>
  <si>
    <t xml:space="preserve">2020. évi előirányzat </t>
  </si>
  <si>
    <t>Központi, irányító szervi támogatás -   normatíva átadás</t>
  </si>
  <si>
    <t>Központi, irányító szervi támogatás - önkormányzati hozzájárulás</t>
  </si>
  <si>
    <t>094083</t>
  </si>
  <si>
    <t>Cofog: 091110 - óvodai nevelés, ellátás szakmai feladatai Sombereki Óvoda</t>
  </si>
  <si>
    <t>05110113</t>
  </si>
  <si>
    <t>Kófiás Illés Kovács</t>
  </si>
  <si>
    <t>0511073</t>
  </si>
  <si>
    <t>0511103</t>
  </si>
  <si>
    <t>05243</t>
  </si>
  <si>
    <t>05263</t>
  </si>
  <si>
    <t>Kiadás   Óvoda nevelés összesen :</t>
  </si>
  <si>
    <r>
      <t xml:space="preserve">Cofog: 091120 - SNI  óvodai nevelés, ellátás szakmai feladatai     </t>
    </r>
    <r>
      <rPr>
        <b/>
        <sz val="10"/>
        <color indexed="8"/>
        <rFont val="Verdana"/>
        <family val="2"/>
        <charset val="238"/>
      </rPr>
      <t>Sombereki Óvoda</t>
    </r>
  </si>
  <si>
    <t>051223</t>
  </si>
  <si>
    <t>Munkavégzésre irányuló egyéb jogviszonyban nem saját foglalkoztatottnak fizetett juttatások</t>
  </si>
  <si>
    <t xml:space="preserve">Hüttner </t>
  </si>
  <si>
    <t>Kiadás  Sombereki Óvoda összesen :</t>
  </si>
  <si>
    <t>Cofog: 091130 - Nemzetiségi óvodai nevelés, ellátás szakmai feladatai Sombereki Óvoda</t>
  </si>
  <si>
    <t>Csoboth, Madarász, Berek, Fodor</t>
  </si>
  <si>
    <t>*0,27</t>
  </si>
  <si>
    <t>Kiadás  Nemzetiségi Óvoda nevelés összesen :</t>
  </si>
  <si>
    <t>Cofog: 091140 - Óvodai nevelés, ellátás működési feladatai Sombereki Óvoda</t>
  </si>
  <si>
    <t>0531113</t>
  </si>
  <si>
    <t>Szakmai anyagok  gyógyszer</t>
  </si>
  <si>
    <t>Szakmai anyagok  könyv</t>
  </si>
  <si>
    <t>0531173</t>
  </si>
  <si>
    <t>Szakmai anyag beszerzése kisértékű egyéb</t>
  </si>
  <si>
    <t>053123</t>
  </si>
  <si>
    <t>Üzemeltetési anyag költség  - Irodaszer</t>
  </si>
  <si>
    <t xml:space="preserve">Üzemeltetési anyag költség  - Munka és védőruha </t>
  </si>
  <si>
    <t>Üzemeltetési anyag költség  - egyéb Pl: ágyláb</t>
  </si>
  <si>
    <t>053213</t>
  </si>
  <si>
    <t>Informatikai szolg . Igénybevétele -internet előfizetés</t>
  </si>
  <si>
    <t>053223</t>
  </si>
  <si>
    <t>Szakmai tevékenységet segítő szolgáltatások</t>
  </si>
  <si>
    <t>0533783</t>
  </si>
  <si>
    <t>Pénzügyi, befektetési díj</t>
  </si>
  <si>
    <t>0533793</t>
  </si>
  <si>
    <t>Más egyéb szolgáltatások</t>
  </si>
  <si>
    <t>gyermek Utaztatás</t>
  </si>
  <si>
    <t>0535573</t>
  </si>
  <si>
    <t>Más rovaton nem szerepeltethető dologi jellegű kiadások</t>
  </si>
  <si>
    <t>05641</t>
  </si>
  <si>
    <t>Óvoda informatikai eszköz beszerzés</t>
  </si>
  <si>
    <t>05671</t>
  </si>
  <si>
    <t>05711</t>
  </si>
  <si>
    <t>05741</t>
  </si>
  <si>
    <t>Felújítás</t>
  </si>
  <si>
    <t>SOMBEREKI ÓVODA 2020. évi tervezett kiadásai összesen</t>
  </si>
  <si>
    <t>ÓVODÁK TERVEZETT FORGALMA  ÖSSZESEN 2020- ban</t>
  </si>
  <si>
    <t>Egyéb felhalmozási célú kiadások</t>
  </si>
  <si>
    <t>ÓVODÁK KIADÁS ÖSSZESEN</t>
  </si>
  <si>
    <t>ÓVODÁK BEVÉTEL ÖSSZESEN</t>
  </si>
  <si>
    <t xml:space="preserve">Cofog: 096015 - Intézményi gyermekétkezés étkeztetés </t>
  </si>
  <si>
    <t>094053</t>
  </si>
  <si>
    <t>Ellátási díjak</t>
  </si>
  <si>
    <t>Óvodás</t>
  </si>
  <si>
    <t>Iskolás</t>
  </si>
  <si>
    <t>094063</t>
  </si>
  <si>
    <t>Kiszámlázott általános forgalmi adó</t>
  </si>
  <si>
    <t>Központi, irányító szervi támogatás - normatíva átadás</t>
  </si>
  <si>
    <t>Finanszírozási  bevételek</t>
  </si>
  <si>
    <t>051113</t>
  </si>
  <si>
    <t>Foglalkozatottak egyéb személyi juttatásai</t>
  </si>
  <si>
    <t>052</t>
  </si>
  <si>
    <t>Szakmai anyagok</t>
  </si>
  <si>
    <t>Üzemeltetési anyagok</t>
  </si>
  <si>
    <t>ebből</t>
  </si>
  <si>
    <t>Élelmiszer</t>
  </si>
  <si>
    <t>Közüzemi díj</t>
  </si>
  <si>
    <t>053523</t>
  </si>
  <si>
    <t>Fizetendő általános forgalmi adó</t>
  </si>
  <si>
    <t>Egyéb tárgyi eszköz beszerzés beruházás</t>
  </si>
  <si>
    <t>Egyéb tárgyi eszköz beszerzés beruházás  ÁFA</t>
  </si>
  <si>
    <t>Cofog: 900090</t>
  </si>
  <si>
    <t>Vállalkozási tevékenységek kiadásai és bevételei</t>
  </si>
  <si>
    <t>,</t>
  </si>
  <si>
    <t>KONYHA  BEVÉTEL ÖSSZESEN</t>
  </si>
  <si>
    <t>KONYHA  KIADÁS ÖSSZESEN</t>
  </si>
  <si>
    <t>Finanszírozási bevételek - felhalmozási</t>
  </si>
  <si>
    <t>Finanszírozási bevételek - működési</t>
  </si>
  <si>
    <t xml:space="preserve">Somberek és Görcsönydoboka Óvodafenntartó Társulás  2020. évi bevételei és kiadásai kormányzati funkciók szerinti bontásban </t>
  </si>
  <si>
    <t>Egyéb működési célú támogatások bevételei államháztartáson belülről-helyi önkormányzatok és költségvetési szerveik</t>
  </si>
  <si>
    <t>0916073</t>
  </si>
  <si>
    <t>059153</t>
  </si>
  <si>
    <t>Központi, irányító szervi támogatás folyósítása Sombereki Ó.</t>
  </si>
  <si>
    <t>Központi, irányító szervi támogatás folyósítása Konyha</t>
  </si>
  <si>
    <t xml:space="preserve">Finanszírozási kiadások </t>
  </si>
  <si>
    <t xml:space="preserve"> Somberek Község Önkormányzat 2020. évi költségvetésének  teljesítése - pénzforgalmi mérleg</t>
  </si>
  <si>
    <t>2020. évi módosított ei IV. n.év</t>
  </si>
  <si>
    <t>2020. évi  tény IV. n.év</t>
  </si>
  <si>
    <t>Pénzkészlet  jan.1-én/ december - 31-én  szabad felhasználású</t>
  </si>
  <si>
    <t>ÁH belüli előleg 00 havi megelőlegezés</t>
  </si>
  <si>
    <t xml:space="preserve">Működési célú finanszírozási bev. összesen </t>
  </si>
  <si>
    <t>2020. évi költségvetésének évi teljesítése pénzforgalmi mérlege</t>
  </si>
  <si>
    <t xml:space="preserve">Pénzkészlet 2020 január 1- én/december 31-én : </t>
  </si>
  <si>
    <t xml:space="preserve">2020. IV.n. évi módosított ei </t>
  </si>
  <si>
    <t>2020. évi  tény</t>
  </si>
  <si>
    <t>KONYHA TERVEZETT FORGALMA  ÖSSZESEN 2020- ban</t>
  </si>
  <si>
    <t>Céljutattás, projektprémium</t>
  </si>
  <si>
    <t>0511031</t>
  </si>
  <si>
    <t>Foglakoztatottak egyéb személyi juttatásai</t>
  </si>
  <si>
    <t>Más egyéb szolgáltatás, kéményseprés st</t>
  </si>
  <si>
    <t>05631</t>
  </si>
  <si>
    <t>0550231</t>
  </si>
  <si>
    <t>Egyéb elvonások befizetések</t>
  </si>
  <si>
    <t>094111</t>
  </si>
  <si>
    <t>Egyéb kapott kamatok</t>
  </si>
  <si>
    <t xml:space="preserve">Pénzkészlet 2020. január 1- én/ december 31 : </t>
  </si>
  <si>
    <t>Ingatlan felújítás   ÁFA</t>
  </si>
  <si>
    <t>Sombereki Közös Önkormányzati Hivatal 2020. évi költségvetésének teljesítése - pénzforgalmi mérleg</t>
  </si>
  <si>
    <t>Pénzkészlet 2020. január 1-én/ december 31 -én</t>
  </si>
  <si>
    <t>2020. évi IV. n évi mód ei.</t>
  </si>
  <si>
    <t>2020. évi IV. n évi tény</t>
  </si>
  <si>
    <t>094021</t>
  </si>
  <si>
    <t>0511131</t>
  </si>
  <si>
    <t>szabadságmegváltás</t>
  </si>
  <si>
    <t>Szakmai anyag -Könyv, folyóirat-informatikai eszközök</t>
  </si>
  <si>
    <t>2020. évi terv</t>
  </si>
  <si>
    <t>2020. évi mód</t>
  </si>
  <si>
    <t>2020. évi tény</t>
  </si>
  <si>
    <t>teljesülés</t>
  </si>
  <si>
    <t>Egyéb kapott kamatok és kamatjellegű bevételek</t>
  </si>
  <si>
    <t>051211</t>
  </si>
  <si>
    <t>Választott tisztségviselők juttatásai</t>
  </si>
  <si>
    <t>0521</t>
  </si>
  <si>
    <t>053111</t>
  </si>
  <si>
    <t>053211</t>
  </si>
  <si>
    <t>053361</t>
  </si>
  <si>
    <t>053371</t>
  </si>
  <si>
    <t xml:space="preserve">Egyéb szolgáltatás </t>
  </si>
  <si>
    <t>053411</t>
  </si>
  <si>
    <t>053421</t>
  </si>
  <si>
    <t>Reklám- és propagandakiadások teljesítése</t>
  </si>
  <si>
    <t>053511</t>
  </si>
  <si>
    <t>09361</t>
  </si>
  <si>
    <t>Egyéb közhatalmi bevétel</t>
  </si>
  <si>
    <t>053121</t>
  </si>
  <si>
    <t>Üzemeltetési anyag költség</t>
  </si>
  <si>
    <t>053311</t>
  </si>
  <si>
    <t>053341</t>
  </si>
  <si>
    <t>Egyéb szolgáltatás -szemétszállítás  díj</t>
  </si>
  <si>
    <t>Ingatlan felújítás</t>
  </si>
  <si>
    <t>Felújítási célú előzetesen felszámított áfa</t>
  </si>
  <si>
    <t>Tárgyi eszköz bérbeadásából származó bevételek</t>
  </si>
  <si>
    <t>094041</t>
  </si>
  <si>
    <t>Önkormányzati vagyon üzemeltetéséből származó bevételek</t>
  </si>
  <si>
    <t>09641</t>
  </si>
  <si>
    <t>Egyéb civil, vagy más nonprofit szervezettől műk. célú visszatér. tám., kölcsön</t>
  </si>
  <si>
    <t>Karbantartási, kisjavítási szolgáltatás a vagyonban</t>
  </si>
  <si>
    <t>Egyéb szolgáltatás</t>
  </si>
  <si>
    <t>053551</t>
  </si>
  <si>
    <t xml:space="preserve">Egyéb dologi kiadások </t>
  </si>
  <si>
    <t xml:space="preserve">Egyéb tárgyi eszköz beszerzés </t>
  </si>
  <si>
    <t>Beruházási célú előzetesen felszámított áfa</t>
  </si>
  <si>
    <t>091111</t>
  </si>
  <si>
    <t>Helyi önkormányzatok működésének általános támogatása</t>
  </si>
  <si>
    <t>091121</t>
  </si>
  <si>
    <t>0911311</t>
  </si>
  <si>
    <t>Települési önkormányzatok egyes szociális és gyermekjóléti  feladatainak támogatása</t>
  </si>
  <si>
    <t>0911321</t>
  </si>
  <si>
    <t>Települési önkormányzatok gyermekétkeztetési feladatainak támogatása</t>
  </si>
  <si>
    <t>091141</t>
  </si>
  <si>
    <t>091151</t>
  </si>
  <si>
    <t>Működési célú költségvetési támogatások és kiegészítő támogatások</t>
  </si>
  <si>
    <t>09161</t>
  </si>
  <si>
    <t>Fejezeti kezelésű előirányzatl EU-s prog. és azok hazai társfin. műk. célú tám.</t>
  </si>
  <si>
    <t>098141</t>
  </si>
  <si>
    <t>Államháztartáson belüli megelőlegezés visszat.</t>
  </si>
  <si>
    <t>0550211</t>
  </si>
  <si>
    <t>Helyi önkormányzatok előző évi elszámolásából származó kiadások</t>
  </si>
  <si>
    <t>055121</t>
  </si>
  <si>
    <t>Egyéb vállalkozásnak egyéb működési célú tám.</t>
  </si>
  <si>
    <t>055131</t>
  </si>
  <si>
    <t>Tartalékok -  céltartalék DRV ZRT</t>
  </si>
  <si>
    <t xml:space="preserve">Tartalékok - saját felhasználású általános </t>
  </si>
  <si>
    <t>059141</t>
  </si>
  <si>
    <t>Helyi önkorm. és azok költségvetési szervétől működési célú. tám.</t>
  </si>
  <si>
    <t>0981311</t>
  </si>
  <si>
    <t>Előző évi maradvány igénybevétele - Felhalmozási célú</t>
  </si>
  <si>
    <t>055061</t>
  </si>
  <si>
    <t>Egyéb működési célú támogatások ÁH belülre -óvoda</t>
  </si>
  <si>
    <t>Egyéb működési célú támogatások ÁH belülre - konyha</t>
  </si>
  <si>
    <t>Egyéb működési célú támogatások ÁH belülre - társulás</t>
  </si>
  <si>
    <t>Egyéb működési célú támogatások ÁH belülre - hivatal</t>
  </si>
  <si>
    <t>Egyéb működési célú támogatások ÁH belülre - egyéb</t>
  </si>
  <si>
    <t>Egyéb működési célú támogatások ÁH belülre - MTKT</t>
  </si>
  <si>
    <t>059151</t>
  </si>
  <si>
    <t>Cofog: 032020- Tűz-és katasztrófavédelmi tevékenység</t>
  </si>
  <si>
    <t xml:space="preserve">Cofog: 041233 - Hosszabb időtartamú közfoglalkoztatás </t>
  </si>
  <si>
    <t>Elkülönített állami pénzalaptól műk. célú tám.</t>
  </si>
  <si>
    <t>09251</t>
  </si>
  <si>
    <t>Elkülönített állami pénzalaptól felhalm. célú tám.</t>
  </si>
  <si>
    <t>Közfoglalkoztatott bér</t>
  </si>
  <si>
    <t xml:space="preserve">Foglalkoztatottak egyéb személyi juttatásai </t>
  </si>
  <si>
    <t>Szociális hozzájárulási adó, egyéb munkáltató járulék</t>
  </si>
  <si>
    <t>Cofog: 041237 - Közfoglalkoztatási mintaprogram START</t>
  </si>
  <si>
    <t xml:space="preserve">Üzemeltetési anyag költség  </t>
  </si>
  <si>
    <t>Egyéb tárgyi eszközök beszerzése, létesítése</t>
  </si>
  <si>
    <t xml:space="preserve">Beruházási célú előzetesen felszámított ÁFA </t>
  </si>
  <si>
    <t xml:space="preserve">Szolgáltatások ellenértéke </t>
  </si>
  <si>
    <t>Egyéb dologi kiadás</t>
  </si>
  <si>
    <t>09741</t>
  </si>
  <si>
    <t>Háztartásoktól felhalmozási célú visszatér. tám., kölcsön visszatérülése</t>
  </si>
  <si>
    <t>05891</t>
  </si>
  <si>
    <t>Háztartásoknak egyéb felhalmozási célú tám.</t>
  </si>
  <si>
    <t>Egyéb felhalm. célú tám. bevételei ÁH belülről</t>
  </si>
  <si>
    <t>05621</t>
  </si>
  <si>
    <t>Ingatlan beszerzése, létesítése</t>
  </si>
  <si>
    <t>Közüzemi díjak - Villamos energia</t>
  </si>
  <si>
    <t>09531</t>
  </si>
  <si>
    <t xml:space="preserve">Üzemeltetési anyag költség </t>
  </si>
  <si>
    <t xml:space="preserve">Karbantartási, kisjav. szolgáltatások </t>
  </si>
  <si>
    <t>Egyéb dologi kiadások teljesítése</t>
  </si>
  <si>
    <t xml:space="preserve">Egyéb tárgyi eszköz beszerzés, létesítés </t>
  </si>
  <si>
    <t>Fejezeti kezelésű előir. EU-s prog. és azok hazai társfin. miatt felhalm. célú tám.</t>
  </si>
  <si>
    <t>Egyéb kapott kamatok és kamatjellegű bev.</t>
  </si>
  <si>
    <t xml:space="preserve">Közüzemi díjak </t>
  </si>
  <si>
    <t>Társadalombizt. pénzügyi alapjaitól műk. célú tám.</t>
  </si>
  <si>
    <t>0511091</t>
  </si>
  <si>
    <t>Foglalkoztatottak egyébb személyi juttatásai</t>
  </si>
  <si>
    <t>Szociális hozzájárulási adó, egyéb munkáltatói kifizetés</t>
  </si>
  <si>
    <t>Szakmai anyagok, kisértékű tágyi eszközök beszerzése</t>
  </si>
  <si>
    <t>Karbantartás, kisjavítás</t>
  </si>
  <si>
    <t>Cofog: 074040 - Fertőző megbetegedsek megelőzése, járványügyi ellátás</t>
  </si>
  <si>
    <t>Egyéb civil, vagy más nonprofit szervezettől felhalm. célú visszatér. tám., kölcsön</t>
  </si>
  <si>
    <t>Egyéb civil, vagy más nonprofit szervezetnek műk. célú tám.</t>
  </si>
  <si>
    <t>05861</t>
  </si>
  <si>
    <t>Felhalmozási célú visszatér. Tám., kölcsönök nyújtása ÁH kívülre</t>
  </si>
  <si>
    <t>Egyéb civil, vagy más nonprofit szervezetnek felhalm. célú tám.</t>
  </si>
  <si>
    <t xml:space="preserve">Karabantartás </t>
  </si>
  <si>
    <t xml:space="preserve">Helyi önk.-tól és azok költségvetési szervétől működési célú tám. </t>
  </si>
  <si>
    <t>051221</t>
  </si>
  <si>
    <t>Munkavégzésre irányuló egyéb nem saját fogl fiz. Juttatások</t>
  </si>
  <si>
    <t>Más járulékfizetési kötelezettségek</t>
  </si>
  <si>
    <t xml:space="preserve">Karbantartási, kisjavítási szolgáltatások </t>
  </si>
  <si>
    <t>094031</t>
  </si>
  <si>
    <t>Szakmai anyag</t>
  </si>
  <si>
    <t xml:space="preserve">Ingatlan felújítás </t>
  </si>
  <si>
    <t xml:space="preserve">Felújítási célú előzetesen felszámított ÁFA </t>
  </si>
  <si>
    <t>09651</t>
  </si>
  <si>
    <t>Egyéb működési célú átvett pénzeszközök-egyéb vállalkozások</t>
  </si>
  <si>
    <t>053221</t>
  </si>
  <si>
    <t>Egyéb civil, vagy nonprofit szervezetnek egyéb műk. célú tám.</t>
  </si>
  <si>
    <t>Fejezeti kezelésű előir. EU-s prog. és azok hazai társfin. miatt műk. célú tám.</t>
  </si>
  <si>
    <t>Cofog: 103010 - Elhunyt személyek hátramaradottainak pénzbeli ellátásai</t>
  </si>
  <si>
    <t>05481</t>
  </si>
  <si>
    <t>Egyéb nem intézményi ellátások - szülési</t>
  </si>
  <si>
    <t>053321</t>
  </si>
  <si>
    <t>106010 - Lakóingatlan szociális célú bérbeadása</t>
  </si>
  <si>
    <t>Szolgáltatások ellenértéke lakásbérletek</t>
  </si>
  <si>
    <t xml:space="preserve">Közvetített szolgáltatások ellenértéke  </t>
  </si>
  <si>
    <t>Cofog: 106020 - Lakásfenntartással, lakhatással összefüggő ellátások</t>
  </si>
  <si>
    <t>Cofog: 107051 - Szociális étkezés szociális konyhán</t>
  </si>
  <si>
    <t>Közvetített szolgáltatás ellenértéke</t>
  </si>
  <si>
    <t>Egyéb nem intézményi ellátások  - Települési támogatás</t>
  </si>
  <si>
    <t>Egyéb nem intézményi ellátások  - önk. rendeletben megállapított</t>
  </si>
  <si>
    <t>Egyéb nem intézményi ellátások  - Köztemetés kiadásai</t>
  </si>
  <si>
    <t xml:space="preserve">Egyéb működési célú támogatások ÁH belülre - bursa </t>
  </si>
  <si>
    <t>093111</t>
  </si>
  <si>
    <t>Magánszemélyek jövedelemadói - termőföld bérbeadásból sz. jöv. után SZJA</t>
  </si>
  <si>
    <t>09341</t>
  </si>
  <si>
    <t>Vagyoni típusú adók - Magánszemélyek kommunális adója</t>
  </si>
  <si>
    <t>093511</t>
  </si>
  <si>
    <t>Állandó jelleggel végzett iparűzési tev.után fizetett helyi adó 0,8%</t>
  </si>
  <si>
    <t>093541</t>
  </si>
  <si>
    <t>Helyi önk. Megillető belföldi gépjárműadó bev.</t>
  </si>
  <si>
    <t>0981211</t>
  </si>
  <si>
    <t xml:space="preserve">Forgatási célú belföldi értékpapír beváltása, értékesítése </t>
  </si>
  <si>
    <t>Egyéb szolgáltatás Pénzügyi, befektetési díj, bankköltség</t>
  </si>
  <si>
    <t>0591211</t>
  </si>
  <si>
    <t>Forgatási célú belföldi értékpapír vásárlás</t>
  </si>
  <si>
    <t>059161</t>
  </si>
  <si>
    <t>Pézeszközök betétként elhelyezése</t>
  </si>
  <si>
    <t>Somberek Község 2020. évi költségvetésének teljesítése  kormányzati funkciók szerinti bontásban</t>
  </si>
  <si>
    <t xml:space="preserve">Pénzkészlet 2020. január 1- én december  31-én: </t>
  </si>
  <si>
    <t>Somberek Község Önkormányzat képviselőtestülete a korábbi évek gyakorlatának megfelelően,  2020-ban sem vett fel hitelt és 2021-ben sem tervez működési, sem beruházási hitelt felvenni.</t>
  </si>
  <si>
    <t xml:space="preserve">Somberek Község Önkormányzata Kamatózó Kincstárjegy vásárlásalakulása  2020.évben </t>
  </si>
  <si>
    <t xml:space="preserve"> Somberek Község Önkormányzat 2020. évi  költségvetésének zárszámadási közvetett támogatásai </t>
  </si>
  <si>
    <t>Sombereki Óvoda és Konyha 2021. évi költségvetésének teljesítése  - pénzforgalmi mérleg telephelyenként</t>
  </si>
  <si>
    <t>Sombereki Óvoda és Konyha 2020. évi költségvetésének teljesítése  - pénzforgalmi mérleg telephelyenként</t>
  </si>
  <si>
    <t xml:space="preserve">Somberek Község Önkormányzat 2020. évi Központi költségvetésből származó működési és feladatalapú támogatásai összesen  </t>
  </si>
  <si>
    <t xml:space="preserve">Közös Hivatali összes lakosság szám : 1852  fő, ebből Somberek 1466 fő ,Görcsönydoboka  386 fő (2019. január.1.)  </t>
  </si>
  <si>
    <t>Jogcím száma</t>
  </si>
  <si>
    <t xml:space="preserve">Jogcím megnevezése  </t>
  </si>
  <si>
    <t>Mennyiségi egység</t>
  </si>
  <si>
    <t>Fajlagos összeg 2020.</t>
  </si>
  <si>
    <t>Mutató</t>
  </si>
  <si>
    <t>I.1.a</t>
  </si>
  <si>
    <t>Önkormányzati hivatal működésének támogatása - elismert hivatali létszám alapján</t>
  </si>
  <si>
    <t>elismert hivatali létszám</t>
  </si>
  <si>
    <t>I.1.b - I.1.f</t>
  </si>
  <si>
    <t>Támogatás összesen - beszámítás után</t>
  </si>
  <si>
    <t>forint</t>
  </si>
  <si>
    <t>I.1.ba - I.1.f</t>
  </si>
  <si>
    <t>A zöldterület-gazdálkodással kapcsolatos feladatok ellátásának támogatása - beszámítás után</t>
  </si>
  <si>
    <t>I.1.bb - I.1.f</t>
  </si>
  <si>
    <t>Közvilágítás fenntartásának támogatása - beszámítás után</t>
  </si>
  <si>
    <t>I.1.bc - I.1.f</t>
  </si>
  <si>
    <t>Köztemető fenntartással kapcsolatos feladatok támogatása - beszámítás után</t>
  </si>
  <si>
    <t>I.1.bd - I.1.f</t>
  </si>
  <si>
    <t>Közutak fenntartásának támogatása - beszámítás után</t>
  </si>
  <si>
    <t>I.1.c</t>
  </si>
  <si>
    <t>Egyéb önkormányzati feladatok támogatása</t>
  </si>
  <si>
    <t>I.1.c - I.1.f</t>
  </si>
  <si>
    <t>Egyéb önkormányzati feladatok támogatása - beszámítás után</t>
  </si>
  <si>
    <t>I.1.d - I.1.f</t>
  </si>
  <si>
    <t>Lakott külterülettel kapcsolatos feladatok támogatása - beszámítás után</t>
  </si>
  <si>
    <t>I.1.f beszámítás</t>
  </si>
  <si>
    <t>Beszámítás</t>
  </si>
  <si>
    <t>I.1. - I.1.f</t>
  </si>
  <si>
    <t>A települési önkormányzatok működésének támogatása beszámítás és kiegészítés után</t>
  </si>
  <si>
    <t>I.5.</t>
  </si>
  <si>
    <t>Polgármesteri illetmény támogatása</t>
  </si>
  <si>
    <t xml:space="preserve">I. </t>
  </si>
  <si>
    <t>A helyi önkormányzatok működésének általános támogatása összesen</t>
  </si>
  <si>
    <t>II.1. Pedagógusok, és az e pedagógusok nevelő munkáját közvetlenül segítők bértámogatása</t>
  </si>
  <si>
    <t>Óvoda napi nyitvatartási ideje eléri a nyolc órát</t>
  </si>
  <si>
    <t>II.1. (1)</t>
  </si>
  <si>
    <t>Pedagógusok elismert létszáma</t>
  </si>
  <si>
    <t>II.1. (2)</t>
  </si>
  <si>
    <t>pedagógus szakképzettséggel nem rendelkező, pedagógusok nevelő munkáját közvetlenül segítők száma a Köznev. tv. 2. melléklete szerint</t>
  </si>
  <si>
    <t>II.2. (1)</t>
  </si>
  <si>
    <t xml:space="preserve">II.3. Társulás által fenntartott óvodákba bejáró gyermekek utaztatásának támogatása </t>
  </si>
  <si>
    <t>II.3.</t>
  </si>
  <si>
    <t xml:space="preserve">Társulás által fenntartott óvodákba bejáró gyermekek utaztatásának támogatása </t>
  </si>
  <si>
    <t>II.5. (1)</t>
  </si>
  <si>
    <t xml:space="preserve">II. </t>
  </si>
  <si>
    <t>A települési önkormányzatok egyes köznevelési feladatainak támogatása</t>
  </si>
  <si>
    <t>III.1.</t>
  </si>
  <si>
    <t>A települési önkormányzatok szociális feladatainak egyéb támogatása</t>
  </si>
  <si>
    <t/>
  </si>
  <si>
    <t>III.3. Egyes szociális és gyermekjóléti feladatok támogatása</t>
  </si>
  <si>
    <t>III.2.c (1)</t>
  </si>
  <si>
    <t>szociális étkeztetés</t>
  </si>
  <si>
    <t>III.5. Gyermekétkeztetés támogatása</t>
  </si>
  <si>
    <t>III.5.aa)</t>
  </si>
  <si>
    <t>A finanszírozás szempontjából elismert dolgozók bértámogatása</t>
  </si>
  <si>
    <t>III.5.ab)</t>
  </si>
  <si>
    <t>Gyermekétkeztetés üzemeltetési támogatása</t>
  </si>
  <si>
    <t>III.5.b)</t>
  </si>
  <si>
    <t>A rászoruló gyermekek szünidei étkeztetésének támogatása</t>
  </si>
  <si>
    <t>III.</t>
  </si>
  <si>
    <t>A települési önkormányzatok szociális, gyermekjóléti és gyermekétkeztetési feladatainak támogatása</t>
  </si>
  <si>
    <t>IV. A TELEPÜLÉSI ÖNKORMÁNYZATOK KULTURÁLIS FELADATAINAK TÁMOGATÁSA</t>
  </si>
  <si>
    <t>IV.b</t>
  </si>
  <si>
    <t>Települési önkormányzatok nyilvános könyvtári és a közművelődési feladatainak támogatása</t>
  </si>
  <si>
    <t xml:space="preserve">Somberek Község  Önkormányzat  2020.évi Feladatalapú normatív támogatások összesen: </t>
  </si>
  <si>
    <t>EREDETI Forint</t>
  </si>
  <si>
    <t>Módosított/ tény Forint</t>
  </si>
  <si>
    <t>Elszámolás Forint</t>
  </si>
  <si>
    <t>visszautalandó eltérés</t>
  </si>
  <si>
    <t>közművelődési kiegészítő támogatás</t>
  </si>
  <si>
    <t>Lakossági víz és csatornahálozat működéséséhez támogatás</t>
  </si>
  <si>
    <t>Kiegészítő támogatás  23. cím</t>
  </si>
  <si>
    <t>Kiegészítő támogatás 23. cím</t>
  </si>
  <si>
    <t>Szociális célú tüzelőanyag vásárlása</t>
  </si>
  <si>
    <t>Állományi érték 2020. január 1 -én</t>
  </si>
  <si>
    <t>Állományi érték 2020.december 31 -én</t>
  </si>
  <si>
    <t>Hivatal Összes költség 2020</t>
  </si>
  <si>
    <t>2019. évi pénzmaradvány felhasználás</t>
  </si>
  <si>
    <t>Feladatalapú finanszírozás 2020. évre központi költségvetésből</t>
  </si>
  <si>
    <t xml:space="preserve">Konyha </t>
  </si>
  <si>
    <t xml:space="preserve">Somberek Önkormányzat álltal fizetendő hozzájárulás 2020. évben </t>
  </si>
  <si>
    <t>Óvoda normatíva visszafizetés  hozzájárulás</t>
  </si>
  <si>
    <t>Görcsönydoboka Önkormányzat álltal fizetendő hozzájárulás 2020. évben</t>
  </si>
  <si>
    <t>Nettó teljesítendő hozzájárulás SÁIÓ és AMI-hoz 2011. évre</t>
  </si>
  <si>
    <t>2011. évi állami normatíva</t>
  </si>
  <si>
    <t>Összes költség</t>
  </si>
  <si>
    <t>SÁIÓ és AMI Görcsönydobokai Tagóvodájához</t>
  </si>
  <si>
    <t>Összes nettó Görcsönydoboka Község Önkormányzata által teljesítendő hozzájárulás a körjegyzőség és a konyha működéséhez 2011. évre</t>
  </si>
  <si>
    <t>Iskolabuszra járó normatíva, amit Somberek K. Önk kap, az üzemeltetés teljes költségét Görcsönydoboka K. Önkormányzata viseli</t>
  </si>
  <si>
    <t>Görcsönydoboka Község Önkormányzata által teljesítendő összes hozzájárulás</t>
  </si>
  <si>
    <t>Felosztandó költség</t>
  </si>
  <si>
    <t>Bevételek egyéb étkeztetés</t>
  </si>
  <si>
    <t>Bevételek ( szoc. és gyv. alapú szolgáltatások)</t>
  </si>
  <si>
    <t>Bontási arány</t>
  </si>
  <si>
    <t>Görcsönydoboka K. Önkormányzata által teljesítendő</t>
  </si>
  <si>
    <t xml:space="preserve">Somberek K. Önkormányzat által teljesítendő </t>
  </si>
  <si>
    <t>Somberek Község Önkormányzat Konyhájához müködéséhez hozzájárulás</t>
  </si>
  <si>
    <t>Sombereki Óvoda</t>
  </si>
  <si>
    <t>Számított finanszírozás 2020. évre önkormánytaonként</t>
  </si>
  <si>
    <t>2020 évi saját bevétel</t>
  </si>
  <si>
    <t>Teljesítendő hozzájárulás</t>
  </si>
  <si>
    <t>Pénzügyi munkatárs bére</t>
  </si>
  <si>
    <t>2019.jan.1</t>
  </si>
  <si>
    <t xml:space="preserve"> Somberek és Görcsönydoboka Község Önkormányzatai által közösen fenntartott intézmények 2020. évi költségvetéséhez hozzájárulás teljesülése</t>
  </si>
  <si>
    <t>előző évi PM igénybevétele</t>
  </si>
  <si>
    <t>Somberek Község Önkormányzat 2020. évi költségvetésének teljesítése felhalmozási bevételek - kiadások</t>
  </si>
  <si>
    <t>BERUHÁZÁSOK - FELÚJÍTÁSOK</t>
  </si>
  <si>
    <t>BERUHÁZÁS</t>
  </si>
  <si>
    <t>2020. eredeti</t>
  </si>
  <si>
    <t>2020. módosított</t>
  </si>
  <si>
    <t>2020. tény</t>
  </si>
  <si>
    <t>Zártkert program - közutak fejlesztése</t>
  </si>
  <si>
    <t>DRV Zrt. informatikai rendszer</t>
  </si>
  <si>
    <t>LEADER játszótér</t>
  </si>
  <si>
    <t>Magyar Falu pályázat játszótér</t>
  </si>
  <si>
    <t>Közmunka HT kisértékű tárgyi eszköz</t>
  </si>
  <si>
    <t>Kömunka fűkasza</t>
  </si>
  <si>
    <t>Egyéb tárgyi eszköz kisértékű</t>
  </si>
  <si>
    <t>Egyéb tárgyi eszköz - PEUGEOT BOXER</t>
  </si>
  <si>
    <t>EFOP pályázat</t>
  </si>
  <si>
    <t>Külterületi helyi közutak fejlesztése - traktor</t>
  </si>
  <si>
    <t>Szivattyú csere sportkör</t>
  </si>
  <si>
    <t>Közúti jelzőtábla vásárlás</t>
  </si>
  <si>
    <t>ÖSSZESEN</t>
  </si>
  <si>
    <t>FELÚJÍTÁS</t>
  </si>
  <si>
    <t>Zártkert program</t>
  </si>
  <si>
    <t>Szolgálati lakás felújítás, Kossuth 122.</t>
  </si>
  <si>
    <t>Közmunka - külterületi zúzott kő és kialakításra önerő</t>
  </si>
  <si>
    <t>Granárium felújítás - nyílászáró csere</t>
  </si>
  <si>
    <t>Szolgálati lakás felújítás, Rákóczi u. 4.</t>
  </si>
  <si>
    <t>Külterületi utak fejlesztése</t>
  </si>
  <si>
    <t>EU-s forrásból</t>
  </si>
  <si>
    <t>egyéb támogatás</t>
  </si>
  <si>
    <t>előző évben megérkezett</t>
  </si>
  <si>
    <t>EGYÉB FELHALMOZÁSI CÉLÚ KIADÁSOK</t>
  </si>
  <si>
    <t>VISSZATÉRÜLÉS - BEVÉTEL</t>
  </si>
  <si>
    <t>HSM-108 értékesítés</t>
  </si>
  <si>
    <t>TARTALÉK 2020. ÉVI ALAKULÁSA</t>
  </si>
  <si>
    <t>Bankbetét</t>
  </si>
  <si>
    <t>Összesen tervezett szabad felhasználású tartalék 2020. évi alakulása</t>
  </si>
  <si>
    <t>Óvoda konyha felújítás</t>
  </si>
  <si>
    <t>Óvoda egyéb tárgyi eszköz beszerzés (tálalókonyha)</t>
  </si>
  <si>
    <t>Óvoda eszköz beszerzés ÁFA</t>
  </si>
  <si>
    <t xml:space="preserve">DRV Zrt. Beruházások - informatikai rendszer, </t>
  </si>
  <si>
    <t>DRV Zrt. Beruházások - szivattyú, vizelnyelő akna</t>
  </si>
  <si>
    <t>Somberek Község Önkormányzata és költségvetési szervei 2020 évi költségvetésében összesen 40 fő foglakozatatását terveztre</t>
  </si>
  <si>
    <t>amely létszámban nem történt változás.</t>
  </si>
  <si>
    <t>kedvezmény: vontatók</t>
  </si>
  <si>
    <t>mentesség: magánszemély</t>
  </si>
  <si>
    <t xml:space="preserve">    - kötött felhasználású  (DRV, EFOP )pénzkészlet</t>
  </si>
  <si>
    <t xml:space="preserve">4. sz. függelék a 4/2021. (V.28.) önkormányzati rendelethez </t>
  </si>
  <si>
    <t>1. sz.  melléklet a  4/2021. (V.28.) önkormányzati rendelethez</t>
  </si>
  <si>
    <t xml:space="preserve">2. sz. melléklet a 4/2021. (V.28.) önkormányzati rendelethez </t>
  </si>
  <si>
    <t>3. sz.  melléklet a 4/2021. (V.28.) önkormányzati rendelethez</t>
  </si>
  <si>
    <t>4.a sz. 4/2021. (V.28.) önkormányzati rendelethez</t>
  </si>
  <si>
    <t>4.b sz.  melléklet a 4/2021. (V.28.) önkormányzati rendelethez</t>
  </si>
  <si>
    <t>5. sz.  melléklet a 4/2021. (V.28.) önkormányzati rendelethez</t>
  </si>
  <si>
    <t xml:space="preserve">6. sz. melléklet a 4/2021. (V.28.) önkormányzati rendelethez </t>
  </si>
  <si>
    <t>7. sz.  melléklet a 4/2021. (V.28.) önkormányzati rendelethez</t>
  </si>
  <si>
    <t>8. a. sz.  melléklet a 4/2021. (V.28.) önkormányzati rendelethez</t>
  </si>
  <si>
    <t xml:space="preserve">8. b. sz.  melléklet a 4/2021. (V.28.) önkormányzati rendelethez  </t>
  </si>
  <si>
    <t xml:space="preserve">9. sz.  melléklet a 4/2021. (V.28.) önkormányzati rendelethez  </t>
  </si>
  <si>
    <t xml:space="preserve">10. sz.  melléklet a 4/2021. (V.28.) önkormányzati rendelethez  </t>
  </si>
  <si>
    <t>11. sz.  melléklet a 4/2021. (V.28.) önkormányzati rendelethez</t>
  </si>
  <si>
    <t>12. sz.  melléklet a 4/2021. (V.28.) önkormányzati rendelethez</t>
  </si>
  <si>
    <t xml:space="preserve">1. sz. függelék a  4/2021. (V.28.) önkormányzati rendelethez </t>
  </si>
  <si>
    <t xml:space="preserve">2. sz. függelék a  4/2021. (V.28.) önkormányzati rendelethez </t>
  </si>
  <si>
    <t xml:space="preserve">3. sz.  függelék a 4/2021. (V.28.) önkormányzati rendelethez </t>
  </si>
  <si>
    <t xml:space="preserve">3. sz. függelék a 4/2021. (V.28.) önkormányzati rendelethez </t>
  </si>
  <si>
    <t>Sombereki Óvoda és Konyha 2020. évi költségvetésének  teljesítése  - pénzforgalmi mérleg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</si>
</sst>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Ft&quot;_-;\-* #,##0.00\ &quot;Ft&quot;_-;_-* &quot;-&quot;??\ &quot;Ft&quot;_-;_-@_-"/>
    <numFmt numFmtId="165" formatCode="_-* #,##0.00\ _F_t_-;\-* #,##0.00\ _F_t_-;_-* &quot;-&quot;??\ _F_t_-;_-@_-"/>
    <numFmt numFmtId="166" formatCode="#,###"/>
    <numFmt numFmtId="167" formatCode="_-* #,##0\ _F_t_-;\-* #,##0\ _F_t_-;_-* &quot;-&quot;??\ _F_t_-;_-@_-"/>
    <numFmt numFmtId="169" formatCode="[$-1040E]#,##0\ &quot;Ft&quot;"/>
    <numFmt numFmtId="170" formatCode="_-* #,##0\ &quot;Ft&quot;_-;\-* #,##0\ &quot;Ft&quot;_-;_-* &quot;-&quot;??\ &quot;Ft&quot;_-;_-@_-"/>
    <numFmt numFmtId="196" formatCode="#,##0\ &quot;Ft&quot;"/>
    <numFmt numFmtId="199" formatCode="#,##0.0"/>
    <numFmt numFmtId="202" formatCode="_-* #,##0\ [$Ft-40E]_-;\-* #,##0\ [$Ft-40E]_-;_-* &quot;-&quot;??\ [$Ft-40E]_-;_-@_-"/>
  </numFmts>
  <fonts count="103" x14ac:knownFonts="1">
    <font>
      <sz val="10"/>
      <name val="Arial"/>
      <charset val="238"/>
    </font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"/>
      <family val="2"/>
      <charset val="238"/>
    </font>
    <font>
      <sz val="7"/>
      <color indexed="8"/>
      <name val="Verdana"/>
      <family val="2"/>
      <charset val="238"/>
    </font>
    <font>
      <i/>
      <sz val="7"/>
      <color indexed="8"/>
      <name val="Verdana"/>
      <family val="2"/>
      <charset val="238"/>
    </font>
    <font>
      <i/>
      <sz val="10"/>
      <name val="Arial"/>
      <family val="2"/>
      <charset val="238"/>
    </font>
    <font>
      <sz val="11"/>
      <name val="Times New Roman CE"/>
      <charset val="238"/>
    </font>
    <font>
      <b/>
      <sz val="11"/>
      <name val="Times New Roman CE"/>
      <charset val="238"/>
    </font>
    <font>
      <b/>
      <sz val="7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10"/>
      <color indexed="8"/>
      <name val="Verdana"/>
      <family val="2"/>
      <charset val="238"/>
    </font>
    <font>
      <sz val="7"/>
      <name val="Verdana"/>
      <family val="2"/>
      <charset val="238"/>
    </font>
    <font>
      <i/>
      <sz val="8"/>
      <name val="Arial"/>
      <family val="2"/>
      <charset val="238"/>
    </font>
    <font>
      <sz val="9"/>
      <name val="Arial"/>
      <family val="2"/>
      <charset val="238"/>
    </font>
    <font>
      <b/>
      <sz val="7"/>
      <name val="Times New Roman CE"/>
      <charset val="238"/>
    </font>
    <font>
      <sz val="7"/>
      <name val="Times New Roman CE"/>
      <charset val="238"/>
    </font>
    <font>
      <i/>
      <sz val="7"/>
      <name val="Times New Roman CE"/>
      <charset val="238"/>
    </font>
    <font>
      <sz val="10"/>
      <name val="Arial"/>
      <family val="2"/>
      <charset val="238"/>
    </font>
    <font>
      <b/>
      <i/>
      <sz val="8"/>
      <name val="Times New Roman CE"/>
      <charset val="238"/>
    </font>
    <font>
      <b/>
      <sz val="12"/>
      <name val="Times New Roman CE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i/>
      <sz val="7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Times New Roman CE"/>
      <charset val="238"/>
    </font>
    <font>
      <sz val="7"/>
      <name val="Times New Roman CE"/>
      <family val="1"/>
      <charset val="238"/>
    </font>
    <font>
      <b/>
      <sz val="9"/>
      <color indexed="8"/>
      <name val="Verdana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9"/>
      <color indexed="63"/>
      <name val="Arial"/>
      <family val="2"/>
      <charset val="238"/>
    </font>
    <font>
      <i/>
      <sz val="9"/>
      <name val="Arial"/>
      <family val="2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u/>
      <sz val="10"/>
      <name val="Arial"/>
      <family val="2"/>
      <charset val="238"/>
    </font>
    <font>
      <b/>
      <u/>
      <sz val="10"/>
      <name val="Arial CE"/>
      <family val="2"/>
      <charset val="238"/>
    </font>
    <font>
      <b/>
      <sz val="11"/>
      <name val="Arial"/>
      <family val="2"/>
      <charset val="238"/>
    </font>
    <font>
      <sz val="10"/>
      <name val="Arial CE"/>
      <family val="2"/>
      <charset val="238"/>
    </font>
    <font>
      <b/>
      <sz val="12"/>
      <name val="Times New Roman"/>
      <family val="1"/>
      <charset val="238"/>
    </font>
    <font>
      <b/>
      <u/>
      <sz val="10"/>
      <name val="Arial CE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b/>
      <sz val="14"/>
      <color indexed="8"/>
      <name val="Calibri"/>
      <family val="2"/>
      <charset val="238"/>
    </font>
    <font>
      <i/>
      <sz val="7"/>
      <name val="Verdana"/>
      <family val="2"/>
      <charset val="238"/>
    </font>
    <font>
      <i/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6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i/>
      <sz val="7"/>
      <color indexed="8"/>
      <name val="Verdana"/>
      <family val="2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i/>
      <sz val="14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sz val="10"/>
      <color rgb="FF474747"/>
      <name val="Times New Roman"/>
      <family val="1"/>
      <charset val="238"/>
    </font>
    <font>
      <sz val="10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sz val="11"/>
      <color rgb="FFFF0000"/>
      <name val="Times New Roman CE"/>
      <charset val="238"/>
    </font>
    <font>
      <sz val="10"/>
      <color theme="1"/>
      <name val="Arial"/>
      <family val="2"/>
      <charset val="238"/>
    </font>
  </fonts>
  <fills count="4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3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3"/>
      </patternFill>
    </fill>
    <fill>
      <patternFill patternType="solid">
        <fgColor theme="0" tint="-0.249977111117893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6DFE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6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5" applyNumberFormat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4" fillId="0" borderId="0" applyFont="0" applyFill="0" applyBorder="0" applyAlignment="0" applyProtection="0"/>
    <xf numFmtId="40" fontId="2" fillId="0" borderId="0" applyFont="0" applyFill="0" applyBorder="0" applyAlignment="0" applyProtection="0"/>
    <xf numFmtId="165" fontId="6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15" fillId="0" borderId="6" applyNumberFormat="0" applyFill="0" applyAlignment="0" applyProtection="0"/>
    <xf numFmtId="0" fontId="1" fillId="4" borderId="7" applyNumberFormat="0" applyFont="0" applyAlignment="0" applyProtection="0"/>
    <xf numFmtId="0" fontId="16" fillId="12" borderId="0" applyNumberFormat="0" applyBorder="0" applyAlignment="0" applyProtection="0"/>
    <xf numFmtId="0" fontId="17" fillId="2" borderId="8" applyNumberFormat="0" applyAlignment="0" applyProtection="0"/>
    <xf numFmtId="0" fontId="1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6" fillId="0" borderId="0"/>
    <xf numFmtId="0" fontId="24" fillId="0" borderId="0"/>
    <xf numFmtId="0" fontId="26" fillId="0" borderId="0"/>
    <xf numFmtId="0" fontId="2" fillId="0" borderId="0"/>
    <xf numFmtId="0" fontId="24" fillId="0" borderId="0"/>
    <xf numFmtId="0" fontId="61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40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77" fillId="0" borderId="0"/>
    <xf numFmtId="0" fontId="6" fillId="0" borderId="0"/>
    <xf numFmtId="0" fontId="19" fillId="0" borderId="9" applyNumberFormat="0" applyFill="0" applyAlignment="0" applyProtection="0"/>
    <xf numFmtId="44" fontId="24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62" fillId="0" borderId="0" applyFont="0" applyFill="0" applyBorder="0" applyAlignment="0" applyProtection="0"/>
    <xf numFmtId="0" fontId="20" fillId="13" borderId="0" applyNumberFormat="0" applyBorder="0" applyAlignment="0" applyProtection="0"/>
    <xf numFmtId="0" fontId="21" fillId="8" borderId="0" applyNumberFormat="0" applyBorder="0" applyAlignment="0" applyProtection="0"/>
    <xf numFmtId="0" fontId="22" fillId="2" borderId="1" applyNumberFormat="0" applyAlignment="0" applyProtection="0"/>
    <xf numFmtId="9" fontId="1" fillId="0" borderId="0" applyFont="0" applyFill="0" applyBorder="0" applyAlignment="0" applyProtection="0"/>
  </cellStyleXfs>
  <cellXfs count="1677">
    <xf numFmtId="0" fontId="0" fillId="0" borderId="0" xfId="0"/>
    <xf numFmtId="166" fontId="26" fillId="0" borderId="0" xfId="43" applyNumberFormat="1" applyAlignment="1">
      <alignment vertical="center" wrapText="1"/>
    </xf>
    <xf numFmtId="166" fontId="26" fillId="0" borderId="0" xfId="43" applyNumberFormat="1" applyAlignment="1">
      <alignment horizontal="center" vertical="center" wrapText="1"/>
    </xf>
    <xf numFmtId="166" fontId="27" fillId="0" borderId="0" xfId="43" applyNumberFormat="1" applyFont="1" applyAlignment="1">
      <alignment horizontal="center" vertical="center" wrapText="1"/>
    </xf>
    <xf numFmtId="166" fontId="29" fillId="0" borderId="0" xfId="43" applyNumberFormat="1" applyFont="1" applyAlignment="1">
      <alignment horizontal="right" vertical="center"/>
    </xf>
    <xf numFmtId="166" fontId="31" fillId="0" borderId="10" xfId="43" applyNumberFormat="1" applyFont="1" applyBorder="1" applyAlignment="1">
      <alignment horizontal="centerContinuous" vertical="center" wrapText="1"/>
    </xf>
    <xf numFmtId="166" fontId="31" fillId="0" borderId="10" xfId="43" applyNumberFormat="1" applyFont="1" applyBorder="1" applyAlignment="1">
      <alignment horizontal="center" vertical="center" wrapText="1"/>
    </xf>
    <xf numFmtId="166" fontId="32" fillId="0" borderId="0" xfId="43" applyNumberFormat="1" applyFont="1" applyAlignment="1">
      <alignment horizontal="center" vertical="center" wrapText="1"/>
    </xf>
    <xf numFmtId="166" fontId="34" fillId="0" borderId="11" xfId="43" applyNumberFormat="1" applyFont="1" applyBorder="1" applyAlignment="1">
      <alignment horizontal="left" vertical="center" wrapText="1" indent="1"/>
    </xf>
    <xf numFmtId="166" fontId="34" fillId="0" borderId="12" xfId="43" applyNumberFormat="1" applyFont="1" applyBorder="1" applyAlignment="1" applyProtection="1">
      <alignment horizontal="right" vertical="center" wrapText="1" indent="1"/>
      <protection locked="0"/>
    </xf>
    <xf numFmtId="166" fontId="34" fillId="0" borderId="13" xfId="43" applyNumberFormat="1" applyFont="1" applyBorder="1" applyAlignment="1" applyProtection="1">
      <alignment horizontal="right" vertical="center" wrapText="1" indent="1"/>
      <protection locked="0"/>
    </xf>
    <xf numFmtId="166" fontId="34" fillId="0" borderId="14" xfId="43" applyNumberFormat="1" applyFont="1" applyBorder="1" applyAlignment="1">
      <alignment horizontal="left" vertical="center" wrapText="1" indent="1"/>
    </xf>
    <xf numFmtId="166" fontId="33" fillId="0" borderId="10" xfId="43" applyNumberFormat="1" applyFont="1" applyBorder="1" applyAlignment="1">
      <alignment horizontal="left" vertical="center" wrapText="1" indent="1"/>
    </xf>
    <xf numFmtId="166" fontId="36" fillId="0" borderId="15" xfId="43" applyNumberFormat="1" applyFont="1" applyBorder="1" applyAlignment="1">
      <alignment horizontal="left" vertical="center" wrapText="1" indent="1"/>
    </xf>
    <xf numFmtId="166" fontId="36" fillId="0" borderId="14" xfId="43" applyNumberFormat="1" applyFont="1" applyBorder="1" applyAlignment="1">
      <alignment horizontal="left" vertical="center" wrapText="1" indent="1"/>
    </xf>
    <xf numFmtId="166" fontId="35" fillId="0" borderId="10" xfId="43" applyNumberFormat="1" applyFont="1" applyBorder="1" applyAlignment="1">
      <alignment horizontal="left" vertical="center" wrapText="1" indent="1"/>
    </xf>
    <xf numFmtId="166" fontId="36" fillId="0" borderId="16" xfId="43" applyNumberFormat="1" applyFont="1" applyBorder="1" applyAlignment="1">
      <alignment horizontal="left" vertical="center" wrapText="1" indent="1"/>
    </xf>
    <xf numFmtId="166" fontId="36" fillId="0" borderId="11" xfId="43" applyNumberFormat="1" applyFont="1" applyBorder="1" applyAlignment="1">
      <alignment horizontal="left" vertical="center" wrapText="1" indent="1"/>
    </xf>
    <xf numFmtId="166" fontId="26" fillId="0" borderId="14" xfId="43" applyNumberFormat="1" applyBorder="1" applyAlignment="1">
      <alignment vertical="center" wrapText="1"/>
    </xf>
    <xf numFmtId="166" fontId="34" fillId="0" borderId="17" xfId="43" applyNumberFormat="1" applyFont="1" applyBorder="1" applyAlignment="1">
      <alignment horizontal="left" vertical="center" wrapText="1" indent="1"/>
    </xf>
    <xf numFmtId="166" fontId="36" fillId="0" borderId="17" xfId="43" applyNumberFormat="1" applyFont="1" applyBorder="1" applyAlignment="1" applyProtection="1">
      <alignment horizontal="left" vertical="center" wrapText="1" indent="1"/>
      <protection locked="0"/>
    </xf>
    <xf numFmtId="166" fontId="34" fillId="0" borderId="18" xfId="43" applyNumberFormat="1" applyFont="1" applyBorder="1" applyAlignment="1" applyProtection="1">
      <alignment horizontal="right" vertical="center" wrapText="1" indent="1"/>
      <protection locked="0"/>
    </xf>
    <xf numFmtId="166" fontId="34" fillId="0" borderId="19" xfId="43" applyNumberFormat="1" applyFont="1" applyBorder="1" applyAlignment="1" applyProtection="1">
      <alignment horizontal="right" vertical="center" wrapText="1" indent="1"/>
      <protection locked="0"/>
    </xf>
    <xf numFmtId="166" fontId="34" fillId="0" borderId="20" xfId="43" applyNumberFormat="1" applyFont="1" applyBorder="1" applyAlignment="1" applyProtection="1">
      <alignment horizontal="left" vertical="center" wrapText="1" indent="1"/>
      <protection locked="0"/>
    </xf>
    <xf numFmtId="166" fontId="33" fillId="0" borderId="21" xfId="43" applyNumberFormat="1" applyFont="1" applyBorder="1" applyAlignment="1">
      <alignment horizontal="right" vertical="center" wrapText="1" indent="1"/>
    </xf>
    <xf numFmtId="166" fontId="33" fillId="0" borderId="22" xfId="43" applyNumberFormat="1" applyFont="1" applyBorder="1" applyAlignment="1">
      <alignment horizontal="right" vertical="center" wrapText="1" indent="1"/>
    </xf>
    <xf numFmtId="166" fontId="37" fillId="0" borderId="23" xfId="43" applyNumberFormat="1" applyFont="1" applyBorder="1" applyAlignment="1">
      <alignment horizontal="right" vertical="center" wrapText="1" indent="1"/>
    </xf>
    <xf numFmtId="166" fontId="36" fillId="0" borderId="24" xfId="43" applyNumberFormat="1" applyFont="1" applyBorder="1" applyAlignment="1" applyProtection="1">
      <alignment horizontal="right" vertical="center" wrapText="1" indent="1"/>
      <protection locked="0"/>
    </xf>
    <xf numFmtId="166" fontId="36" fillId="0" borderId="18" xfId="43" applyNumberFormat="1" applyFont="1" applyBorder="1" applyAlignment="1" applyProtection="1">
      <alignment horizontal="right" vertical="center" wrapText="1" indent="1"/>
      <protection locked="0"/>
    </xf>
    <xf numFmtId="166" fontId="36" fillId="0" borderId="19" xfId="43" applyNumberFormat="1" applyFont="1" applyBorder="1" applyAlignment="1" applyProtection="1">
      <alignment horizontal="right" vertical="center" wrapText="1" indent="1"/>
      <protection locked="0"/>
    </xf>
    <xf numFmtId="166" fontId="37" fillId="0" borderId="18" xfId="43" applyNumberFormat="1" applyFont="1" applyBorder="1" applyAlignment="1">
      <alignment horizontal="right" vertical="center" wrapText="1" indent="1"/>
    </xf>
    <xf numFmtId="166" fontId="36" fillId="0" borderId="23" xfId="43" applyNumberFormat="1" applyFont="1" applyBorder="1" applyAlignment="1" applyProtection="1">
      <alignment horizontal="right" vertical="center" wrapText="1" indent="1"/>
      <protection locked="0"/>
    </xf>
    <xf numFmtId="166" fontId="35" fillId="0" borderId="25" xfId="43" applyNumberFormat="1" applyFont="1" applyBorder="1" applyAlignment="1">
      <alignment horizontal="right" vertical="center" wrapText="1" indent="1"/>
    </xf>
    <xf numFmtId="166" fontId="34" fillId="0" borderId="26" xfId="43" applyNumberFormat="1" applyFont="1" applyBorder="1" applyAlignment="1" applyProtection="1">
      <alignment horizontal="right" vertical="center" wrapText="1" indent="1"/>
      <protection locked="0"/>
    </xf>
    <xf numFmtId="166" fontId="37" fillId="0" borderId="15" xfId="43" applyNumberFormat="1" applyFont="1" applyBorder="1" applyAlignment="1">
      <alignment horizontal="left" vertical="center" wrapText="1" indent="1"/>
    </xf>
    <xf numFmtId="166" fontId="37" fillId="0" borderId="27" xfId="43" applyNumberFormat="1" applyFont="1" applyBorder="1" applyAlignment="1">
      <alignment horizontal="right" vertical="center" wrapText="1" indent="1"/>
    </xf>
    <xf numFmtId="166" fontId="36" fillId="0" borderId="28" xfId="43" applyNumberFormat="1" applyFont="1" applyBorder="1" applyAlignment="1" applyProtection="1">
      <alignment horizontal="right" vertical="center" wrapText="1" indent="1"/>
      <protection locked="0"/>
    </xf>
    <xf numFmtId="166" fontId="36" fillId="0" borderId="26" xfId="43" applyNumberFormat="1" applyFont="1" applyBorder="1" applyAlignment="1" applyProtection="1">
      <alignment horizontal="right" vertical="center" wrapText="1" indent="1"/>
      <protection locked="0"/>
    </xf>
    <xf numFmtId="166" fontId="37" fillId="0" borderId="14" xfId="43" applyNumberFormat="1" applyFont="1" applyBorder="1" applyAlignment="1">
      <alignment horizontal="left" vertical="center" wrapText="1" indent="1"/>
    </xf>
    <xf numFmtId="166" fontId="37" fillId="0" borderId="26" xfId="43" applyNumberFormat="1" applyFont="1" applyBorder="1" applyAlignment="1">
      <alignment horizontal="right" vertical="center" wrapText="1" indent="1"/>
    </xf>
    <xf numFmtId="166" fontId="36" fillId="0" borderId="29" xfId="43" applyNumberFormat="1" applyFont="1" applyBorder="1" applyAlignment="1" applyProtection="1">
      <alignment horizontal="right" vertical="center" wrapText="1" indent="1"/>
      <protection locked="0"/>
    </xf>
    <xf numFmtId="166" fontId="33" fillId="0" borderId="30" xfId="43" applyNumberFormat="1" applyFont="1" applyBorder="1" applyAlignment="1">
      <alignment horizontal="left" vertical="center" wrapText="1" indent="1"/>
    </xf>
    <xf numFmtId="166" fontId="33" fillId="0" borderId="31" xfId="43" applyNumberFormat="1" applyFont="1" applyBorder="1" applyAlignment="1">
      <alignment horizontal="right" vertical="center" wrapText="1" indent="1"/>
    </xf>
    <xf numFmtId="166" fontId="35" fillId="0" borderId="0" xfId="43" applyNumberFormat="1" applyFont="1" applyAlignment="1">
      <alignment horizontal="center" vertical="center" wrapText="1"/>
    </xf>
    <xf numFmtId="166" fontId="35" fillId="0" borderId="0" xfId="43" applyNumberFormat="1" applyFont="1" applyAlignment="1">
      <alignment horizontal="right" vertical="center" wrapText="1" indent="1"/>
    </xf>
    <xf numFmtId="166" fontId="44" fillId="0" borderId="0" xfId="43" applyNumberFormat="1" applyFont="1" applyAlignment="1">
      <alignment vertical="center" wrapText="1"/>
    </xf>
    <xf numFmtId="166" fontId="45" fillId="0" borderId="25" xfId="43" applyNumberFormat="1" applyFont="1" applyBorder="1" applyAlignment="1">
      <alignment horizontal="right" vertical="center" wrapText="1" indent="1"/>
    </xf>
    <xf numFmtId="49" fontId="37" fillId="0" borderId="14" xfId="43" applyNumberFormat="1" applyFont="1" applyBorder="1" applyAlignment="1">
      <alignment horizontal="left" vertical="center" wrapText="1" indent="2"/>
    </xf>
    <xf numFmtId="166" fontId="37" fillId="0" borderId="14" xfId="43" applyNumberFormat="1" applyFont="1" applyBorder="1" applyAlignment="1">
      <alignment horizontal="left" vertical="center" wrapText="1" indent="2"/>
    </xf>
    <xf numFmtId="166" fontId="37" fillId="0" borderId="32" xfId="43" applyNumberFormat="1" applyFont="1" applyBorder="1" applyAlignment="1">
      <alignment horizontal="left" vertical="center" wrapText="1" indent="2"/>
    </xf>
    <xf numFmtId="166" fontId="45" fillId="0" borderId="10" xfId="43" applyNumberFormat="1" applyFont="1" applyBorder="1" applyAlignment="1">
      <alignment horizontal="center" vertical="center" wrapText="1"/>
    </xf>
    <xf numFmtId="196" fontId="26" fillId="0" borderId="0" xfId="43" applyNumberFormat="1" applyAlignment="1">
      <alignment vertical="center" wrapText="1"/>
    </xf>
    <xf numFmtId="0" fontId="4" fillId="0" borderId="0" xfId="49" applyFont="1"/>
    <xf numFmtId="166" fontId="31" fillId="0" borderId="33" xfId="43" applyNumberFormat="1" applyFont="1" applyBorder="1" applyAlignment="1">
      <alignment horizontal="centerContinuous" vertical="center" wrapText="1"/>
    </xf>
    <xf numFmtId="166" fontId="26" fillId="0" borderId="34" xfId="43" applyNumberFormat="1" applyBorder="1" applyAlignment="1">
      <alignment vertical="center" wrapText="1"/>
    </xf>
    <xf numFmtId="49" fontId="41" fillId="0" borderId="14" xfId="52" applyNumberFormat="1" applyFont="1" applyBorder="1" applyAlignment="1" applyProtection="1">
      <alignment vertical="center" wrapText="1" readingOrder="1"/>
      <protection locked="0"/>
    </xf>
    <xf numFmtId="3" fontId="34" fillId="27" borderId="12" xfId="43" applyNumberFormat="1" applyFont="1" applyFill="1" applyBorder="1" applyAlignment="1" applyProtection="1">
      <alignment horizontal="left" vertical="center" wrapText="1" indent="1"/>
      <protection locked="0"/>
    </xf>
    <xf numFmtId="166" fontId="26" fillId="14" borderId="0" xfId="43" applyNumberFormat="1" applyFill="1" applyAlignment="1">
      <alignment vertical="center" wrapText="1"/>
    </xf>
    <xf numFmtId="166" fontId="26" fillId="14" borderId="0" xfId="43" applyNumberFormat="1" applyFill="1" applyAlignment="1">
      <alignment horizontal="center" vertical="center" wrapText="1"/>
    </xf>
    <xf numFmtId="166" fontId="27" fillId="14" borderId="0" xfId="43" applyNumberFormat="1" applyFont="1" applyFill="1" applyAlignment="1">
      <alignment horizontal="center" vertical="center" wrapText="1"/>
    </xf>
    <xf numFmtId="166" fontId="31" fillId="14" borderId="35" xfId="43" applyNumberFormat="1" applyFont="1" applyFill="1" applyBorder="1" applyAlignment="1">
      <alignment horizontal="centerContinuous" vertical="center" wrapText="1"/>
    </xf>
    <xf numFmtId="166" fontId="31" fillId="14" borderId="21" xfId="43" applyNumberFormat="1" applyFont="1" applyFill="1" applyBorder="1" applyAlignment="1">
      <alignment horizontal="centerContinuous" vertical="center" wrapText="1"/>
    </xf>
    <xf numFmtId="166" fontId="31" fillId="14" borderId="10" xfId="43" applyNumberFormat="1" applyFont="1" applyFill="1" applyBorder="1" applyAlignment="1">
      <alignment horizontal="centerContinuous" vertical="center" wrapText="1"/>
    </xf>
    <xf numFmtId="166" fontId="31" fillId="14" borderId="33" xfId="43" applyNumberFormat="1" applyFont="1" applyFill="1" applyBorder="1" applyAlignment="1">
      <alignment horizontal="centerContinuous" vertical="center" wrapText="1"/>
    </xf>
    <xf numFmtId="166" fontId="31" fillId="14" borderId="22" xfId="43" applyNumberFormat="1" applyFont="1" applyFill="1" applyBorder="1" applyAlignment="1">
      <alignment horizontal="centerContinuous" vertical="center" wrapText="1"/>
    </xf>
    <xf numFmtId="166" fontId="31" fillId="14" borderId="35" xfId="43" applyNumberFormat="1" applyFont="1" applyFill="1" applyBorder="1" applyAlignment="1">
      <alignment horizontal="center" vertical="center" wrapText="1"/>
    </xf>
    <xf numFmtId="166" fontId="31" fillId="14" borderId="21" xfId="43" applyNumberFormat="1" applyFont="1" applyFill="1" applyBorder="1" applyAlignment="1">
      <alignment horizontal="center" vertical="center" wrapText="1"/>
    </xf>
    <xf numFmtId="166" fontId="31" fillId="14" borderId="10" xfId="43" applyNumberFormat="1" applyFont="1" applyFill="1" applyBorder="1" applyAlignment="1">
      <alignment horizontal="center" vertical="center" wrapText="1"/>
    </xf>
    <xf numFmtId="166" fontId="32" fillId="14" borderId="0" xfId="43" applyNumberFormat="1" applyFont="1" applyFill="1" applyAlignment="1">
      <alignment horizontal="center" vertical="center" wrapText="1"/>
    </xf>
    <xf numFmtId="166" fontId="33" fillId="14" borderId="21" xfId="43" applyNumberFormat="1" applyFont="1" applyFill="1" applyBorder="1" applyAlignment="1">
      <alignment horizontal="center" vertical="center" wrapText="1"/>
    </xf>
    <xf numFmtId="166" fontId="34" fillId="14" borderId="36" xfId="43" applyNumberFormat="1" applyFont="1" applyFill="1" applyBorder="1" applyAlignment="1">
      <alignment horizontal="left" vertical="center" wrapText="1" indent="1"/>
    </xf>
    <xf numFmtId="166" fontId="53" fillId="14" borderId="36" xfId="43" applyNumberFormat="1" applyFont="1" applyFill="1" applyBorder="1" applyAlignment="1">
      <alignment horizontal="left" vertical="center" wrapText="1" indent="1"/>
    </xf>
    <xf numFmtId="166" fontId="34" fillId="14" borderId="12" xfId="43" applyNumberFormat="1" applyFont="1" applyFill="1" applyBorder="1" applyAlignment="1" applyProtection="1">
      <alignment horizontal="right" vertical="center" wrapText="1" indent="1"/>
      <protection locked="0"/>
    </xf>
    <xf numFmtId="166" fontId="34" fillId="14" borderId="11" xfId="43" applyNumberFormat="1" applyFont="1" applyFill="1" applyBorder="1" applyAlignment="1">
      <alignment horizontal="left" vertical="center" wrapText="1" indent="1"/>
    </xf>
    <xf numFmtId="166" fontId="34" fillId="14" borderId="37" xfId="43" applyNumberFormat="1" applyFont="1" applyFill="1" applyBorder="1" applyAlignment="1">
      <alignment horizontal="center" vertical="center" wrapText="1"/>
    </xf>
    <xf numFmtId="166" fontId="34" fillId="14" borderId="27" xfId="43" applyNumberFormat="1" applyFont="1" applyFill="1" applyBorder="1" applyAlignment="1">
      <alignment horizontal="center" vertical="center" wrapText="1"/>
    </xf>
    <xf numFmtId="166" fontId="34" fillId="14" borderId="13" xfId="43" applyNumberFormat="1" applyFont="1" applyFill="1" applyBorder="1" applyAlignment="1" applyProtection="1">
      <alignment horizontal="center" vertical="center" wrapText="1"/>
      <protection locked="0"/>
    </xf>
    <xf numFmtId="166" fontId="34" fillId="14" borderId="38" xfId="43" applyNumberFormat="1" applyFont="1" applyFill="1" applyBorder="1" applyAlignment="1">
      <alignment horizontal="left" vertical="center" wrapText="1" indent="1"/>
    </xf>
    <xf numFmtId="166" fontId="34" fillId="14" borderId="14" xfId="43" applyNumberFormat="1" applyFont="1" applyFill="1" applyBorder="1" applyAlignment="1">
      <alignment horizontal="left" vertical="center" wrapText="1" indent="1"/>
    </xf>
    <xf numFmtId="166" fontId="34" fillId="14" borderId="38" xfId="43" applyNumberFormat="1" applyFont="1" applyFill="1" applyBorder="1" applyAlignment="1">
      <alignment horizontal="center" vertical="center" wrapText="1"/>
    </xf>
    <xf numFmtId="166" fontId="34" fillId="14" borderId="39" xfId="43" applyNumberFormat="1" applyFont="1" applyFill="1" applyBorder="1" applyAlignment="1">
      <alignment horizontal="center" vertical="center" wrapText="1"/>
    </xf>
    <xf numFmtId="166" fontId="34" fillId="14" borderId="39" xfId="43" applyNumberFormat="1" applyFont="1" applyFill="1" applyBorder="1" applyAlignment="1">
      <alignment horizontal="left" vertical="center" wrapText="1" indent="1"/>
    </xf>
    <xf numFmtId="166" fontId="34" fillId="14" borderId="18" xfId="43" applyNumberFormat="1" applyFont="1" applyFill="1" applyBorder="1" applyAlignment="1" applyProtection="1">
      <alignment horizontal="left" vertical="center" wrapText="1" indent="1"/>
      <protection locked="0"/>
    </xf>
    <xf numFmtId="166" fontId="53" fillId="14" borderId="12" xfId="43" applyNumberFormat="1" applyFont="1" applyFill="1" applyBorder="1" applyAlignment="1" applyProtection="1">
      <alignment horizontal="left" vertical="center" wrapText="1" indent="1"/>
      <protection locked="0"/>
    </xf>
    <xf numFmtId="166" fontId="34" fillId="14" borderId="0" xfId="43" applyNumberFormat="1" applyFont="1" applyFill="1" applyAlignment="1" applyProtection="1">
      <alignment horizontal="left" vertical="center" wrapText="1" indent="1"/>
      <protection locked="0"/>
    </xf>
    <xf numFmtId="166" fontId="34" fillId="14" borderId="27" xfId="43" applyNumberFormat="1" applyFont="1" applyFill="1" applyBorder="1" applyAlignment="1" applyProtection="1">
      <alignment horizontal="left" vertical="center" wrapText="1" indent="1"/>
      <protection locked="0"/>
    </xf>
    <xf numFmtId="9" fontId="26" fillId="14" borderId="0" xfId="43" applyNumberFormat="1" applyFill="1" applyAlignment="1">
      <alignment vertical="center" wrapText="1"/>
    </xf>
    <xf numFmtId="3" fontId="26" fillId="14" borderId="0" xfId="43" applyNumberFormat="1" applyFill="1" applyAlignment="1">
      <alignment vertical="center" wrapText="1"/>
    </xf>
    <xf numFmtId="166" fontId="34" fillId="14" borderId="40" xfId="43" applyNumberFormat="1" applyFont="1" applyFill="1" applyBorder="1" applyAlignment="1" applyProtection="1">
      <alignment horizontal="left" vertical="center" wrapText="1" indent="1"/>
      <protection locked="0"/>
    </xf>
    <xf numFmtId="166" fontId="33" fillId="14" borderId="35" xfId="43" applyNumberFormat="1" applyFont="1" applyFill="1" applyBorder="1" applyAlignment="1">
      <alignment horizontal="left" vertical="center" wrapText="1" indent="1"/>
    </xf>
    <xf numFmtId="166" fontId="52" fillId="14" borderId="35" xfId="43" applyNumberFormat="1" applyFont="1" applyFill="1" applyBorder="1" applyAlignment="1">
      <alignment horizontal="left" vertical="center" wrapText="1" indent="1"/>
    </xf>
    <xf numFmtId="166" fontId="33" fillId="14" borderId="10" xfId="43" applyNumberFormat="1" applyFont="1" applyFill="1" applyBorder="1" applyAlignment="1">
      <alignment horizontal="left" vertical="center" wrapText="1" indent="1"/>
    </xf>
    <xf numFmtId="166" fontId="33" fillId="14" borderId="22" xfId="43" applyNumberFormat="1" applyFont="1" applyFill="1" applyBorder="1" applyAlignment="1" applyProtection="1">
      <alignment horizontal="right" vertical="center" wrapText="1" indent="1"/>
      <protection locked="0"/>
    </xf>
    <xf numFmtId="166" fontId="36" fillId="14" borderId="41" xfId="43" applyNumberFormat="1" applyFont="1" applyFill="1" applyBorder="1" applyAlignment="1">
      <alignment horizontal="left" vertical="center" wrapText="1" indent="1"/>
    </xf>
    <xf numFmtId="166" fontId="53" fillId="14" borderId="41" xfId="43" applyNumberFormat="1" applyFont="1" applyFill="1" applyBorder="1" applyAlignment="1">
      <alignment horizontal="left" vertical="center" wrapText="1" indent="1"/>
    </xf>
    <xf numFmtId="166" fontId="36" fillId="14" borderId="11" xfId="43" applyNumberFormat="1" applyFont="1" applyFill="1" applyBorder="1" applyAlignment="1">
      <alignment horizontal="left" vertical="center" wrapText="1" indent="1"/>
    </xf>
    <xf numFmtId="166" fontId="36" fillId="14" borderId="37" xfId="43" applyNumberFormat="1" applyFont="1" applyFill="1" applyBorder="1" applyAlignment="1">
      <alignment horizontal="left" vertical="center" wrapText="1" indent="1"/>
    </xf>
    <xf numFmtId="166" fontId="34" fillId="14" borderId="13" xfId="43" applyNumberFormat="1" applyFont="1" applyFill="1" applyBorder="1" applyAlignment="1" applyProtection="1">
      <alignment horizontal="right" vertical="center" wrapText="1" indent="1"/>
      <protection locked="0"/>
    </xf>
    <xf numFmtId="166" fontId="36" fillId="14" borderId="38" xfId="43" applyNumberFormat="1" applyFont="1" applyFill="1" applyBorder="1" applyAlignment="1">
      <alignment horizontal="left" vertical="center" wrapText="1" indent="1"/>
    </xf>
    <xf numFmtId="166" fontId="53" fillId="14" borderId="18" xfId="43" applyNumberFormat="1" applyFont="1" applyFill="1" applyBorder="1" applyAlignment="1">
      <alignment horizontal="left" vertical="center" wrapText="1" indent="1"/>
    </xf>
    <xf numFmtId="166" fontId="36" fillId="14" borderId="14" xfId="43" applyNumberFormat="1" applyFont="1" applyFill="1" applyBorder="1" applyAlignment="1">
      <alignment horizontal="left" vertical="center" wrapText="1" indent="1"/>
    </xf>
    <xf numFmtId="166" fontId="36" fillId="14" borderId="39" xfId="43" applyNumberFormat="1" applyFont="1" applyFill="1" applyBorder="1" applyAlignment="1">
      <alignment horizontal="left" vertical="center" wrapText="1" indent="1"/>
    </xf>
    <xf numFmtId="166" fontId="36" fillId="14" borderId="15" xfId="43" applyNumberFormat="1" applyFont="1" applyFill="1" applyBorder="1" applyAlignment="1">
      <alignment horizontal="left" vertical="center" wrapText="1" indent="1"/>
    </xf>
    <xf numFmtId="166" fontId="36" fillId="14" borderId="18" xfId="43" applyNumberFormat="1" applyFont="1" applyFill="1" applyBorder="1" applyAlignment="1">
      <alignment horizontal="left" vertical="center" wrapText="1" indent="1"/>
    </xf>
    <xf numFmtId="166" fontId="34" fillId="14" borderId="14" xfId="43" applyNumberFormat="1" applyFont="1" applyFill="1" applyBorder="1" applyAlignment="1" applyProtection="1">
      <alignment horizontal="left" vertical="center" wrapText="1" indent="1"/>
      <protection locked="0"/>
    </xf>
    <xf numFmtId="166" fontId="36" fillId="14" borderId="0" xfId="43" applyNumberFormat="1" applyFont="1" applyFill="1" applyAlignment="1">
      <alignment horizontal="left" vertical="center" wrapText="1" indent="1"/>
    </xf>
    <xf numFmtId="166" fontId="34" fillId="14" borderId="24" xfId="43" applyNumberFormat="1" applyFont="1" applyFill="1" applyBorder="1" applyAlignment="1" applyProtection="1">
      <alignment horizontal="right" vertical="center" wrapText="1" indent="1"/>
      <protection locked="0"/>
    </xf>
    <xf numFmtId="166" fontId="33" fillId="14" borderId="33" xfId="43" applyNumberFormat="1" applyFont="1" applyFill="1" applyBorder="1" applyAlignment="1">
      <alignment horizontal="left" vertical="center" wrapText="1" indent="1"/>
    </xf>
    <xf numFmtId="166" fontId="33" fillId="14" borderId="42" xfId="43" applyNumberFormat="1" applyFont="1" applyFill="1" applyBorder="1" applyAlignment="1">
      <alignment horizontal="left" vertical="center" wrapText="1" indent="1"/>
    </xf>
    <xf numFmtId="166" fontId="34" fillId="14" borderId="42" xfId="43" applyNumberFormat="1" applyFont="1" applyFill="1" applyBorder="1" applyAlignment="1" applyProtection="1">
      <alignment horizontal="right" vertical="center" wrapText="1" indent="1"/>
      <protection locked="0"/>
    </xf>
    <xf numFmtId="166" fontId="35" fillId="14" borderId="35" xfId="43" applyNumberFormat="1" applyFont="1" applyFill="1" applyBorder="1" applyAlignment="1">
      <alignment horizontal="left" vertical="center" wrapText="1" indent="1"/>
    </xf>
    <xf numFmtId="166" fontId="52" fillId="14" borderId="33" xfId="43" applyNumberFormat="1" applyFont="1" applyFill="1" applyBorder="1" applyAlignment="1">
      <alignment horizontal="left" vertical="center" wrapText="1" indent="1"/>
    </xf>
    <xf numFmtId="166" fontId="35" fillId="14" borderId="10" xfId="43" applyNumberFormat="1" applyFont="1" applyFill="1" applyBorder="1" applyAlignment="1">
      <alignment horizontal="left" vertical="center" wrapText="1" indent="1"/>
    </xf>
    <xf numFmtId="166" fontId="30" fillId="14" borderId="33" xfId="43" applyNumberFormat="1" applyFont="1" applyFill="1" applyBorder="1" applyAlignment="1">
      <alignment horizontal="left" vertical="center" wrapText="1" indent="1"/>
    </xf>
    <xf numFmtId="166" fontId="30" fillId="14" borderId="42" xfId="43" applyNumberFormat="1" applyFont="1" applyFill="1" applyBorder="1" applyAlignment="1" applyProtection="1">
      <alignment horizontal="right" vertical="center" wrapText="1" indent="1"/>
      <protection locked="0"/>
    </xf>
    <xf numFmtId="166" fontId="44" fillId="14" borderId="0" xfId="43" applyNumberFormat="1" applyFont="1" applyFill="1" applyAlignment="1">
      <alignment vertical="center" wrapText="1"/>
    </xf>
    <xf numFmtId="49" fontId="37" fillId="0" borderId="14" xfId="43" applyNumberFormat="1" applyFont="1" applyBorder="1" applyAlignment="1">
      <alignment horizontal="left" vertical="center" wrapText="1" indent="1"/>
    </xf>
    <xf numFmtId="166" fontId="34" fillId="14" borderId="43" xfId="43" applyNumberFormat="1" applyFont="1" applyFill="1" applyBorder="1" applyAlignment="1">
      <alignment horizontal="left" vertical="center" wrapText="1" indent="1"/>
    </xf>
    <xf numFmtId="166" fontId="53" fillId="14" borderId="39" xfId="43" applyNumberFormat="1" applyFont="1" applyFill="1" applyBorder="1" applyAlignment="1">
      <alignment horizontal="left" vertical="center" wrapText="1" indent="1"/>
    </xf>
    <xf numFmtId="166" fontId="34" fillId="14" borderId="44" xfId="43" applyNumberFormat="1" applyFont="1" applyFill="1" applyBorder="1" applyAlignment="1">
      <alignment horizontal="left" vertical="center" wrapText="1" indent="1"/>
    </xf>
    <xf numFmtId="166" fontId="34" fillId="14" borderId="0" xfId="43" applyNumberFormat="1" applyFont="1" applyFill="1" applyAlignment="1">
      <alignment horizontal="left" vertical="center" wrapText="1" indent="1"/>
    </xf>
    <xf numFmtId="166" fontId="33" fillId="14" borderId="45" xfId="43" applyNumberFormat="1" applyFont="1" applyFill="1" applyBorder="1" applyAlignment="1">
      <alignment horizontal="left" vertical="center" wrapText="1" indent="1"/>
    </xf>
    <xf numFmtId="166" fontId="52" fillId="14" borderId="45" xfId="43" applyNumberFormat="1" applyFont="1" applyFill="1" applyBorder="1" applyAlignment="1">
      <alignment horizontal="left" vertical="center" wrapText="1" indent="1"/>
    </xf>
    <xf numFmtId="166" fontId="33" fillId="14" borderId="46" xfId="43" applyNumberFormat="1" applyFont="1" applyFill="1" applyBorder="1" applyAlignment="1">
      <alignment horizontal="left" vertical="center" wrapText="1" indent="1"/>
    </xf>
    <xf numFmtId="166" fontId="37" fillId="14" borderId="37" xfId="43" applyNumberFormat="1" applyFont="1" applyFill="1" applyBorder="1" applyAlignment="1">
      <alignment horizontal="left" vertical="center" wrapText="1" indent="1"/>
    </xf>
    <xf numFmtId="166" fontId="54" fillId="14" borderId="37" xfId="43" applyNumberFormat="1" applyFont="1" applyFill="1" applyBorder="1" applyAlignment="1">
      <alignment horizontal="left" vertical="center" wrapText="1" indent="1"/>
    </xf>
    <xf numFmtId="166" fontId="34" fillId="14" borderId="37" xfId="43" applyNumberFormat="1" applyFont="1" applyFill="1" applyBorder="1" applyAlignment="1" applyProtection="1">
      <alignment horizontal="right" vertical="center" wrapText="1" indent="1"/>
      <protection locked="0"/>
    </xf>
    <xf numFmtId="166" fontId="37" fillId="14" borderId="47" xfId="43" applyNumberFormat="1" applyFont="1" applyFill="1" applyBorder="1" applyAlignment="1">
      <alignment horizontal="left" vertical="center" wrapText="1" indent="1"/>
    </xf>
    <xf numFmtId="166" fontId="34" fillId="14" borderId="28" xfId="43" applyNumberFormat="1" applyFont="1" applyFill="1" applyBorder="1" applyAlignment="1" applyProtection="1">
      <alignment horizontal="right" vertical="center" wrapText="1" indent="1"/>
      <protection locked="0"/>
    </xf>
    <xf numFmtId="166" fontId="36" fillId="14" borderId="18" xfId="43" applyNumberFormat="1" applyFont="1" applyFill="1" applyBorder="1" applyAlignment="1">
      <alignment horizontal="left" vertical="center" wrapText="1" indent="2"/>
    </xf>
    <xf numFmtId="166" fontId="53" fillId="14" borderId="18" xfId="43" applyNumberFormat="1" applyFont="1" applyFill="1" applyBorder="1" applyAlignment="1">
      <alignment horizontal="left" vertical="center" wrapText="1" indent="2"/>
    </xf>
    <xf numFmtId="166" fontId="34" fillId="14" borderId="18" xfId="43" applyNumberFormat="1" applyFont="1" applyFill="1" applyBorder="1" applyAlignment="1" applyProtection="1">
      <alignment horizontal="right" vertical="center" wrapText="1" indent="1"/>
      <protection locked="0"/>
    </xf>
    <xf numFmtId="166" fontId="36" fillId="14" borderId="26" xfId="43" applyNumberFormat="1" applyFont="1" applyFill="1" applyBorder="1" applyAlignment="1">
      <alignment horizontal="left" vertical="center" wrapText="1" indent="2"/>
    </xf>
    <xf numFmtId="166" fontId="34" fillId="14" borderId="19" xfId="43" applyNumberFormat="1" applyFont="1" applyFill="1" applyBorder="1" applyAlignment="1" applyProtection="1">
      <alignment horizontal="right" vertical="center" wrapText="1" indent="1"/>
      <protection locked="0"/>
    </xf>
    <xf numFmtId="166" fontId="37" fillId="14" borderId="18" xfId="43" applyNumberFormat="1" applyFont="1" applyFill="1" applyBorder="1" applyAlignment="1">
      <alignment horizontal="left" vertical="center" wrapText="1" indent="1"/>
    </xf>
    <xf numFmtId="166" fontId="54" fillId="14" borderId="18" xfId="43" applyNumberFormat="1" applyFont="1" applyFill="1" applyBorder="1" applyAlignment="1">
      <alignment horizontal="left" vertical="center" wrapText="1" indent="1"/>
    </xf>
    <xf numFmtId="166" fontId="26" fillId="14" borderId="18" xfId="43" applyNumberFormat="1" applyFill="1" applyBorder="1" applyAlignment="1">
      <alignment vertical="center" wrapText="1"/>
    </xf>
    <xf numFmtId="166" fontId="37" fillId="14" borderId="26" xfId="43" applyNumberFormat="1" applyFont="1" applyFill="1" applyBorder="1" applyAlignment="1">
      <alignment horizontal="left" vertical="center" wrapText="1" indent="1"/>
    </xf>
    <xf numFmtId="166" fontId="34" fillId="14" borderId="48" xfId="43" applyNumberFormat="1" applyFont="1" applyFill="1" applyBorder="1" applyAlignment="1">
      <alignment horizontal="left" vertical="center" wrapText="1" indent="2"/>
    </xf>
    <xf numFmtId="166" fontId="53" fillId="14" borderId="48" xfId="43" applyNumberFormat="1" applyFont="1" applyFill="1" applyBorder="1" applyAlignment="1">
      <alignment horizontal="left" vertical="center" wrapText="1" indent="2"/>
    </xf>
    <xf numFmtId="166" fontId="34" fillId="14" borderId="48" xfId="43" applyNumberFormat="1" applyFont="1" applyFill="1" applyBorder="1" applyAlignment="1" applyProtection="1">
      <alignment horizontal="right" vertical="center" wrapText="1" indent="1"/>
      <protection locked="0"/>
    </xf>
    <xf numFmtId="166" fontId="36" fillId="14" borderId="48" xfId="43" applyNumberFormat="1" applyFont="1" applyFill="1" applyBorder="1" applyAlignment="1" applyProtection="1">
      <alignment horizontal="left" vertical="center" wrapText="1" indent="1"/>
      <protection locked="0"/>
    </xf>
    <xf numFmtId="166" fontId="34" fillId="14" borderId="49" xfId="43" applyNumberFormat="1" applyFont="1" applyFill="1" applyBorder="1" applyAlignment="1">
      <alignment horizontal="left" vertical="center" wrapText="1" indent="2"/>
    </xf>
    <xf numFmtId="166" fontId="34" fillId="14" borderId="29" xfId="43" applyNumberFormat="1" applyFont="1" applyFill="1" applyBorder="1" applyAlignment="1" applyProtection="1">
      <alignment horizontal="right" vertical="center" wrapText="1" indent="1"/>
      <protection locked="0"/>
    </xf>
    <xf numFmtId="166" fontId="33" fillId="14" borderId="41" xfId="43" applyNumberFormat="1" applyFont="1" applyFill="1" applyBorder="1" applyAlignment="1">
      <alignment horizontal="left" vertical="center" wrapText="1" indent="1"/>
    </xf>
    <xf numFmtId="166" fontId="52" fillId="14" borderId="41" xfId="43" applyNumberFormat="1" applyFont="1" applyFill="1" applyBorder="1" applyAlignment="1">
      <alignment horizontal="left" vertical="center" wrapText="1" indent="1"/>
    </xf>
    <xf numFmtId="166" fontId="33" fillId="14" borderId="15" xfId="43" applyNumberFormat="1" applyFont="1" applyFill="1" applyBorder="1" applyAlignment="1">
      <alignment horizontal="left" vertical="center" wrapText="1" indent="1"/>
    </xf>
    <xf numFmtId="166" fontId="35" fillId="14" borderId="21" xfId="43" applyNumberFormat="1" applyFont="1" applyFill="1" applyBorder="1" applyAlignment="1">
      <alignment horizontal="center" vertical="center" wrapText="1"/>
    </xf>
    <xf numFmtId="166" fontId="45" fillId="14" borderId="21" xfId="43" applyNumberFormat="1" applyFont="1" applyFill="1" applyBorder="1" applyAlignment="1">
      <alignment horizontal="center" vertical="center" wrapText="1"/>
    </xf>
    <xf numFmtId="166" fontId="53" fillId="0" borderId="0" xfId="43" applyNumberFormat="1" applyFont="1" applyAlignment="1">
      <alignment horizontal="center" vertical="center" wrapText="1"/>
    </xf>
    <xf numFmtId="166" fontId="35" fillId="14" borderId="0" xfId="43" applyNumberFormat="1" applyFont="1" applyFill="1" applyAlignment="1">
      <alignment horizontal="center" vertical="center" wrapText="1"/>
    </xf>
    <xf numFmtId="166" fontId="33" fillId="14" borderId="0" xfId="43" applyNumberFormat="1" applyFont="1" applyFill="1" applyAlignment="1" applyProtection="1">
      <alignment horizontal="right" vertical="center" wrapText="1" indent="1"/>
      <protection locked="0"/>
    </xf>
    <xf numFmtId="0" fontId="4" fillId="14" borderId="0" xfId="49" applyFont="1" applyFill="1"/>
    <xf numFmtId="0" fontId="0" fillId="0" borderId="0" xfId="0" applyAlignment="1">
      <alignment vertical="center" wrapText="1"/>
    </xf>
    <xf numFmtId="166" fontId="26" fillId="27" borderId="0" xfId="43" applyNumberFormat="1" applyFill="1" applyAlignment="1">
      <alignment vertical="center" wrapText="1"/>
    </xf>
    <xf numFmtId="166" fontId="26" fillId="27" borderId="0" xfId="43" applyNumberFormat="1" applyFill="1" applyAlignment="1">
      <alignment horizontal="center" vertical="center" wrapText="1"/>
    </xf>
    <xf numFmtId="166" fontId="27" fillId="27" borderId="0" xfId="43" applyNumberFormat="1" applyFont="1" applyFill="1" applyAlignment="1">
      <alignment horizontal="center" vertical="center" wrapText="1"/>
    </xf>
    <xf numFmtId="166" fontId="31" fillId="27" borderId="45" xfId="43" applyNumberFormat="1" applyFont="1" applyFill="1" applyBorder="1" applyAlignment="1">
      <alignment horizontal="centerContinuous" vertical="center" wrapText="1"/>
    </xf>
    <xf numFmtId="166" fontId="31" fillId="27" borderId="50" xfId="43" applyNumberFormat="1" applyFont="1" applyFill="1" applyBorder="1" applyAlignment="1">
      <alignment horizontal="centerContinuous" vertical="center" wrapText="1"/>
    </xf>
    <xf numFmtId="166" fontId="31" fillId="27" borderId="46" xfId="43" applyNumberFormat="1" applyFont="1" applyFill="1" applyBorder="1" applyAlignment="1">
      <alignment horizontal="centerContinuous" vertical="center" wrapText="1"/>
    </xf>
    <xf numFmtId="166" fontId="31" fillId="27" borderId="51" xfId="43" applyNumberFormat="1" applyFont="1" applyFill="1" applyBorder="1" applyAlignment="1">
      <alignment horizontal="centerContinuous" vertical="center" wrapText="1"/>
    </xf>
    <xf numFmtId="166" fontId="31" fillId="27" borderId="35" xfId="43" applyNumberFormat="1" applyFont="1" applyFill="1" applyBorder="1" applyAlignment="1">
      <alignment horizontal="center" vertical="center" wrapText="1"/>
    </xf>
    <xf numFmtId="166" fontId="31" fillId="27" borderId="10" xfId="43" applyNumberFormat="1" applyFont="1" applyFill="1" applyBorder="1" applyAlignment="1">
      <alignment horizontal="center" vertical="center" wrapText="1"/>
    </xf>
    <xf numFmtId="166" fontId="31" fillId="27" borderId="22" xfId="43" applyNumberFormat="1" applyFont="1" applyFill="1" applyBorder="1" applyAlignment="1">
      <alignment horizontal="center" vertical="center" wrapText="1"/>
    </xf>
    <xf numFmtId="166" fontId="32" fillId="27" borderId="0" xfId="43" applyNumberFormat="1" applyFont="1" applyFill="1" applyAlignment="1">
      <alignment horizontal="center" vertical="center" wrapText="1"/>
    </xf>
    <xf numFmtId="166" fontId="33" fillId="27" borderId="10" xfId="43" applyNumberFormat="1" applyFont="1" applyFill="1" applyBorder="1" applyAlignment="1">
      <alignment horizontal="center" vertical="center" wrapText="1"/>
    </xf>
    <xf numFmtId="166" fontId="33" fillId="27" borderId="21" xfId="43" applyNumberFormat="1" applyFont="1" applyFill="1" applyBorder="1" applyAlignment="1">
      <alignment horizontal="center" vertical="center" wrapText="1"/>
    </xf>
    <xf numFmtId="166" fontId="33" fillId="27" borderId="22" xfId="43" applyNumberFormat="1" applyFont="1" applyFill="1" applyBorder="1" applyAlignment="1">
      <alignment horizontal="center" vertical="center" wrapText="1"/>
    </xf>
    <xf numFmtId="166" fontId="33" fillId="27" borderId="0" xfId="43" applyNumberFormat="1" applyFont="1" applyFill="1" applyAlignment="1">
      <alignment horizontal="center" vertical="center" wrapText="1"/>
    </xf>
    <xf numFmtId="166" fontId="26" fillId="27" borderId="11" xfId="43" applyNumberFormat="1" applyFill="1" applyBorder="1" applyAlignment="1">
      <alignment horizontal="left" vertical="center" wrapText="1" indent="1"/>
    </xf>
    <xf numFmtId="166" fontId="34" fillId="27" borderId="12" xfId="43" applyNumberFormat="1" applyFont="1" applyFill="1" applyBorder="1" applyAlignment="1">
      <alignment horizontal="left" vertical="center" wrapText="1" indent="1"/>
    </xf>
    <xf numFmtId="166" fontId="34" fillId="27" borderId="11" xfId="43" applyNumberFormat="1" applyFont="1" applyFill="1" applyBorder="1" applyAlignment="1">
      <alignment horizontal="left" vertical="center" wrapText="1" indent="1"/>
    </xf>
    <xf numFmtId="166" fontId="34" fillId="27" borderId="13" xfId="43" applyNumberFormat="1" applyFont="1" applyFill="1" applyBorder="1" applyAlignment="1">
      <alignment horizontal="left" vertical="center" wrapText="1" indent="1"/>
    </xf>
    <xf numFmtId="166" fontId="26" fillId="27" borderId="14" xfId="43" applyNumberFormat="1" applyFill="1" applyBorder="1" applyAlignment="1">
      <alignment horizontal="left" vertical="center" wrapText="1" indent="1"/>
    </xf>
    <xf numFmtId="166" fontId="34" fillId="27" borderId="18" xfId="43" applyNumberFormat="1" applyFont="1" applyFill="1" applyBorder="1" applyAlignment="1">
      <alignment horizontal="left" vertical="center" wrapText="1" indent="1"/>
    </xf>
    <xf numFmtId="166" fontId="34" fillId="27" borderId="14" xfId="43" applyNumberFormat="1" applyFont="1" applyFill="1" applyBorder="1" applyAlignment="1">
      <alignment horizontal="left" vertical="center" wrapText="1" indent="1"/>
    </xf>
    <xf numFmtId="166" fontId="34" fillId="27" borderId="19" xfId="43" applyNumberFormat="1" applyFont="1" applyFill="1" applyBorder="1" applyAlignment="1">
      <alignment horizontal="left" vertical="center" wrapText="1" indent="1"/>
    </xf>
    <xf numFmtId="166" fontId="26" fillId="27" borderId="18" xfId="43" applyNumberFormat="1" applyFill="1" applyBorder="1" applyAlignment="1">
      <alignment horizontal="center" vertical="center" wrapText="1"/>
    </xf>
    <xf numFmtId="166" fontId="34" fillId="27" borderId="18" xfId="43" applyNumberFormat="1" applyFont="1" applyFill="1" applyBorder="1" applyAlignment="1" applyProtection="1">
      <alignment horizontal="left" vertical="center" wrapText="1" indent="1"/>
      <protection locked="0"/>
    </xf>
    <xf numFmtId="166" fontId="34" fillId="27" borderId="19" xfId="43" applyNumberFormat="1" applyFont="1" applyFill="1" applyBorder="1" applyAlignment="1" applyProtection="1">
      <alignment horizontal="left" vertical="center" wrapText="1" indent="1"/>
      <protection locked="0"/>
    </xf>
    <xf numFmtId="166" fontId="26" fillId="27" borderId="32" xfId="43" applyNumberFormat="1" applyFill="1" applyBorder="1" applyAlignment="1">
      <alignment horizontal="left" vertical="center" wrapText="1" indent="1"/>
    </xf>
    <xf numFmtId="166" fontId="34" fillId="27" borderId="52" xfId="43" applyNumberFormat="1" applyFont="1" applyFill="1" applyBorder="1" applyAlignment="1" applyProtection="1">
      <alignment horizontal="left" vertical="center" wrapText="1" indent="1"/>
      <protection locked="0"/>
    </xf>
    <xf numFmtId="44" fontId="34" fillId="27" borderId="52" xfId="61" applyFont="1" applyFill="1" applyBorder="1" applyAlignment="1" applyProtection="1">
      <alignment horizontal="left" vertical="center" wrapText="1" indent="1"/>
      <protection locked="0"/>
    </xf>
    <xf numFmtId="166" fontId="34" fillId="27" borderId="32" xfId="43" applyNumberFormat="1" applyFont="1" applyFill="1" applyBorder="1" applyAlignment="1" applyProtection="1">
      <alignment horizontal="left" vertical="center" wrapText="1" indent="1"/>
      <protection locked="0"/>
    </xf>
    <xf numFmtId="166" fontId="34" fillId="27" borderId="53" xfId="43" applyNumberFormat="1" applyFont="1" applyFill="1" applyBorder="1" applyAlignment="1">
      <alignment horizontal="left" vertical="center" wrapText="1" indent="1"/>
    </xf>
    <xf numFmtId="166" fontId="35" fillId="27" borderId="10" xfId="43" applyNumberFormat="1" applyFont="1" applyFill="1" applyBorder="1" applyAlignment="1">
      <alignment horizontal="left" vertical="center" wrapText="1" indent="1"/>
    </xf>
    <xf numFmtId="166" fontId="33" fillId="27" borderId="21" xfId="43" applyNumberFormat="1" applyFont="1" applyFill="1" applyBorder="1" applyAlignment="1">
      <alignment horizontal="left" vertical="center" wrapText="1" indent="1"/>
    </xf>
    <xf numFmtId="166" fontId="33" fillId="27" borderId="10" xfId="43" applyNumberFormat="1" applyFont="1" applyFill="1" applyBorder="1" applyAlignment="1">
      <alignment horizontal="left" vertical="center" wrapText="1" indent="1"/>
    </xf>
    <xf numFmtId="166" fontId="33" fillId="27" borderId="22" xfId="43" applyNumberFormat="1" applyFont="1" applyFill="1" applyBorder="1" applyAlignment="1">
      <alignment horizontal="left" vertical="center" wrapText="1" indent="1"/>
    </xf>
    <xf numFmtId="166" fontId="36" fillId="27" borderId="12" xfId="43" applyNumberFormat="1" applyFont="1" applyFill="1" applyBorder="1" applyAlignment="1">
      <alignment horizontal="left" vertical="center" wrapText="1" indent="1"/>
    </xf>
    <xf numFmtId="166" fontId="36" fillId="27" borderId="11" xfId="43" applyNumberFormat="1" applyFont="1" applyFill="1" applyBorder="1" applyAlignment="1">
      <alignment horizontal="left" vertical="center" wrapText="1" indent="1"/>
    </xf>
    <xf numFmtId="166" fontId="36" fillId="27" borderId="13" xfId="43" applyNumberFormat="1" applyFont="1" applyFill="1" applyBorder="1" applyAlignment="1">
      <alignment horizontal="left" vertical="center" wrapText="1" indent="1"/>
    </xf>
    <xf numFmtId="166" fontId="36" fillId="27" borderId="18" xfId="43" applyNumberFormat="1" applyFont="1" applyFill="1" applyBorder="1" applyAlignment="1">
      <alignment horizontal="left" vertical="center" wrapText="1" indent="1"/>
    </xf>
    <xf numFmtId="166" fontId="36" fillId="27" borderId="14" xfId="43" applyNumberFormat="1" applyFont="1" applyFill="1" applyBorder="1" applyAlignment="1">
      <alignment horizontal="left" vertical="center" wrapText="1" indent="1"/>
    </xf>
    <xf numFmtId="166" fontId="36" fillId="27" borderId="19" xfId="43" applyNumberFormat="1" applyFont="1" applyFill="1" applyBorder="1" applyAlignment="1">
      <alignment horizontal="left" vertical="center" wrapText="1" indent="1"/>
    </xf>
    <xf numFmtId="166" fontId="36" fillId="27" borderId="52" xfId="43" applyNumberFormat="1" applyFont="1" applyFill="1" applyBorder="1" applyAlignment="1">
      <alignment horizontal="left" vertical="center" wrapText="1" indent="1"/>
    </xf>
    <xf numFmtId="166" fontId="36" fillId="27" borderId="53" xfId="43" applyNumberFormat="1" applyFont="1" applyFill="1" applyBorder="1" applyAlignment="1">
      <alignment horizontal="left" vertical="center" wrapText="1" indent="1"/>
    </xf>
    <xf numFmtId="166" fontId="35" fillId="27" borderId="21" xfId="43" applyNumberFormat="1" applyFont="1" applyFill="1" applyBorder="1" applyAlignment="1">
      <alignment horizontal="left" vertical="center" wrapText="1" indent="1"/>
    </xf>
    <xf numFmtId="166" fontId="35" fillId="27" borderId="22" xfId="43" applyNumberFormat="1" applyFont="1" applyFill="1" applyBorder="1" applyAlignment="1">
      <alignment horizontal="left" vertical="center" wrapText="1" indent="1"/>
    </xf>
    <xf numFmtId="166" fontId="56" fillId="27" borderId="16" xfId="43" applyNumberFormat="1" applyFont="1" applyFill="1" applyBorder="1" applyAlignment="1">
      <alignment horizontal="left" vertical="center" wrapText="1" indent="1"/>
    </xf>
    <xf numFmtId="166" fontId="56" fillId="27" borderId="14" xfId="43" applyNumberFormat="1" applyFont="1" applyFill="1" applyBorder="1" applyAlignment="1">
      <alignment horizontal="left" vertical="center" wrapText="1" indent="1"/>
    </xf>
    <xf numFmtId="166" fontId="26" fillId="27" borderId="32" xfId="43" applyNumberFormat="1" applyFill="1" applyBorder="1" applyAlignment="1">
      <alignment horizontal="left" vertical="center" wrapText="1" indent="1"/>
    </xf>
    <xf numFmtId="166" fontId="34" fillId="27" borderId="17" xfId="43" applyNumberFormat="1" applyFont="1" applyFill="1" applyBorder="1" applyAlignment="1">
      <alignment horizontal="left" vertical="center" wrapText="1" indent="1"/>
    </xf>
    <xf numFmtId="166" fontId="34" fillId="27" borderId="52" xfId="43" applyNumberFormat="1" applyFont="1" applyFill="1" applyBorder="1" applyAlignment="1">
      <alignment horizontal="left" vertical="center" wrapText="1" indent="1"/>
    </xf>
    <xf numFmtId="166" fontId="37" fillId="27" borderId="12" xfId="43" applyNumberFormat="1" applyFont="1" applyFill="1" applyBorder="1" applyAlignment="1">
      <alignment horizontal="left" vertical="center" wrapText="1" indent="1"/>
    </xf>
    <xf numFmtId="166" fontId="37" fillId="27" borderId="13" xfId="43" applyNumberFormat="1" applyFont="1" applyFill="1" applyBorder="1" applyAlignment="1">
      <alignment horizontal="left" vertical="center" wrapText="1" indent="1"/>
    </xf>
    <xf numFmtId="166" fontId="36" fillId="27" borderId="18" xfId="43" applyNumberFormat="1" applyFont="1" applyFill="1" applyBorder="1" applyAlignment="1">
      <alignment horizontal="left" vertical="center" wrapText="1" indent="2"/>
    </xf>
    <xf numFmtId="166" fontId="36" fillId="27" borderId="19" xfId="43" applyNumberFormat="1" applyFont="1" applyFill="1" applyBorder="1" applyAlignment="1">
      <alignment horizontal="left" vertical="center" wrapText="1" indent="2"/>
    </xf>
    <xf numFmtId="166" fontId="37" fillId="27" borderId="18" xfId="43" applyNumberFormat="1" applyFont="1" applyFill="1" applyBorder="1" applyAlignment="1">
      <alignment horizontal="left" vertical="center" wrapText="1" indent="1"/>
    </xf>
    <xf numFmtId="166" fontId="26" fillId="27" borderId="14" xfId="43" applyNumberFormat="1" applyFill="1" applyBorder="1" applyAlignment="1">
      <alignment vertical="center" wrapText="1"/>
    </xf>
    <xf numFmtId="166" fontId="37" fillId="27" borderId="19" xfId="43" applyNumberFormat="1" applyFont="1" applyFill="1" applyBorder="1" applyAlignment="1">
      <alignment horizontal="left" vertical="center" wrapText="1" indent="1"/>
    </xf>
    <xf numFmtId="166" fontId="34" fillId="27" borderId="52" xfId="43" applyNumberFormat="1" applyFont="1" applyFill="1" applyBorder="1" applyAlignment="1">
      <alignment horizontal="left" vertical="center" wrapText="1" indent="2"/>
    </xf>
    <xf numFmtId="166" fontId="36" fillId="27" borderId="32" xfId="43" applyNumberFormat="1" applyFont="1" applyFill="1" applyBorder="1" applyAlignment="1" applyProtection="1">
      <alignment horizontal="left" vertical="center" wrapText="1" indent="1"/>
      <protection locked="0"/>
    </xf>
    <xf numFmtId="166" fontId="34" fillId="27" borderId="53" xfId="43" applyNumberFormat="1" applyFont="1" applyFill="1" applyBorder="1" applyAlignment="1">
      <alignment horizontal="left" vertical="center" wrapText="1" indent="2"/>
    </xf>
    <xf numFmtId="166" fontId="45" fillId="27" borderId="30" xfId="43" applyNumberFormat="1" applyFont="1" applyFill="1" applyBorder="1" applyAlignment="1">
      <alignment horizontal="left" vertical="center" wrapText="1" indent="1"/>
    </xf>
    <xf numFmtId="166" fontId="57" fillId="27" borderId="54" xfId="43" applyNumberFormat="1" applyFont="1" applyFill="1" applyBorder="1" applyAlignment="1">
      <alignment horizontal="center" vertical="center" wrapText="1"/>
    </xf>
    <xf numFmtId="166" fontId="57" fillId="27" borderId="30" xfId="43" applyNumberFormat="1" applyFont="1" applyFill="1" applyBorder="1" applyAlignment="1">
      <alignment horizontal="center" vertical="center" wrapText="1"/>
    </xf>
    <xf numFmtId="166" fontId="57" fillId="27" borderId="31" xfId="43" applyNumberFormat="1" applyFont="1" applyFill="1" applyBorder="1" applyAlignment="1">
      <alignment horizontal="center" vertical="center" wrapText="1"/>
    </xf>
    <xf numFmtId="166" fontId="35" fillId="27" borderId="0" xfId="43" applyNumberFormat="1" applyFont="1" applyFill="1" applyAlignment="1">
      <alignment horizontal="left" vertical="center" wrapText="1" indent="1"/>
    </xf>
    <xf numFmtId="166" fontId="26" fillId="27" borderId="0" xfId="43" applyNumberFormat="1" applyFill="1" applyAlignment="1">
      <alignment horizontal="center" vertical="center" wrapText="1"/>
    </xf>
    <xf numFmtId="166" fontId="35" fillId="27" borderId="0" xfId="43" applyNumberFormat="1" applyFont="1" applyFill="1" applyAlignment="1">
      <alignment horizontal="center" vertical="center" wrapText="1"/>
    </xf>
    <xf numFmtId="166" fontId="26" fillId="27" borderId="0" xfId="43" applyNumberFormat="1" applyFill="1" applyAlignment="1">
      <alignment horizontal="center" vertical="center" wrapText="1"/>
    </xf>
    <xf numFmtId="196" fontId="26" fillId="27" borderId="0" xfId="43" applyNumberFormat="1" applyFill="1" applyAlignment="1">
      <alignment vertical="center" wrapText="1"/>
    </xf>
    <xf numFmtId="0" fontId="4" fillId="27" borderId="0" xfId="49" applyFont="1" applyFill="1"/>
    <xf numFmtId="170" fontId="35" fillId="14" borderId="0" xfId="63" applyNumberFormat="1" applyFont="1" applyFill="1" applyAlignment="1">
      <alignment vertical="center" wrapText="1"/>
    </xf>
    <xf numFmtId="166" fontId="29" fillId="27" borderId="0" xfId="43" applyNumberFormat="1" applyFont="1" applyFill="1" applyAlignment="1">
      <alignment horizontal="right" vertical="center"/>
    </xf>
    <xf numFmtId="166" fontId="31" fillId="27" borderId="21" xfId="43" applyNumberFormat="1" applyFont="1" applyFill="1" applyBorder="1" applyAlignment="1">
      <alignment horizontal="center" vertical="center" wrapText="1"/>
    </xf>
    <xf numFmtId="3" fontId="34" fillId="27" borderId="13" xfId="43" applyNumberFormat="1" applyFont="1" applyFill="1" applyBorder="1" applyAlignment="1" applyProtection="1">
      <alignment horizontal="left" vertical="center" wrapText="1" indent="1"/>
      <protection locked="0"/>
    </xf>
    <xf numFmtId="3" fontId="34" fillId="27" borderId="24" xfId="43" applyNumberFormat="1" applyFont="1" applyFill="1" applyBorder="1" applyAlignment="1" applyProtection="1">
      <alignment horizontal="left" vertical="center" wrapText="1" indent="1"/>
      <protection locked="0"/>
    </xf>
    <xf numFmtId="3" fontId="33" fillId="27" borderId="22" xfId="43" applyNumberFormat="1" applyFont="1" applyFill="1" applyBorder="1" applyAlignment="1" applyProtection="1">
      <alignment horizontal="left" vertical="center" wrapText="1" indent="1"/>
      <protection locked="0"/>
    </xf>
    <xf numFmtId="3" fontId="26" fillId="27" borderId="55" xfId="43" applyNumberFormat="1" applyFill="1" applyBorder="1" applyAlignment="1">
      <alignment horizontal="left" vertical="center" wrapText="1" indent="1"/>
    </xf>
    <xf numFmtId="166" fontId="34" fillId="14" borderId="20" xfId="43" applyNumberFormat="1" applyFont="1" applyFill="1" applyBorder="1" applyAlignment="1" applyProtection="1">
      <alignment horizontal="left" vertical="center" wrapText="1" indent="1"/>
      <protection locked="0"/>
    </xf>
    <xf numFmtId="166" fontId="37" fillId="14" borderId="14" xfId="43" applyNumberFormat="1" applyFont="1" applyFill="1" applyBorder="1" applyAlignment="1">
      <alignment horizontal="left" vertical="center" wrapText="1" indent="1"/>
    </xf>
    <xf numFmtId="166" fontId="37" fillId="14" borderId="15" xfId="43" applyNumberFormat="1" applyFont="1" applyFill="1" applyBorder="1" applyAlignment="1">
      <alignment horizontal="left" vertical="center" wrapText="1" indent="1"/>
    </xf>
    <xf numFmtId="166" fontId="33" fillId="14" borderId="34" xfId="43" applyNumberFormat="1" applyFont="1" applyFill="1" applyBorder="1" applyAlignment="1">
      <alignment horizontal="left" vertical="center" wrapText="1" indent="1"/>
    </xf>
    <xf numFmtId="166" fontId="36" fillId="14" borderId="16" xfId="43" applyNumberFormat="1" applyFont="1" applyFill="1" applyBorder="1" applyAlignment="1">
      <alignment horizontal="left" vertical="center" wrapText="1" indent="1"/>
    </xf>
    <xf numFmtId="166" fontId="37" fillId="14" borderId="14" xfId="43" applyNumberFormat="1" applyFont="1" applyFill="1" applyBorder="1" applyAlignment="1">
      <alignment horizontal="left" vertical="center" wrapText="1" indent="2"/>
    </xf>
    <xf numFmtId="166" fontId="37" fillId="14" borderId="17" xfId="43" applyNumberFormat="1" applyFont="1" applyFill="1" applyBorder="1" applyAlignment="1">
      <alignment horizontal="left" vertical="center" wrapText="1" indent="2"/>
    </xf>
    <xf numFmtId="166" fontId="33" fillId="14" borderId="55" xfId="43" applyNumberFormat="1" applyFont="1" applyFill="1" applyBorder="1" applyAlignment="1">
      <alignment horizontal="left" vertical="center" wrapText="1" indent="1"/>
    </xf>
    <xf numFmtId="166" fontId="30" fillId="14" borderId="21" xfId="43" applyNumberFormat="1" applyFont="1" applyFill="1" applyBorder="1" applyAlignment="1">
      <alignment horizontal="left" vertical="center" wrapText="1" indent="1"/>
    </xf>
    <xf numFmtId="166" fontId="26" fillId="27" borderId="18" xfId="43" applyNumberFormat="1" applyFill="1" applyBorder="1" applyAlignment="1">
      <alignment vertical="center" wrapText="1"/>
    </xf>
    <xf numFmtId="3" fontId="33" fillId="27" borderId="35" xfId="43" applyNumberFormat="1" applyFont="1" applyFill="1" applyBorder="1" applyAlignment="1">
      <alignment horizontal="left" vertical="center" wrapText="1" indent="1"/>
    </xf>
    <xf numFmtId="3" fontId="34" fillId="27" borderId="23" xfId="43" applyNumberFormat="1" applyFont="1" applyFill="1" applyBorder="1" applyAlignment="1" applyProtection="1">
      <alignment horizontal="left" vertical="center" wrapText="1" indent="1"/>
      <protection locked="0"/>
    </xf>
    <xf numFmtId="166" fontId="26" fillId="27" borderId="56" xfId="43" applyNumberFormat="1" applyFill="1" applyBorder="1" applyAlignment="1">
      <alignment horizontal="left" vertical="center" wrapText="1" indent="1"/>
    </xf>
    <xf numFmtId="166" fontId="36" fillId="27" borderId="20" xfId="43" applyNumberFormat="1" applyFont="1" applyFill="1" applyBorder="1" applyAlignment="1">
      <alignment horizontal="left" vertical="center" wrapText="1" indent="1"/>
    </xf>
    <xf numFmtId="166" fontId="34" fillId="27" borderId="57" xfId="43" applyNumberFormat="1" applyFont="1" applyFill="1" applyBorder="1" applyAlignment="1">
      <alignment horizontal="left" vertical="center" wrapText="1" indent="1"/>
    </xf>
    <xf numFmtId="166" fontId="34" fillId="27" borderId="57" xfId="43" applyNumberFormat="1" applyFont="1" applyFill="1" applyBorder="1" applyAlignment="1" applyProtection="1">
      <alignment horizontal="left" vertical="center" wrapText="1" indent="1"/>
      <protection locked="0"/>
    </xf>
    <xf numFmtId="166" fontId="34" fillId="27" borderId="32" xfId="43" applyNumberFormat="1" applyFont="1" applyFill="1" applyBorder="1" applyAlignment="1">
      <alignment horizontal="left" vertical="center" wrapText="1" indent="1"/>
    </xf>
    <xf numFmtId="166" fontId="26" fillId="27" borderId="0" xfId="43" applyNumberFormat="1" applyFill="1" applyAlignment="1">
      <alignment vertical="center" wrapText="1"/>
    </xf>
    <xf numFmtId="166" fontId="36" fillId="27" borderId="15" xfId="43" applyNumberFormat="1" applyFont="1" applyFill="1" applyBorder="1" applyAlignment="1">
      <alignment horizontal="left" vertical="center" wrapText="1" indent="1"/>
    </xf>
    <xf numFmtId="166" fontId="37" fillId="27" borderId="14" xfId="43" applyNumberFormat="1" applyFont="1" applyFill="1" applyBorder="1" applyAlignment="1">
      <alignment horizontal="left" vertical="center" wrapText="1" indent="1"/>
    </xf>
    <xf numFmtId="166" fontId="37" fillId="27" borderId="15" xfId="43" applyNumberFormat="1" applyFont="1" applyFill="1" applyBorder="1" applyAlignment="1">
      <alignment horizontal="left" vertical="center" wrapText="1" indent="1"/>
    </xf>
    <xf numFmtId="166" fontId="44" fillId="27" borderId="0" xfId="43" applyNumberFormat="1" applyFont="1" applyFill="1" applyAlignment="1">
      <alignment vertical="center" wrapText="1"/>
    </xf>
    <xf numFmtId="49" fontId="37" fillId="27" borderId="14" xfId="43" applyNumberFormat="1" applyFont="1" applyFill="1" applyBorder="1" applyAlignment="1">
      <alignment horizontal="left" vertical="center" wrapText="1" indent="2"/>
    </xf>
    <xf numFmtId="166" fontId="34" fillId="27" borderId="15" xfId="43" applyNumberFormat="1" applyFont="1" applyFill="1" applyBorder="1" applyAlignment="1">
      <alignment horizontal="left" vertical="center" wrapText="1" indent="1"/>
    </xf>
    <xf numFmtId="166" fontId="37" fillId="27" borderId="14" xfId="43" applyNumberFormat="1" applyFont="1" applyFill="1" applyBorder="1" applyAlignment="1">
      <alignment horizontal="left" vertical="center" wrapText="1" indent="2"/>
    </xf>
    <xf numFmtId="166" fontId="37" fillId="27" borderId="32" xfId="43" applyNumberFormat="1" applyFont="1" applyFill="1" applyBorder="1" applyAlignment="1">
      <alignment horizontal="left" vertical="center" wrapText="1" indent="2"/>
    </xf>
    <xf numFmtId="166" fontId="26" fillId="27" borderId="58" xfId="43" applyNumberFormat="1" applyFill="1" applyBorder="1" applyAlignment="1">
      <alignment horizontal="left" vertical="center" wrapText="1" indent="1"/>
    </xf>
    <xf numFmtId="166" fontId="45" fillId="27" borderId="10" xfId="43" applyNumberFormat="1" applyFont="1" applyFill="1" applyBorder="1" applyAlignment="1">
      <alignment horizontal="center" vertical="center" wrapText="1"/>
    </xf>
    <xf numFmtId="166" fontId="26" fillId="27" borderId="0" xfId="43" applyNumberFormat="1" applyFill="1" applyAlignment="1">
      <alignment horizontal="left" vertical="center" wrapText="1" indent="1"/>
    </xf>
    <xf numFmtId="166" fontId="34" fillId="27" borderId="38" xfId="43" applyNumberFormat="1" applyFont="1" applyFill="1" applyBorder="1" applyAlignment="1">
      <alignment horizontal="left" vertical="center" wrapText="1" indent="1"/>
    </xf>
    <xf numFmtId="166" fontId="36" fillId="27" borderId="38" xfId="43" applyNumberFormat="1" applyFont="1" applyFill="1" applyBorder="1" applyAlignment="1">
      <alignment horizontal="left" vertical="center" wrapText="1" indent="1"/>
    </xf>
    <xf numFmtId="166" fontId="53" fillId="27" borderId="18" xfId="43" applyNumberFormat="1" applyFont="1" applyFill="1" applyBorder="1" applyAlignment="1">
      <alignment horizontal="left" vertical="center" wrapText="1" indent="1"/>
    </xf>
    <xf numFmtId="166" fontId="34" fillId="27" borderId="12" xfId="43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Alignment="1">
      <alignment wrapText="1"/>
    </xf>
    <xf numFmtId="3" fontId="59" fillId="27" borderId="18" xfId="46" applyNumberFormat="1" applyFont="1" applyFill="1" applyBorder="1" applyAlignment="1">
      <alignment horizontal="center"/>
    </xf>
    <xf numFmtId="9" fontId="26" fillId="27" borderId="0" xfId="43" applyNumberFormat="1" applyFill="1" applyAlignment="1">
      <alignment vertical="center" wrapText="1"/>
    </xf>
    <xf numFmtId="9" fontId="31" fillId="27" borderId="21" xfId="43" applyNumberFormat="1" applyFont="1" applyFill="1" applyBorder="1" applyAlignment="1">
      <alignment horizontal="center" vertical="center" wrapText="1"/>
    </xf>
    <xf numFmtId="9" fontId="59" fillId="27" borderId="18" xfId="46" applyNumberFormat="1" applyFont="1" applyFill="1" applyBorder="1" applyAlignment="1">
      <alignment horizontal="center"/>
    </xf>
    <xf numFmtId="9" fontId="34" fillId="27" borderId="12" xfId="43" applyNumberFormat="1" applyFont="1" applyFill="1" applyBorder="1" applyAlignment="1" applyProtection="1">
      <alignment horizontal="left" vertical="center" wrapText="1" indent="1"/>
      <protection locked="0"/>
    </xf>
    <xf numFmtId="9" fontId="33" fillId="27" borderId="35" xfId="43" applyNumberFormat="1" applyFont="1" applyFill="1" applyBorder="1" applyAlignment="1">
      <alignment horizontal="left" vertical="center" wrapText="1" indent="1"/>
    </xf>
    <xf numFmtId="9" fontId="34" fillId="27" borderId="23" xfId="43" applyNumberFormat="1" applyFont="1" applyFill="1" applyBorder="1" applyAlignment="1" applyProtection="1">
      <alignment horizontal="left" vertical="center" wrapText="1" indent="1"/>
      <protection locked="0"/>
    </xf>
    <xf numFmtId="9" fontId="26" fillId="27" borderId="18" xfId="43" applyNumberFormat="1" applyFill="1" applyBorder="1" applyAlignment="1">
      <alignment vertical="center" wrapText="1"/>
    </xf>
    <xf numFmtId="9" fontId="31" fillId="27" borderId="35" xfId="43" applyNumberFormat="1" applyFont="1" applyFill="1" applyBorder="1" applyAlignment="1">
      <alignment horizontal="center" vertical="center" wrapText="1"/>
    </xf>
    <xf numFmtId="166" fontId="30" fillId="27" borderId="10" xfId="43" applyNumberFormat="1" applyFont="1" applyFill="1" applyBorder="1" applyAlignment="1">
      <alignment horizontal="left" vertical="center" wrapText="1" indent="1"/>
    </xf>
    <xf numFmtId="3" fontId="30" fillId="27" borderId="22" xfId="43" applyNumberFormat="1" applyFont="1" applyFill="1" applyBorder="1" applyAlignment="1" applyProtection="1">
      <alignment horizontal="left" vertical="center" wrapText="1" indent="1"/>
      <protection locked="0"/>
    </xf>
    <xf numFmtId="3" fontId="30" fillId="27" borderId="21" xfId="43" applyNumberFormat="1" applyFont="1" applyFill="1" applyBorder="1" applyAlignment="1">
      <alignment horizontal="left" vertical="center" wrapText="1" indent="1"/>
    </xf>
    <xf numFmtId="3" fontId="30" fillId="27" borderId="42" xfId="43" applyNumberFormat="1" applyFont="1" applyFill="1" applyBorder="1" applyAlignment="1" applyProtection="1">
      <alignment horizontal="left" vertical="center" wrapText="1" indent="1"/>
      <protection locked="0"/>
    </xf>
    <xf numFmtId="3" fontId="30" fillId="27" borderId="59" xfId="43" applyNumberFormat="1" applyFont="1" applyFill="1" applyBorder="1" applyAlignment="1" applyProtection="1">
      <alignment horizontal="left" vertical="center" wrapText="1" indent="1"/>
      <protection locked="0"/>
    </xf>
    <xf numFmtId="10" fontId="26" fillId="27" borderId="0" xfId="43" applyNumberFormat="1" applyFill="1" applyAlignment="1">
      <alignment vertical="center" wrapText="1"/>
    </xf>
    <xf numFmtId="10" fontId="29" fillId="27" borderId="0" xfId="43" applyNumberFormat="1" applyFont="1" applyFill="1" applyAlignment="1">
      <alignment horizontal="right" vertical="center"/>
    </xf>
    <xf numFmtId="10" fontId="31" fillId="27" borderId="22" xfId="43" applyNumberFormat="1" applyFont="1" applyFill="1" applyBorder="1" applyAlignment="1">
      <alignment horizontal="center" vertical="center" wrapText="1"/>
    </xf>
    <xf numFmtId="166" fontId="34" fillId="27" borderId="16" xfId="43" applyNumberFormat="1" applyFont="1" applyFill="1" applyBorder="1" applyAlignment="1">
      <alignment horizontal="left" vertical="center" wrapText="1" indent="1"/>
    </xf>
    <xf numFmtId="166" fontId="30" fillId="27" borderId="33" xfId="43" applyNumberFormat="1" applyFont="1" applyFill="1" applyBorder="1" applyAlignment="1">
      <alignment horizontal="left" vertical="center" wrapText="1" indent="1"/>
    </xf>
    <xf numFmtId="166" fontId="30" fillId="27" borderId="60" xfId="43" applyNumberFormat="1" applyFont="1" applyFill="1" applyBorder="1" applyAlignment="1">
      <alignment horizontal="center" vertical="center" wrapText="1"/>
    </xf>
    <xf numFmtId="166" fontId="45" fillId="27" borderId="0" xfId="43" applyNumberFormat="1" applyFont="1" applyFill="1" applyBorder="1" applyAlignment="1">
      <alignment horizontal="center" vertical="center" wrapText="1"/>
    </xf>
    <xf numFmtId="3" fontId="45" fillId="27" borderId="0" xfId="43" applyNumberFormat="1" applyFont="1" applyFill="1" applyBorder="1" applyAlignment="1">
      <alignment horizontal="left" vertical="center" wrapText="1" indent="1"/>
    </xf>
    <xf numFmtId="9" fontId="45" fillId="27" borderId="0" xfId="43" applyNumberFormat="1" applyFont="1" applyFill="1" applyBorder="1" applyAlignment="1">
      <alignment horizontal="left" vertical="center" wrapText="1" indent="1"/>
    </xf>
    <xf numFmtId="166" fontId="26" fillId="27" borderId="0" xfId="43" applyNumberFormat="1" applyFill="1" applyBorder="1" applyAlignment="1">
      <alignment vertical="center" wrapText="1"/>
    </xf>
    <xf numFmtId="166" fontId="26" fillId="27" borderId="0" xfId="43" applyNumberFormat="1" applyFill="1" applyBorder="1" applyAlignment="1">
      <alignment horizontal="center" vertical="center" wrapText="1"/>
    </xf>
    <xf numFmtId="3" fontId="26" fillId="27" borderId="0" xfId="43" applyNumberFormat="1" applyFill="1" applyBorder="1" applyAlignment="1">
      <alignment horizontal="center" vertical="center" wrapText="1"/>
    </xf>
    <xf numFmtId="9" fontId="26" fillId="27" borderId="0" xfId="43" applyNumberFormat="1" applyFill="1" applyBorder="1" applyAlignment="1">
      <alignment horizontal="center" vertical="center" wrapText="1"/>
    </xf>
    <xf numFmtId="0" fontId="5" fillId="27" borderId="0" xfId="49" applyFont="1" applyFill="1" applyBorder="1"/>
    <xf numFmtId="9" fontId="26" fillId="27" borderId="0" xfId="43" applyNumberFormat="1" applyFill="1" applyBorder="1" applyAlignment="1">
      <alignment vertical="center" wrapText="1"/>
    </xf>
    <xf numFmtId="196" fontId="26" fillId="27" borderId="0" xfId="43" applyNumberFormat="1" applyFill="1" applyBorder="1" applyAlignment="1">
      <alignment vertical="center" wrapText="1"/>
    </xf>
    <xf numFmtId="9" fontId="30" fillId="27" borderId="54" xfId="43" applyNumberFormat="1" applyFont="1" applyFill="1" applyBorder="1" applyAlignment="1">
      <alignment horizontal="left" vertical="center" wrapText="1" indent="1"/>
    </xf>
    <xf numFmtId="3" fontId="34" fillId="27" borderId="22" xfId="43" applyNumberFormat="1" applyFont="1" applyFill="1" applyBorder="1" applyAlignment="1" applyProtection="1">
      <alignment horizontal="left" vertical="center" wrapText="1" indent="1"/>
      <protection locked="0"/>
    </xf>
    <xf numFmtId="166" fontId="30" fillId="27" borderId="30" xfId="43" applyNumberFormat="1" applyFont="1" applyFill="1" applyBorder="1" applyAlignment="1">
      <alignment horizontal="center" vertical="center" wrapText="1"/>
    </xf>
    <xf numFmtId="9" fontId="34" fillId="0" borderId="12" xfId="43" applyNumberFormat="1" applyFont="1" applyBorder="1" applyAlignment="1" applyProtection="1">
      <alignment horizontal="right" vertical="center" wrapText="1" indent="1"/>
      <protection locked="0"/>
    </xf>
    <xf numFmtId="9" fontId="33" fillId="0" borderId="21" xfId="43" applyNumberFormat="1" applyFont="1" applyBorder="1" applyAlignment="1">
      <alignment horizontal="right" vertical="center" wrapText="1" indent="1"/>
    </xf>
    <xf numFmtId="9" fontId="37" fillId="0" borderId="23" xfId="43" applyNumberFormat="1" applyFont="1" applyBorder="1" applyAlignment="1">
      <alignment horizontal="right" vertical="center" wrapText="1" indent="1"/>
    </xf>
    <xf numFmtId="9" fontId="36" fillId="0" borderId="18" xfId="43" applyNumberFormat="1" applyFont="1" applyBorder="1" applyAlignment="1" applyProtection="1">
      <alignment horizontal="right" vertical="center" wrapText="1" indent="1"/>
      <protection locked="0"/>
    </xf>
    <xf numFmtId="9" fontId="37" fillId="0" borderId="18" xfId="43" applyNumberFormat="1" applyFont="1" applyBorder="1" applyAlignment="1">
      <alignment horizontal="right" vertical="center" wrapText="1" indent="1"/>
    </xf>
    <xf numFmtId="9" fontId="36" fillId="0" borderId="23" xfId="43" applyNumberFormat="1" applyFont="1" applyBorder="1" applyAlignment="1" applyProtection="1">
      <alignment horizontal="right" vertical="center" wrapText="1" indent="1"/>
      <protection locked="0"/>
    </xf>
    <xf numFmtId="9" fontId="35" fillId="0" borderId="25" xfId="43" applyNumberFormat="1" applyFont="1" applyBorder="1" applyAlignment="1">
      <alignment horizontal="right" vertical="center" wrapText="1" indent="1"/>
    </xf>
    <xf numFmtId="9" fontId="34" fillId="0" borderId="18" xfId="43" applyNumberFormat="1" applyFont="1" applyBorder="1" applyAlignment="1" applyProtection="1">
      <alignment horizontal="right" vertical="center" wrapText="1" indent="1"/>
      <protection locked="0"/>
    </xf>
    <xf numFmtId="9" fontId="34" fillId="0" borderId="26" xfId="43" applyNumberFormat="1" applyFont="1" applyBorder="1" applyAlignment="1" applyProtection="1">
      <alignment horizontal="right" vertical="center" wrapText="1" indent="1"/>
      <protection locked="0"/>
    </xf>
    <xf numFmtId="9" fontId="37" fillId="0" borderId="27" xfId="43" applyNumberFormat="1" applyFont="1" applyBorder="1" applyAlignment="1">
      <alignment horizontal="right" vertical="center" wrapText="1" indent="1"/>
    </xf>
    <xf numFmtId="9" fontId="36" fillId="0" borderId="26" xfId="43" applyNumberFormat="1" applyFont="1" applyBorder="1" applyAlignment="1" applyProtection="1">
      <alignment horizontal="right" vertical="center" wrapText="1" indent="1"/>
      <protection locked="0"/>
    </xf>
    <xf numFmtId="9" fontId="37" fillId="0" borderId="26" xfId="43" applyNumberFormat="1" applyFont="1" applyBorder="1" applyAlignment="1">
      <alignment horizontal="right" vertical="center" wrapText="1" indent="1"/>
    </xf>
    <xf numFmtId="9" fontId="26" fillId="0" borderId="0" xfId="43" applyNumberFormat="1" applyAlignment="1">
      <alignment horizontal="center" vertical="center" wrapText="1"/>
    </xf>
    <xf numFmtId="9" fontId="26" fillId="0" borderId="0" xfId="43" applyNumberFormat="1" applyAlignment="1">
      <alignment vertical="center" wrapText="1"/>
    </xf>
    <xf numFmtId="9" fontId="29" fillId="0" borderId="0" xfId="43" applyNumberFormat="1" applyFont="1" applyAlignment="1">
      <alignment horizontal="right" vertical="center"/>
    </xf>
    <xf numFmtId="9" fontId="26" fillId="0" borderId="34" xfId="43" applyNumberFormat="1" applyBorder="1" applyAlignment="1">
      <alignment vertical="center" wrapText="1"/>
    </xf>
    <xf numFmtId="9" fontId="45" fillId="0" borderId="25" xfId="43" applyNumberFormat="1" applyFont="1" applyBorder="1" applyAlignment="1">
      <alignment horizontal="right" vertical="center" wrapText="1" indent="1"/>
    </xf>
    <xf numFmtId="9" fontId="35" fillId="0" borderId="0" xfId="43" applyNumberFormat="1" applyFont="1" applyAlignment="1">
      <alignment horizontal="right" vertical="center" wrapText="1" indent="1"/>
    </xf>
    <xf numFmtId="0" fontId="97" fillId="0" borderId="18" xfId="41" applyFont="1" applyBorder="1" applyAlignment="1" applyProtection="1">
      <alignment wrapText="1"/>
      <protection locked="0"/>
    </xf>
    <xf numFmtId="9" fontId="34" fillId="27" borderId="28" xfId="43" applyNumberFormat="1" applyFont="1" applyFill="1" applyBorder="1" applyAlignment="1" applyProtection="1">
      <alignment horizontal="left" vertical="center" wrapText="1" indent="1"/>
      <protection locked="0"/>
    </xf>
    <xf numFmtId="9" fontId="34" fillId="27" borderId="13" xfId="43" applyNumberFormat="1" applyFont="1" applyFill="1" applyBorder="1" applyAlignment="1" applyProtection="1">
      <alignment horizontal="left" vertical="center" wrapText="1" indent="1"/>
      <protection locked="0"/>
    </xf>
    <xf numFmtId="9" fontId="34" fillId="27" borderId="22" xfId="43" applyNumberFormat="1" applyFont="1" applyFill="1" applyBorder="1" applyAlignment="1" applyProtection="1">
      <alignment horizontal="left" vertical="center" wrapText="1" indent="1"/>
      <protection locked="0"/>
    </xf>
    <xf numFmtId="9" fontId="34" fillId="27" borderId="24" xfId="43" applyNumberFormat="1" applyFont="1" applyFill="1" applyBorder="1" applyAlignment="1" applyProtection="1">
      <alignment horizontal="left" vertical="center" wrapText="1" indent="1"/>
      <protection locked="0"/>
    </xf>
    <xf numFmtId="9" fontId="63" fillId="27" borderId="22" xfId="43" applyNumberFormat="1" applyFont="1" applyFill="1" applyBorder="1" applyAlignment="1" applyProtection="1">
      <alignment horizontal="left" vertical="center" wrapText="1" indent="1"/>
      <protection locked="0"/>
    </xf>
    <xf numFmtId="9" fontId="34" fillId="27" borderId="0" xfId="43" applyNumberFormat="1" applyFont="1" applyFill="1" applyBorder="1" applyAlignment="1" applyProtection="1">
      <alignment horizontal="left" vertical="center" wrapText="1" indent="1"/>
      <protection locked="0"/>
    </xf>
    <xf numFmtId="166" fontId="64" fillId="27" borderId="11" xfId="43" applyNumberFormat="1" applyFont="1" applyFill="1" applyBorder="1" applyAlignment="1">
      <alignment horizontal="left" vertical="center" wrapText="1" indent="1"/>
    </xf>
    <xf numFmtId="9" fontId="35" fillId="27" borderId="0" xfId="43" applyNumberFormat="1" applyFont="1" applyFill="1" applyAlignment="1">
      <alignment horizontal="center" vertical="center" wrapText="1"/>
    </xf>
    <xf numFmtId="9" fontId="26" fillId="27" borderId="0" xfId="43" applyNumberFormat="1" applyFill="1" applyAlignment="1">
      <alignment horizontal="center" vertical="center" wrapText="1"/>
    </xf>
    <xf numFmtId="9" fontId="31" fillId="27" borderId="50" xfId="43" applyNumberFormat="1" applyFont="1" applyFill="1" applyBorder="1" applyAlignment="1">
      <alignment horizontal="centerContinuous" vertical="center" wrapText="1"/>
    </xf>
    <xf numFmtId="9" fontId="33" fillId="27" borderId="21" xfId="43" applyNumberFormat="1" applyFont="1" applyFill="1" applyBorder="1" applyAlignment="1">
      <alignment horizontal="center" vertical="center" wrapText="1"/>
    </xf>
    <xf numFmtId="9" fontId="34" fillId="27" borderId="12" xfId="43" applyNumberFormat="1" applyFont="1" applyFill="1" applyBorder="1" applyAlignment="1">
      <alignment horizontal="left" vertical="center" wrapText="1" indent="1"/>
    </xf>
    <xf numFmtId="9" fontId="34" fillId="27" borderId="18" xfId="43" applyNumberFormat="1" applyFont="1" applyFill="1" applyBorder="1" applyAlignment="1">
      <alignment horizontal="left" vertical="center" wrapText="1" indent="1"/>
    </xf>
    <xf numFmtId="9" fontId="33" fillId="27" borderId="21" xfId="43" applyNumberFormat="1" applyFont="1" applyFill="1" applyBorder="1" applyAlignment="1">
      <alignment horizontal="left" vertical="center" wrapText="1" indent="1"/>
    </xf>
    <xf numFmtId="9" fontId="36" fillId="27" borderId="12" xfId="43" applyNumberFormat="1" applyFont="1" applyFill="1" applyBorder="1" applyAlignment="1">
      <alignment horizontal="left" vertical="center" wrapText="1" indent="1"/>
    </xf>
    <xf numFmtId="9" fontId="36" fillId="27" borderId="18" xfId="43" applyNumberFormat="1" applyFont="1" applyFill="1" applyBorder="1" applyAlignment="1">
      <alignment horizontal="left" vertical="center" wrapText="1" indent="1"/>
    </xf>
    <xf numFmtId="9" fontId="36" fillId="27" borderId="52" xfId="43" applyNumberFormat="1" applyFont="1" applyFill="1" applyBorder="1" applyAlignment="1">
      <alignment horizontal="left" vertical="center" wrapText="1" indent="1"/>
    </xf>
    <xf numFmtId="9" fontId="35" fillId="27" borderId="21" xfId="43" applyNumberFormat="1" applyFont="1" applyFill="1" applyBorder="1" applyAlignment="1">
      <alignment horizontal="left" vertical="center" wrapText="1" indent="1"/>
    </xf>
    <xf numFmtId="9" fontId="34" fillId="27" borderId="52" xfId="43" applyNumberFormat="1" applyFont="1" applyFill="1" applyBorder="1" applyAlignment="1">
      <alignment horizontal="left" vertical="center" wrapText="1" indent="1"/>
    </xf>
    <xf numFmtId="9" fontId="37" fillId="27" borderId="12" xfId="43" applyNumberFormat="1" applyFont="1" applyFill="1" applyBorder="1" applyAlignment="1">
      <alignment horizontal="left" vertical="center" wrapText="1" indent="1"/>
    </xf>
    <xf numFmtId="9" fontId="36" fillId="27" borderId="18" xfId="43" applyNumberFormat="1" applyFont="1" applyFill="1" applyBorder="1" applyAlignment="1">
      <alignment horizontal="left" vertical="center" wrapText="1" indent="2"/>
    </xf>
    <xf numFmtId="9" fontId="37" fillId="27" borderId="18" xfId="43" applyNumberFormat="1" applyFont="1" applyFill="1" applyBorder="1" applyAlignment="1">
      <alignment horizontal="left" vertical="center" wrapText="1" indent="1"/>
    </xf>
    <xf numFmtId="9" fontId="34" fillId="27" borderId="52" xfId="43" applyNumberFormat="1" applyFont="1" applyFill="1" applyBorder="1" applyAlignment="1">
      <alignment horizontal="left" vertical="center" wrapText="1" indent="2"/>
    </xf>
    <xf numFmtId="9" fontId="57" fillId="27" borderId="54" xfId="43" applyNumberFormat="1" applyFont="1" applyFill="1" applyBorder="1" applyAlignment="1">
      <alignment horizontal="center" vertical="center" wrapText="1"/>
    </xf>
    <xf numFmtId="9" fontId="27" fillId="27" borderId="0" xfId="43" applyNumberFormat="1" applyFont="1" applyFill="1" applyAlignment="1">
      <alignment horizontal="center" vertical="center" wrapText="1"/>
    </xf>
    <xf numFmtId="9" fontId="31" fillId="27" borderId="51" xfId="43" applyNumberFormat="1" applyFont="1" applyFill="1" applyBorder="1" applyAlignment="1">
      <alignment horizontal="centerContinuous" vertical="center" wrapText="1"/>
    </xf>
    <xf numFmtId="9" fontId="33" fillId="27" borderId="22" xfId="43" applyNumberFormat="1" applyFont="1" applyFill="1" applyBorder="1" applyAlignment="1">
      <alignment horizontal="center" vertical="center" wrapText="1"/>
    </xf>
    <xf numFmtId="9" fontId="34" fillId="27" borderId="13" xfId="43" applyNumberFormat="1" applyFont="1" applyFill="1" applyBorder="1" applyAlignment="1">
      <alignment horizontal="left" vertical="center" wrapText="1" indent="1"/>
    </xf>
    <xf numFmtId="9" fontId="34" fillId="27" borderId="19" xfId="43" applyNumberFormat="1" applyFont="1" applyFill="1" applyBorder="1" applyAlignment="1">
      <alignment horizontal="left" vertical="center" wrapText="1" indent="1"/>
    </xf>
    <xf numFmtId="9" fontId="34" fillId="27" borderId="53" xfId="43" applyNumberFormat="1" applyFont="1" applyFill="1" applyBorder="1" applyAlignment="1">
      <alignment horizontal="left" vertical="center" wrapText="1" indent="1"/>
    </xf>
    <xf numFmtId="9" fontId="33" fillId="27" borderId="22" xfId="43" applyNumberFormat="1" applyFont="1" applyFill="1" applyBorder="1" applyAlignment="1">
      <alignment horizontal="left" vertical="center" wrapText="1" indent="1"/>
    </xf>
    <xf numFmtId="9" fontId="36" fillId="27" borderId="13" xfId="43" applyNumberFormat="1" applyFont="1" applyFill="1" applyBorder="1" applyAlignment="1">
      <alignment horizontal="left" vertical="center" wrapText="1" indent="1"/>
    </xf>
    <xf numFmtId="9" fontId="36" fillId="27" borderId="19" xfId="43" applyNumberFormat="1" applyFont="1" applyFill="1" applyBorder="1" applyAlignment="1">
      <alignment horizontal="left" vertical="center" wrapText="1" indent="1"/>
    </xf>
    <xf numFmtId="9" fontId="36" fillId="27" borderId="53" xfId="43" applyNumberFormat="1" applyFont="1" applyFill="1" applyBorder="1" applyAlignment="1">
      <alignment horizontal="left" vertical="center" wrapText="1" indent="1"/>
    </xf>
    <xf numFmtId="9" fontId="35" fillId="27" borderId="22" xfId="43" applyNumberFormat="1" applyFont="1" applyFill="1" applyBorder="1" applyAlignment="1">
      <alignment horizontal="left" vertical="center" wrapText="1" indent="1"/>
    </xf>
    <xf numFmtId="9" fontId="37" fillId="27" borderId="13" xfId="43" applyNumberFormat="1" applyFont="1" applyFill="1" applyBorder="1" applyAlignment="1">
      <alignment horizontal="left" vertical="center" wrapText="1" indent="1"/>
    </xf>
    <xf numFmtId="9" fontId="36" fillId="27" borderId="19" xfId="43" applyNumberFormat="1" applyFont="1" applyFill="1" applyBorder="1" applyAlignment="1">
      <alignment horizontal="left" vertical="center" wrapText="1" indent="2"/>
    </xf>
    <xf numFmtId="9" fontId="37" fillId="27" borderId="19" xfId="43" applyNumberFormat="1" applyFont="1" applyFill="1" applyBorder="1" applyAlignment="1">
      <alignment horizontal="left" vertical="center" wrapText="1" indent="1"/>
    </xf>
    <xf numFmtId="9" fontId="34" fillId="27" borderId="53" xfId="43" applyNumberFormat="1" applyFont="1" applyFill="1" applyBorder="1" applyAlignment="1">
      <alignment horizontal="left" vertical="center" wrapText="1" indent="2"/>
    </xf>
    <xf numFmtId="9" fontId="57" fillId="27" borderId="31" xfId="43" applyNumberFormat="1" applyFont="1" applyFill="1" applyBorder="1" applyAlignment="1">
      <alignment horizontal="center" vertical="center" wrapText="1"/>
    </xf>
    <xf numFmtId="9" fontId="4" fillId="27" borderId="0" xfId="49" applyNumberFormat="1" applyFont="1" applyFill="1"/>
    <xf numFmtId="166" fontId="4" fillId="27" borderId="0" xfId="49" applyNumberFormat="1" applyFont="1" applyFill="1"/>
    <xf numFmtId="0" fontId="0" fillId="0" borderId="0" xfId="0" applyAlignment="1">
      <alignment horizontal="center" vertical="center" wrapText="1"/>
    </xf>
    <xf numFmtId="9" fontId="53" fillId="27" borderId="19" xfId="43" applyNumberFormat="1" applyFont="1" applyFill="1" applyBorder="1" applyAlignment="1">
      <alignment horizontal="left" vertical="center" wrapText="1" indent="1"/>
    </xf>
    <xf numFmtId="166" fontId="34" fillId="14" borderId="61" xfId="43" applyNumberFormat="1" applyFont="1" applyFill="1" applyBorder="1" applyAlignment="1">
      <alignment horizontal="left" vertical="center" wrapText="1" indent="1"/>
    </xf>
    <xf numFmtId="166" fontId="31" fillId="28" borderId="35" xfId="43" applyNumberFormat="1" applyFont="1" applyFill="1" applyBorder="1" applyAlignment="1">
      <alignment horizontal="center" vertical="center" wrapText="1"/>
    </xf>
    <xf numFmtId="166" fontId="31" fillId="28" borderId="21" xfId="43" applyNumberFormat="1" applyFont="1" applyFill="1" applyBorder="1" applyAlignment="1">
      <alignment horizontal="center" vertical="center" wrapText="1"/>
    </xf>
    <xf numFmtId="166" fontId="34" fillId="28" borderId="36" xfId="43" applyNumberFormat="1" applyFont="1" applyFill="1" applyBorder="1" applyAlignment="1">
      <alignment horizontal="left" vertical="center" wrapText="1" indent="1"/>
    </xf>
    <xf numFmtId="166" fontId="53" fillId="28" borderId="36" xfId="43" applyNumberFormat="1" applyFont="1" applyFill="1" applyBorder="1" applyAlignment="1">
      <alignment horizontal="left" vertical="center" wrapText="1" indent="1"/>
    </xf>
    <xf numFmtId="166" fontId="34" fillId="28" borderId="12" xfId="43" applyNumberFormat="1" applyFont="1" applyFill="1" applyBorder="1" applyAlignment="1" applyProtection="1">
      <alignment horizontal="right" vertical="center" wrapText="1" indent="1"/>
      <protection locked="0"/>
    </xf>
    <xf numFmtId="166" fontId="34" fillId="28" borderId="38" xfId="43" applyNumberFormat="1" applyFont="1" applyFill="1" applyBorder="1" applyAlignment="1">
      <alignment horizontal="left" vertical="center" wrapText="1" indent="1"/>
    </xf>
    <xf numFmtId="166" fontId="34" fillId="28" borderId="18" xfId="43" applyNumberFormat="1" applyFont="1" applyFill="1" applyBorder="1" applyAlignment="1" applyProtection="1">
      <alignment horizontal="left" vertical="center" wrapText="1" indent="1"/>
      <protection locked="0"/>
    </xf>
    <xf numFmtId="166" fontId="53" fillId="28" borderId="12" xfId="43" applyNumberFormat="1" applyFont="1" applyFill="1" applyBorder="1" applyAlignment="1" applyProtection="1">
      <alignment horizontal="left" vertical="center" wrapText="1" indent="1"/>
      <protection locked="0"/>
    </xf>
    <xf numFmtId="166" fontId="33" fillId="28" borderId="35" xfId="43" applyNumberFormat="1" applyFont="1" applyFill="1" applyBorder="1" applyAlignment="1">
      <alignment horizontal="left" vertical="center" wrapText="1" indent="1"/>
    </xf>
    <xf numFmtId="166" fontId="52" fillId="28" borderId="35" xfId="43" applyNumberFormat="1" applyFont="1" applyFill="1" applyBorder="1" applyAlignment="1">
      <alignment horizontal="left" vertical="center" wrapText="1" indent="1"/>
    </xf>
    <xf numFmtId="166" fontId="36" fillId="28" borderId="41" xfId="43" applyNumberFormat="1" applyFont="1" applyFill="1" applyBorder="1" applyAlignment="1">
      <alignment horizontal="left" vertical="center" wrapText="1" indent="1"/>
    </xf>
    <xf numFmtId="166" fontId="53" fillId="28" borderId="41" xfId="43" applyNumberFormat="1" applyFont="1" applyFill="1" applyBorder="1" applyAlignment="1">
      <alignment horizontal="left" vertical="center" wrapText="1" indent="1"/>
    </xf>
    <xf numFmtId="166" fontId="36" fillId="28" borderId="38" xfId="43" applyNumberFormat="1" applyFont="1" applyFill="1" applyBorder="1" applyAlignment="1">
      <alignment horizontal="left" vertical="center" wrapText="1" indent="1"/>
    </xf>
    <xf numFmtId="166" fontId="53" fillId="28" borderId="18" xfId="43" applyNumberFormat="1" applyFont="1" applyFill="1" applyBorder="1" applyAlignment="1">
      <alignment horizontal="left" vertical="center" wrapText="1" indent="1"/>
    </xf>
    <xf numFmtId="166" fontId="33" fillId="28" borderId="33" xfId="43" applyNumberFormat="1" applyFont="1" applyFill="1" applyBorder="1" applyAlignment="1">
      <alignment horizontal="left" vertical="center" wrapText="1" indent="1"/>
    </xf>
    <xf numFmtId="166" fontId="52" fillId="28" borderId="33" xfId="43" applyNumberFormat="1" applyFont="1" applyFill="1" applyBorder="1" applyAlignment="1">
      <alignment horizontal="left" vertical="center" wrapText="1" indent="1"/>
    </xf>
    <xf numFmtId="166" fontId="34" fillId="28" borderId="43" xfId="43" applyNumberFormat="1" applyFont="1" applyFill="1" applyBorder="1" applyAlignment="1">
      <alignment horizontal="left" vertical="center" wrapText="1" indent="1"/>
    </xf>
    <xf numFmtId="166" fontId="53" fillId="28" borderId="39" xfId="43" applyNumberFormat="1" applyFont="1" applyFill="1" applyBorder="1" applyAlignment="1">
      <alignment horizontal="left" vertical="center" wrapText="1" indent="1"/>
    </xf>
    <xf numFmtId="166" fontId="33" fillId="28" borderId="45" xfId="43" applyNumberFormat="1" applyFont="1" applyFill="1" applyBorder="1" applyAlignment="1">
      <alignment horizontal="left" vertical="center" wrapText="1" indent="1"/>
    </xf>
    <xf numFmtId="166" fontId="52" fillId="28" borderId="45" xfId="43" applyNumberFormat="1" applyFont="1" applyFill="1" applyBorder="1" applyAlignment="1">
      <alignment horizontal="left" vertical="center" wrapText="1" indent="1"/>
    </xf>
    <xf numFmtId="166" fontId="37" fillId="28" borderId="37" xfId="43" applyNumberFormat="1" applyFont="1" applyFill="1" applyBorder="1" applyAlignment="1">
      <alignment horizontal="left" vertical="center" wrapText="1" indent="1"/>
    </xf>
    <xf numFmtId="166" fontId="54" fillId="28" borderId="37" xfId="43" applyNumberFormat="1" applyFont="1" applyFill="1" applyBorder="1" applyAlignment="1">
      <alignment horizontal="left" vertical="center" wrapText="1" indent="1"/>
    </xf>
    <xf numFmtId="166" fontId="34" fillId="28" borderId="37" xfId="43" applyNumberFormat="1" applyFont="1" applyFill="1" applyBorder="1" applyAlignment="1" applyProtection="1">
      <alignment horizontal="right" vertical="center" wrapText="1" indent="1"/>
      <protection locked="0"/>
    </xf>
    <xf numFmtId="166" fontId="36" fillId="28" borderId="18" xfId="43" applyNumberFormat="1" applyFont="1" applyFill="1" applyBorder="1" applyAlignment="1">
      <alignment horizontal="left" vertical="center" wrapText="1" indent="2"/>
    </xf>
    <xf numFmtId="166" fontId="53" fillId="28" borderId="18" xfId="43" applyNumberFormat="1" applyFont="1" applyFill="1" applyBorder="1" applyAlignment="1">
      <alignment horizontal="left" vertical="center" wrapText="1" indent="2"/>
    </xf>
    <xf numFmtId="166" fontId="34" fillId="28" borderId="18" xfId="43" applyNumberFormat="1" applyFont="1" applyFill="1" applyBorder="1" applyAlignment="1" applyProtection="1">
      <alignment horizontal="right" vertical="center" wrapText="1" indent="1"/>
      <protection locked="0"/>
    </xf>
    <xf numFmtId="166" fontId="37" fillId="28" borderId="18" xfId="43" applyNumberFormat="1" applyFont="1" applyFill="1" applyBorder="1" applyAlignment="1">
      <alignment horizontal="left" vertical="center" wrapText="1" indent="1"/>
    </xf>
    <xf numFmtId="166" fontId="54" fillId="28" borderId="18" xfId="43" applyNumberFormat="1" applyFont="1" applyFill="1" applyBorder="1" applyAlignment="1">
      <alignment horizontal="left" vertical="center" wrapText="1" indent="1"/>
    </xf>
    <xf numFmtId="166" fontId="34" fillId="28" borderId="48" xfId="43" applyNumberFormat="1" applyFont="1" applyFill="1" applyBorder="1" applyAlignment="1">
      <alignment horizontal="left" vertical="center" wrapText="1" indent="2"/>
    </xf>
    <xf numFmtId="166" fontId="53" fillId="28" borderId="48" xfId="43" applyNumberFormat="1" applyFont="1" applyFill="1" applyBorder="1" applyAlignment="1">
      <alignment horizontal="left" vertical="center" wrapText="1" indent="2"/>
    </xf>
    <xf numFmtId="166" fontId="34" fillId="28" borderId="48" xfId="43" applyNumberFormat="1" applyFont="1" applyFill="1" applyBorder="1" applyAlignment="1" applyProtection="1">
      <alignment horizontal="right" vertical="center" wrapText="1" indent="1"/>
      <protection locked="0"/>
    </xf>
    <xf numFmtId="166" fontId="33" fillId="28" borderId="41" xfId="43" applyNumberFormat="1" applyFont="1" applyFill="1" applyBorder="1" applyAlignment="1">
      <alignment horizontal="left" vertical="center" wrapText="1" indent="1"/>
    </xf>
    <xf numFmtId="166" fontId="52" fillId="28" borderId="41" xfId="43" applyNumberFormat="1" applyFont="1" applyFill="1" applyBorder="1" applyAlignment="1">
      <alignment horizontal="left" vertical="center" wrapText="1" indent="1"/>
    </xf>
    <xf numFmtId="166" fontId="30" fillId="28" borderId="21" xfId="43" applyNumberFormat="1" applyFont="1" applyFill="1" applyBorder="1" applyAlignment="1">
      <alignment horizontal="left" vertical="center" wrapText="1" indent="1"/>
    </xf>
    <xf numFmtId="166" fontId="45" fillId="28" borderId="21" xfId="43" applyNumberFormat="1" applyFont="1" applyFill="1" applyBorder="1" applyAlignment="1">
      <alignment horizontal="center" vertical="center" wrapText="1"/>
    </xf>
    <xf numFmtId="166" fontId="33" fillId="28" borderId="21" xfId="43" applyNumberFormat="1" applyFont="1" applyFill="1" applyBorder="1" applyAlignment="1">
      <alignment horizontal="center" vertical="center" wrapText="1"/>
    </xf>
    <xf numFmtId="166" fontId="35" fillId="28" borderId="21" xfId="43" applyNumberFormat="1" applyFont="1" applyFill="1" applyBorder="1" applyAlignment="1">
      <alignment horizontal="center" vertical="center" wrapText="1"/>
    </xf>
    <xf numFmtId="166" fontId="26" fillId="28" borderId="0" xfId="43" applyNumberFormat="1" applyFill="1" applyAlignment="1">
      <alignment horizontal="center" vertical="center" wrapText="1"/>
    </xf>
    <xf numFmtId="166" fontId="53" fillId="28" borderId="0" xfId="43" applyNumberFormat="1" applyFont="1" applyFill="1" applyAlignment="1">
      <alignment horizontal="center" vertical="center" wrapText="1"/>
    </xf>
    <xf numFmtId="166" fontId="31" fillId="29" borderId="35" xfId="43" applyNumberFormat="1" applyFont="1" applyFill="1" applyBorder="1" applyAlignment="1">
      <alignment horizontal="center" vertical="center" wrapText="1"/>
    </xf>
    <xf numFmtId="166" fontId="31" fillId="29" borderId="21" xfId="43" applyNumberFormat="1" applyFont="1" applyFill="1" applyBorder="1" applyAlignment="1">
      <alignment horizontal="center" vertical="center" wrapText="1"/>
    </xf>
    <xf numFmtId="166" fontId="34" fillId="29" borderId="36" xfId="43" applyNumberFormat="1" applyFont="1" applyFill="1" applyBorder="1" applyAlignment="1">
      <alignment horizontal="left" vertical="center" wrapText="1" indent="1"/>
    </xf>
    <xf numFmtId="166" fontId="53" fillId="29" borderId="36" xfId="43" applyNumberFormat="1" applyFont="1" applyFill="1" applyBorder="1" applyAlignment="1">
      <alignment horizontal="left" vertical="center" wrapText="1" indent="1"/>
    </xf>
    <xf numFmtId="166" fontId="34" fillId="29" borderId="12" xfId="43" applyNumberFormat="1" applyFont="1" applyFill="1" applyBorder="1" applyAlignment="1" applyProtection="1">
      <alignment horizontal="right" vertical="center" wrapText="1" indent="1"/>
      <protection locked="0"/>
    </xf>
    <xf numFmtId="166" fontId="34" fillId="29" borderId="38" xfId="43" applyNumberFormat="1" applyFont="1" applyFill="1" applyBorder="1" applyAlignment="1">
      <alignment horizontal="left" vertical="center" wrapText="1" indent="1"/>
    </xf>
    <xf numFmtId="166" fontId="34" fillId="29" borderId="18" xfId="43" applyNumberFormat="1" applyFont="1" applyFill="1" applyBorder="1" applyAlignment="1" applyProtection="1">
      <alignment horizontal="left" vertical="center" wrapText="1" indent="1"/>
      <protection locked="0"/>
    </xf>
    <xf numFmtId="166" fontId="53" fillId="29" borderId="12" xfId="43" applyNumberFormat="1" applyFont="1" applyFill="1" applyBorder="1" applyAlignment="1" applyProtection="1">
      <alignment horizontal="left" vertical="center" wrapText="1" indent="1"/>
      <protection locked="0"/>
    </xf>
    <xf numFmtId="166" fontId="33" fillId="29" borderId="35" xfId="43" applyNumberFormat="1" applyFont="1" applyFill="1" applyBorder="1" applyAlignment="1">
      <alignment horizontal="left" vertical="center" wrapText="1" indent="1"/>
    </xf>
    <xf numFmtId="166" fontId="52" fillId="29" borderId="35" xfId="43" applyNumberFormat="1" applyFont="1" applyFill="1" applyBorder="1" applyAlignment="1">
      <alignment horizontal="left" vertical="center" wrapText="1" indent="1"/>
    </xf>
    <xf numFmtId="166" fontId="36" fillId="29" borderId="41" xfId="43" applyNumberFormat="1" applyFont="1" applyFill="1" applyBorder="1" applyAlignment="1">
      <alignment horizontal="left" vertical="center" wrapText="1" indent="1"/>
    </xf>
    <xf numFmtId="166" fontId="53" fillId="29" borderId="41" xfId="43" applyNumberFormat="1" applyFont="1" applyFill="1" applyBorder="1" applyAlignment="1">
      <alignment horizontal="left" vertical="center" wrapText="1" indent="1"/>
    </xf>
    <xf numFmtId="166" fontId="36" fillId="29" borderId="38" xfId="43" applyNumberFormat="1" applyFont="1" applyFill="1" applyBorder="1" applyAlignment="1">
      <alignment horizontal="left" vertical="center" wrapText="1" indent="1"/>
    </xf>
    <xf numFmtId="166" fontId="53" fillId="29" borderId="18" xfId="43" applyNumberFormat="1" applyFont="1" applyFill="1" applyBorder="1" applyAlignment="1">
      <alignment horizontal="left" vertical="center" wrapText="1" indent="1"/>
    </xf>
    <xf numFmtId="166" fontId="33" fillId="29" borderId="33" xfId="43" applyNumberFormat="1" applyFont="1" applyFill="1" applyBorder="1" applyAlignment="1">
      <alignment horizontal="left" vertical="center" wrapText="1" indent="1"/>
    </xf>
    <xf numFmtId="166" fontId="52" fillId="29" borderId="33" xfId="43" applyNumberFormat="1" applyFont="1" applyFill="1" applyBorder="1" applyAlignment="1">
      <alignment horizontal="left" vertical="center" wrapText="1" indent="1"/>
    </xf>
    <xf numFmtId="166" fontId="34" fillId="29" borderId="43" xfId="43" applyNumberFormat="1" applyFont="1" applyFill="1" applyBorder="1" applyAlignment="1">
      <alignment horizontal="left" vertical="center" wrapText="1" indent="1"/>
    </xf>
    <xf numFmtId="166" fontId="53" fillId="29" borderId="39" xfId="43" applyNumberFormat="1" applyFont="1" applyFill="1" applyBorder="1" applyAlignment="1">
      <alignment horizontal="left" vertical="center" wrapText="1" indent="1"/>
    </xf>
    <xf numFmtId="166" fontId="33" fillId="29" borderId="45" xfId="43" applyNumberFormat="1" applyFont="1" applyFill="1" applyBorder="1" applyAlignment="1">
      <alignment horizontal="left" vertical="center" wrapText="1" indent="1"/>
    </xf>
    <xf numFmtId="166" fontId="52" fillId="29" borderId="45" xfId="43" applyNumberFormat="1" applyFont="1" applyFill="1" applyBorder="1" applyAlignment="1">
      <alignment horizontal="left" vertical="center" wrapText="1" indent="1"/>
    </xf>
    <xf numFmtId="166" fontId="37" fillId="29" borderId="37" xfId="43" applyNumberFormat="1" applyFont="1" applyFill="1" applyBorder="1" applyAlignment="1">
      <alignment horizontal="left" vertical="center" wrapText="1" indent="1"/>
    </xf>
    <xf numFmtId="166" fontId="54" fillId="29" borderId="37" xfId="43" applyNumberFormat="1" applyFont="1" applyFill="1" applyBorder="1" applyAlignment="1">
      <alignment horizontal="left" vertical="center" wrapText="1" indent="1"/>
    </xf>
    <xf numFmtId="166" fontId="34" fillId="29" borderId="37" xfId="43" applyNumberFormat="1" applyFont="1" applyFill="1" applyBorder="1" applyAlignment="1" applyProtection="1">
      <alignment horizontal="right" vertical="center" wrapText="1" indent="1"/>
      <protection locked="0"/>
    </xf>
    <xf numFmtId="166" fontId="36" fillId="29" borderId="18" xfId="43" applyNumberFormat="1" applyFont="1" applyFill="1" applyBorder="1" applyAlignment="1">
      <alignment horizontal="left" vertical="center" wrapText="1" indent="2"/>
    </xf>
    <xf numFmtId="166" fontId="53" fillId="29" borderId="18" xfId="43" applyNumberFormat="1" applyFont="1" applyFill="1" applyBorder="1" applyAlignment="1">
      <alignment horizontal="left" vertical="center" wrapText="1" indent="2"/>
    </xf>
    <xf numFmtId="166" fontId="34" fillId="29" borderId="18" xfId="43" applyNumberFormat="1" applyFont="1" applyFill="1" applyBorder="1" applyAlignment="1" applyProtection="1">
      <alignment horizontal="right" vertical="center" wrapText="1" indent="1"/>
      <protection locked="0"/>
    </xf>
    <xf numFmtId="166" fontId="37" fillId="29" borderId="18" xfId="43" applyNumberFormat="1" applyFont="1" applyFill="1" applyBorder="1" applyAlignment="1">
      <alignment horizontal="left" vertical="center" wrapText="1" indent="1"/>
    </xf>
    <xf numFmtId="166" fontId="54" fillId="29" borderId="18" xfId="43" applyNumberFormat="1" applyFont="1" applyFill="1" applyBorder="1" applyAlignment="1">
      <alignment horizontal="left" vertical="center" wrapText="1" indent="1"/>
    </xf>
    <xf numFmtId="166" fontId="34" fillId="29" borderId="48" xfId="43" applyNumberFormat="1" applyFont="1" applyFill="1" applyBorder="1" applyAlignment="1">
      <alignment horizontal="left" vertical="center" wrapText="1" indent="2"/>
    </xf>
    <xf numFmtId="166" fontId="53" fillId="29" borderId="48" xfId="43" applyNumberFormat="1" applyFont="1" applyFill="1" applyBorder="1" applyAlignment="1">
      <alignment horizontal="left" vertical="center" wrapText="1" indent="2"/>
    </xf>
    <xf numFmtId="166" fontId="34" fillId="29" borderId="48" xfId="43" applyNumberFormat="1" applyFont="1" applyFill="1" applyBorder="1" applyAlignment="1" applyProtection="1">
      <alignment horizontal="right" vertical="center" wrapText="1" indent="1"/>
      <protection locked="0"/>
    </xf>
    <xf numFmtId="166" fontId="33" fillId="29" borderId="41" xfId="43" applyNumberFormat="1" applyFont="1" applyFill="1" applyBorder="1" applyAlignment="1">
      <alignment horizontal="left" vertical="center" wrapText="1" indent="1"/>
    </xf>
    <xf numFmtId="166" fontId="52" fillId="29" borderId="41" xfId="43" applyNumberFormat="1" applyFont="1" applyFill="1" applyBorder="1" applyAlignment="1">
      <alignment horizontal="left" vertical="center" wrapText="1" indent="1"/>
    </xf>
    <xf numFmtId="166" fontId="30" fillId="29" borderId="21" xfId="43" applyNumberFormat="1" applyFont="1" applyFill="1" applyBorder="1" applyAlignment="1">
      <alignment horizontal="left" vertical="center" wrapText="1" indent="1"/>
    </xf>
    <xf numFmtId="166" fontId="45" fillId="29" borderId="21" xfId="43" applyNumberFormat="1" applyFont="1" applyFill="1" applyBorder="1" applyAlignment="1">
      <alignment horizontal="center" vertical="center" wrapText="1"/>
    </xf>
    <xf numFmtId="166" fontId="33" fillId="29" borderId="21" xfId="43" applyNumberFormat="1" applyFont="1" applyFill="1" applyBorder="1" applyAlignment="1">
      <alignment horizontal="center" vertical="center" wrapText="1"/>
    </xf>
    <xf numFmtId="166" fontId="35" fillId="29" borderId="21" xfId="43" applyNumberFormat="1" applyFont="1" applyFill="1" applyBorder="1" applyAlignment="1">
      <alignment horizontal="center" vertical="center" wrapText="1"/>
    </xf>
    <xf numFmtId="166" fontId="26" fillId="29" borderId="0" xfId="43" applyNumberFormat="1" applyFill="1" applyAlignment="1">
      <alignment horizontal="center" vertical="center" wrapText="1"/>
    </xf>
    <xf numFmtId="166" fontId="53" fillId="29" borderId="0" xfId="43" applyNumberFormat="1" applyFont="1" applyFill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9" fontId="31" fillId="14" borderId="35" xfId="43" applyNumberFormat="1" applyFont="1" applyFill="1" applyBorder="1" applyAlignment="1">
      <alignment horizontal="centerContinuous" vertical="center" wrapText="1"/>
    </xf>
    <xf numFmtId="9" fontId="31" fillId="29" borderId="35" xfId="43" applyNumberFormat="1" applyFont="1" applyFill="1" applyBorder="1" applyAlignment="1">
      <alignment horizontal="center" vertical="center" wrapText="1"/>
    </xf>
    <xf numFmtId="9" fontId="34" fillId="29" borderId="36" xfId="43" applyNumberFormat="1" applyFont="1" applyFill="1" applyBorder="1" applyAlignment="1" applyProtection="1">
      <alignment horizontal="right" vertical="center" wrapText="1" indent="1"/>
      <protection locked="0"/>
    </xf>
    <xf numFmtId="9" fontId="52" fillId="29" borderId="35" xfId="43" applyNumberFormat="1" applyFont="1" applyFill="1" applyBorder="1" applyAlignment="1">
      <alignment horizontal="left" vertical="center" wrapText="1" indent="1"/>
    </xf>
    <xf numFmtId="9" fontId="33" fillId="29" borderId="35" xfId="43" applyNumberFormat="1" applyFont="1" applyFill="1" applyBorder="1" applyAlignment="1">
      <alignment horizontal="left" vertical="center" wrapText="1" indent="1"/>
    </xf>
    <xf numFmtId="9" fontId="52" fillId="29" borderId="33" xfId="43" applyNumberFormat="1" applyFont="1" applyFill="1" applyBorder="1" applyAlignment="1">
      <alignment horizontal="left" vertical="center" wrapText="1" indent="1"/>
    </xf>
    <xf numFmtId="9" fontId="33" fillId="29" borderId="45" xfId="43" applyNumberFormat="1" applyFont="1" applyFill="1" applyBorder="1" applyAlignment="1">
      <alignment horizontal="left" vertical="center" wrapText="1" indent="1"/>
    </xf>
    <xf numFmtId="9" fontId="34" fillId="29" borderId="37" xfId="43" applyNumberFormat="1" applyFont="1" applyFill="1" applyBorder="1" applyAlignment="1" applyProtection="1">
      <alignment horizontal="right" vertical="center" wrapText="1" indent="1"/>
      <protection locked="0"/>
    </xf>
    <xf numFmtId="9" fontId="34" fillId="29" borderId="18" xfId="43" applyNumberFormat="1" applyFont="1" applyFill="1" applyBorder="1" applyAlignment="1" applyProtection="1">
      <alignment horizontal="right" vertical="center" wrapText="1" indent="1"/>
      <protection locked="0"/>
    </xf>
    <xf numFmtId="9" fontId="34" fillId="29" borderId="48" xfId="43" applyNumberFormat="1" applyFont="1" applyFill="1" applyBorder="1" applyAlignment="1" applyProtection="1">
      <alignment horizontal="right" vertical="center" wrapText="1" indent="1"/>
      <protection locked="0"/>
    </xf>
    <xf numFmtId="9" fontId="33" fillId="29" borderId="41" xfId="43" applyNumberFormat="1" applyFont="1" applyFill="1" applyBorder="1" applyAlignment="1">
      <alignment horizontal="left" vertical="center" wrapText="1" indent="1"/>
    </xf>
    <xf numFmtId="9" fontId="30" fillId="29" borderId="35" xfId="43" applyNumberFormat="1" applyFont="1" applyFill="1" applyBorder="1" applyAlignment="1">
      <alignment horizontal="left" vertical="center" wrapText="1" indent="1"/>
    </xf>
    <xf numFmtId="9" fontId="35" fillId="29" borderId="21" xfId="43" applyNumberFormat="1" applyFont="1" applyFill="1" applyBorder="1" applyAlignment="1">
      <alignment horizontal="center" vertical="center" wrapText="1"/>
    </xf>
    <xf numFmtId="166" fontId="53" fillId="14" borderId="61" xfId="43" applyNumberFormat="1" applyFont="1" applyFill="1" applyBorder="1" applyAlignment="1">
      <alignment horizontal="left" vertical="center" wrapText="1" indent="1"/>
    </xf>
    <xf numFmtId="166" fontId="26" fillId="14" borderId="14" xfId="43" applyNumberFormat="1" applyFill="1" applyBorder="1" applyAlignment="1">
      <alignment horizontal="center" vertical="center" wrapText="1"/>
    </xf>
    <xf numFmtId="9" fontId="26" fillId="27" borderId="19" xfId="43" applyNumberFormat="1" applyFill="1" applyBorder="1" applyAlignment="1">
      <alignment horizontal="center" vertical="center" wrapText="1"/>
    </xf>
    <xf numFmtId="166" fontId="34" fillId="14" borderId="62" xfId="43" applyNumberFormat="1" applyFont="1" applyFill="1" applyBorder="1" applyAlignment="1" applyProtection="1">
      <alignment horizontal="left" vertical="center" wrapText="1" indent="1"/>
      <protection locked="0"/>
    </xf>
    <xf numFmtId="166" fontId="53" fillId="14" borderId="54" xfId="43" applyNumberFormat="1" applyFont="1" applyFill="1" applyBorder="1" applyAlignment="1" applyProtection="1">
      <alignment horizontal="left" vertical="center" wrapText="1" indent="1"/>
      <protection locked="0"/>
    </xf>
    <xf numFmtId="166" fontId="34" fillId="28" borderId="61" xfId="43" applyNumberFormat="1" applyFont="1" applyFill="1" applyBorder="1" applyAlignment="1">
      <alignment horizontal="left" vertical="center" wrapText="1" indent="1"/>
    </xf>
    <xf numFmtId="166" fontId="53" fillId="28" borderId="61" xfId="43" applyNumberFormat="1" applyFont="1" applyFill="1" applyBorder="1" applyAlignment="1">
      <alignment horizontal="left" vertical="center" wrapText="1" indent="1"/>
    </xf>
    <xf numFmtId="166" fontId="34" fillId="29" borderId="61" xfId="43" applyNumberFormat="1" applyFont="1" applyFill="1" applyBorder="1" applyAlignment="1">
      <alignment horizontal="left" vertical="center" wrapText="1" indent="1"/>
    </xf>
    <xf numFmtId="166" fontId="53" fillId="29" borderId="61" xfId="43" applyNumberFormat="1" applyFont="1" applyFill="1" applyBorder="1" applyAlignment="1">
      <alignment horizontal="left" vertical="center" wrapText="1" indent="1"/>
    </xf>
    <xf numFmtId="9" fontId="34" fillId="29" borderId="63" xfId="43" applyNumberFormat="1" applyFont="1" applyFill="1" applyBorder="1" applyAlignment="1" applyProtection="1">
      <alignment horizontal="right" vertical="center" wrapText="1" indent="1"/>
      <protection locked="0"/>
    </xf>
    <xf numFmtId="9" fontId="34" fillId="29" borderId="64" xfId="43" applyNumberFormat="1" applyFont="1" applyFill="1" applyBorder="1" applyAlignment="1" applyProtection="1">
      <alignment horizontal="right" vertical="center" wrapText="1" indent="1"/>
      <protection locked="0"/>
    </xf>
    <xf numFmtId="166" fontId="34" fillId="28" borderId="54" xfId="43" applyNumberFormat="1" applyFont="1" applyFill="1" applyBorder="1" applyAlignment="1" applyProtection="1">
      <alignment horizontal="left" vertical="center" wrapText="1" indent="1"/>
      <protection locked="0"/>
    </xf>
    <xf numFmtId="166" fontId="53" fillId="28" borderId="54" xfId="43" applyNumberFormat="1" applyFont="1" applyFill="1" applyBorder="1" applyAlignment="1" applyProtection="1">
      <alignment horizontal="left" vertical="center" wrapText="1" indent="1"/>
      <protection locked="0"/>
    </xf>
    <xf numFmtId="166" fontId="34" fillId="28" borderId="54" xfId="43" applyNumberFormat="1" applyFont="1" applyFill="1" applyBorder="1" applyAlignment="1" applyProtection="1">
      <alignment horizontal="right" vertical="center" wrapText="1" indent="1"/>
      <protection locked="0"/>
    </xf>
    <xf numFmtId="166" fontId="34" fillId="14" borderId="54" xfId="43" applyNumberFormat="1" applyFont="1" applyFill="1" applyBorder="1" applyAlignment="1" applyProtection="1">
      <alignment horizontal="left" vertical="center" wrapText="1" indent="1"/>
      <protection locked="0"/>
    </xf>
    <xf numFmtId="166" fontId="34" fillId="14" borderId="54" xfId="43" applyNumberFormat="1" applyFont="1" applyFill="1" applyBorder="1" applyAlignment="1" applyProtection="1">
      <alignment horizontal="right" vertical="center" wrapText="1" indent="1"/>
      <protection locked="0"/>
    </xf>
    <xf numFmtId="166" fontId="34" fillId="29" borderId="54" xfId="43" applyNumberFormat="1" applyFont="1" applyFill="1" applyBorder="1" applyAlignment="1" applyProtection="1">
      <alignment horizontal="left" vertical="center" wrapText="1" indent="1"/>
      <protection locked="0"/>
    </xf>
    <xf numFmtId="166" fontId="53" fillId="29" borderId="54" xfId="43" applyNumberFormat="1" applyFont="1" applyFill="1" applyBorder="1" applyAlignment="1" applyProtection="1">
      <alignment horizontal="left" vertical="center" wrapText="1" indent="1"/>
      <protection locked="0"/>
    </xf>
    <xf numFmtId="166" fontId="34" fillId="29" borderId="54" xfId="43" applyNumberFormat="1" applyFont="1" applyFill="1" applyBorder="1" applyAlignment="1" applyProtection="1">
      <alignment horizontal="right" vertical="center" wrapText="1" indent="1"/>
      <protection locked="0"/>
    </xf>
    <xf numFmtId="9" fontId="34" fillId="29" borderId="65" xfId="43" applyNumberFormat="1" applyFont="1" applyFill="1" applyBorder="1" applyAlignment="1" applyProtection="1">
      <alignment horizontal="right" vertical="center" wrapText="1" indent="1"/>
      <protection locked="0"/>
    </xf>
    <xf numFmtId="166" fontId="26" fillId="28" borderId="18" xfId="43" applyNumberFormat="1" applyFill="1" applyBorder="1" applyAlignment="1">
      <alignment horizontal="center" vertical="center" wrapText="1"/>
    </xf>
    <xf numFmtId="166" fontId="26" fillId="28" borderId="18" xfId="43" applyNumberFormat="1" applyFill="1" applyBorder="1" applyAlignment="1">
      <alignment vertical="center" wrapText="1"/>
    </xf>
    <xf numFmtId="166" fontId="26" fillId="29" borderId="18" xfId="43" applyNumberFormat="1" applyFill="1" applyBorder="1" applyAlignment="1">
      <alignment vertical="center" wrapText="1"/>
    </xf>
    <xf numFmtId="166" fontId="26" fillId="29" borderId="19" xfId="43" applyNumberFormat="1" applyFill="1" applyBorder="1" applyAlignment="1">
      <alignment vertical="center" wrapText="1"/>
    </xf>
    <xf numFmtId="166" fontId="34" fillId="29" borderId="37" xfId="43" applyNumberFormat="1" applyFont="1" applyFill="1" applyBorder="1" applyAlignment="1">
      <alignment horizontal="center" vertical="center" wrapText="1"/>
    </xf>
    <xf numFmtId="166" fontId="34" fillId="29" borderId="27" xfId="43" applyNumberFormat="1" applyFont="1" applyFill="1" applyBorder="1" applyAlignment="1">
      <alignment horizontal="center" vertical="center" wrapText="1"/>
    </xf>
    <xf numFmtId="166" fontId="34" fillId="29" borderId="13" xfId="43" applyNumberFormat="1" applyFont="1" applyFill="1" applyBorder="1" applyAlignment="1" applyProtection="1">
      <alignment horizontal="center" vertical="center" wrapText="1"/>
      <protection locked="0"/>
    </xf>
    <xf numFmtId="166" fontId="34" fillId="29" borderId="38" xfId="43" applyNumberFormat="1" applyFont="1" applyFill="1" applyBorder="1" applyAlignment="1">
      <alignment horizontal="center" vertical="center" wrapText="1"/>
    </xf>
    <xf numFmtId="166" fontId="34" fillId="29" borderId="39" xfId="43" applyNumberFormat="1" applyFont="1" applyFill="1" applyBorder="1" applyAlignment="1">
      <alignment horizontal="center" vertical="center" wrapText="1"/>
    </xf>
    <xf numFmtId="166" fontId="34" fillId="29" borderId="39" xfId="43" applyNumberFormat="1" applyFont="1" applyFill="1" applyBorder="1" applyAlignment="1">
      <alignment horizontal="left" vertical="center" wrapText="1" indent="1"/>
    </xf>
    <xf numFmtId="166" fontId="34" fillId="29" borderId="27" xfId="43" applyNumberFormat="1" applyFont="1" applyFill="1" applyBorder="1" applyAlignment="1" applyProtection="1">
      <alignment horizontal="left" vertical="center" wrapText="1" indent="1"/>
      <protection locked="0"/>
    </xf>
    <xf numFmtId="166" fontId="34" fillId="29" borderId="40" xfId="43" applyNumberFormat="1" applyFont="1" applyFill="1" applyBorder="1" applyAlignment="1" applyProtection="1">
      <alignment horizontal="left" vertical="center" wrapText="1" indent="1"/>
      <protection locked="0"/>
    </xf>
    <xf numFmtId="166" fontId="34" fillId="29" borderId="0" xfId="43" applyNumberFormat="1" applyFont="1" applyFill="1" applyAlignment="1" applyProtection="1">
      <alignment horizontal="left" vertical="center" wrapText="1" indent="1"/>
      <protection locked="0"/>
    </xf>
    <xf numFmtId="166" fontId="33" fillId="29" borderId="22" xfId="43" applyNumberFormat="1" applyFont="1" applyFill="1" applyBorder="1" applyAlignment="1" applyProtection="1">
      <alignment horizontal="right" vertical="center" wrapText="1" indent="1"/>
      <protection locked="0"/>
    </xf>
    <xf numFmtId="166" fontId="36" fillId="29" borderId="37" xfId="43" applyNumberFormat="1" applyFont="1" applyFill="1" applyBorder="1" applyAlignment="1">
      <alignment horizontal="left" vertical="center" wrapText="1" indent="1"/>
    </xf>
    <xf numFmtId="166" fontId="34" fillId="29" borderId="13" xfId="43" applyNumberFormat="1" applyFont="1" applyFill="1" applyBorder="1" applyAlignment="1" applyProtection="1">
      <alignment horizontal="right" vertical="center" wrapText="1" indent="1"/>
      <protection locked="0"/>
    </xf>
    <xf numFmtId="166" fontId="36" fillId="29" borderId="39" xfId="43" applyNumberFormat="1" applyFont="1" applyFill="1" applyBorder="1" applyAlignment="1">
      <alignment horizontal="left" vertical="center" wrapText="1" indent="1"/>
    </xf>
    <xf numFmtId="166" fontId="36" fillId="29" borderId="18" xfId="43" applyNumberFormat="1" applyFont="1" applyFill="1" applyBorder="1" applyAlignment="1">
      <alignment horizontal="left" vertical="center" wrapText="1" indent="1"/>
    </xf>
    <xf numFmtId="166" fontId="36" fillId="29" borderId="0" xfId="43" applyNumberFormat="1" applyFont="1" applyFill="1" applyAlignment="1">
      <alignment horizontal="left" vertical="center" wrapText="1" indent="1"/>
    </xf>
    <xf numFmtId="166" fontId="34" fillId="29" borderId="24" xfId="43" applyNumberFormat="1" applyFont="1" applyFill="1" applyBorder="1" applyAlignment="1" applyProtection="1">
      <alignment horizontal="right" vertical="center" wrapText="1" indent="1"/>
      <protection locked="0"/>
    </xf>
    <xf numFmtId="166" fontId="33" fillId="29" borderId="42" xfId="43" applyNumberFormat="1" applyFont="1" applyFill="1" applyBorder="1" applyAlignment="1">
      <alignment horizontal="left" vertical="center" wrapText="1" indent="1"/>
    </xf>
    <xf numFmtId="166" fontId="34" fillId="29" borderId="42" xfId="43" applyNumberFormat="1" applyFont="1" applyFill="1" applyBorder="1" applyAlignment="1" applyProtection="1">
      <alignment horizontal="right" vertical="center" wrapText="1" indent="1"/>
      <protection locked="0"/>
    </xf>
    <xf numFmtId="166" fontId="30" fillId="29" borderId="33" xfId="43" applyNumberFormat="1" applyFont="1" applyFill="1" applyBorder="1" applyAlignment="1">
      <alignment horizontal="left" vertical="center" wrapText="1" indent="1"/>
    </xf>
    <xf numFmtId="166" fontId="30" fillId="29" borderId="42" xfId="43" applyNumberFormat="1" applyFont="1" applyFill="1" applyBorder="1" applyAlignment="1" applyProtection="1">
      <alignment horizontal="right" vertical="center" wrapText="1" indent="1"/>
      <protection locked="0"/>
    </xf>
    <xf numFmtId="166" fontId="34" fillId="29" borderId="44" xfId="43" applyNumberFormat="1" applyFont="1" applyFill="1" applyBorder="1" applyAlignment="1">
      <alignment horizontal="left" vertical="center" wrapText="1" indent="1"/>
    </xf>
    <xf numFmtId="166" fontId="34" fillId="29" borderId="0" xfId="43" applyNumberFormat="1" applyFont="1" applyFill="1" applyAlignment="1">
      <alignment horizontal="left" vertical="center" wrapText="1" indent="1"/>
    </xf>
    <xf numFmtId="166" fontId="33" fillId="29" borderId="34" xfId="43" applyNumberFormat="1" applyFont="1" applyFill="1" applyBorder="1" applyAlignment="1">
      <alignment horizontal="left" vertical="center" wrapText="1" indent="1"/>
    </xf>
    <xf numFmtId="166" fontId="37" fillId="29" borderId="47" xfId="43" applyNumberFormat="1" applyFont="1" applyFill="1" applyBorder="1" applyAlignment="1">
      <alignment horizontal="left" vertical="center" wrapText="1" indent="1"/>
    </xf>
    <xf numFmtId="166" fontId="34" fillId="29" borderId="28" xfId="43" applyNumberFormat="1" applyFont="1" applyFill="1" applyBorder="1" applyAlignment="1" applyProtection="1">
      <alignment horizontal="right" vertical="center" wrapText="1" indent="1"/>
      <protection locked="0"/>
    </xf>
    <xf numFmtId="166" fontId="36" fillId="29" borderId="26" xfId="43" applyNumberFormat="1" applyFont="1" applyFill="1" applyBorder="1" applyAlignment="1">
      <alignment horizontal="left" vertical="center" wrapText="1" indent="2"/>
    </xf>
    <xf numFmtId="166" fontId="34" fillId="29" borderId="19" xfId="43" applyNumberFormat="1" applyFont="1" applyFill="1" applyBorder="1" applyAlignment="1" applyProtection="1">
      <alignment horizontal="right" vertical="center" wrapText="1" indent="1"/>
      <protection locked="0"/>
    </xf>
    <xf numFmtId="166" fontId="37" fillId="29" borderId="26" xfId="43" applyNumberFormat="1" applyFont="1" applyFill="1" applyBorder="1" applyAlignment="1">
      <alignment horizontal="left" vertical="center" wrapText="1" indent="1"/>
    </xf>
    <xf numFmtId="166" fontId="34" fillId="29" borderId="49" xfId="43" applyNumberFormat="1" applyFont="1" applyFill="1" applyBorder="1" applyAlignment="1">
      <alignment horizontal="left" vertical="center" wrapText="1" indent="2"/>
    </xf>
    <xf numFmtId="166" fontId="34" fillId="29" borderId="29" xfId="43" applyNumberFormat="1" applyFont="1" applyFill="1" applyBorder="1" applyAlignment="1" applyProtection="1">
      <alignment horizontal="right" vertical="center" wrapText="1" indent="1"/>
      <protection locked="0"/>
    </xf>
    <xf numFmtId="166" fontId="33" fillId="29" borderId="55" xfId="43" applyNumberFormat="1" applyFont="1" applyFill="1" applyBorder="1" applyAlignment="1">
      <alignment horizontal="left" vertical="center" wrapText="1" indent="1"/>
    </xf>
    <xf numFmtId="166" fontId="35" fillId="29" borderId="21" xfId="43" applyNumberFormat="1" applyFont="1" applyFill="1" applyBorder="1" applyAlignment="1">
      <alignment horizontal="left" vertical="center" wrapText="1" indent="1"/>
    </xf>
    <xf numFmtId="166" fontId="35" fillId="29" borderId="22" xfId="43" applyNumberFormat="1" applyFont="1" applyFill="1" applyBorder="1" applyAlignment="1">
      <alignment horizontal="left" vertical="center" wrapText="1" indent="1"/>
    </xf>
    <xf numFmtId="166" fontId="35" fillId="29" borderId="0" xfId="43" applyNumberFormat="1" applyFont="1" applyFill="1" applyAlignment="1">
      <alignment horizontal="center" vertical="center" wrapText="1"/>
    </xf>
    <xf numFmtId="166" fontId="33" fillId="29" borderId="0" xfId="43" applyNumberFormat="1" applyFont="1" applyFill="1" applyAlignment="1" applyProtection="1">
      <alignment horizontal="right" vertical="center" wrapText="1" indent="1"/>
      <protection locked="0"/>
    </xf>
    <xf numFmtId="170" fontId="35" fillId="29" borderId="0" xfId="63" applyNumberFormat="1" applyFont="1" applyFill="1" applyAlignment="1">
      <alignment vertical="center" wrapText="1"/>
    </xf>
    <xf numFmtId="166" fontId="34" fillId="28" borderId="37" xfId="43" applyNumberFormat="1" applyFont="1" applyFill="1" applyBorder="1" applyAlignment="1">
      <alignment horizontal="center" vertical="center" wrapText="1"/>
    </xf>
    <xf numFmtId="166" fontId="34" fillId="28" borderId="27" xfId="43" applyNumberFormat="1" applyFont="1" applyFill="1" applyBorder="1" applyAlignment="1">
      <alignment horizontal="center" vertical="center" wrapText="1"/>
    </xf>
    <xf numFmtId="166" fontId="34" fillId="28" borderId="13" xfId="43" applyNumberFormat="1" applyFont="1" applyFill="1" applyBorder="1" applyAlignment="1" applyProtection="1">
      <alignment horizontal="center" vertical="center" wrapText="1"/>
      <protection locked="0"/>
    </xf>
    <xf numFmtId="166" fontId="34" fillId="28" borderId="38" xfId="43" applyNumberFormat="1" applyFont="1" applyFill="1" applyBorder="1" applyAlignment="1">
      <alignment horizontal="center" vertical="center" wrapText="1"/>
    </xf>
    <xf numFmtId="166" fontId="34" fillId="28" borderId="39" xfId="43" applyNumberFormat="1" applyFont="1" applyFill="1" applyBorder="1" applyAlignment="1">
      <alignment horizontal="center" vertical="center" wrapText="1"/>
    </xf>
    <xf numFmtId="166" fontId="34" fillId="28" borderId="39" xfId="43" applyNumberFormat="1" applyFont="1" applyFill="1" applyBorder="1" applyAlignment="1">
      <alignment horizontal="left" vertical="center" wrapText="1" indent="1"/>
    </xf>
    <xf numFmtId="166" fontId="34" fillId="28" borderId="27" xfId="43" applyNumberFormat="1" applyFont="1" applyFill="1" applyBorder="1" applyAlignment="1" applyProtection="1">
      <alignment horizontal="left" vertical="center" wrapText="1" indent="1"/>
      <protection locked="0"/>
    </xf>
    <xf numFmtId="166" fontId="34" fillId="28" borderId="40" xfId="43" applyNumberFormat="1" applyFont="1" applyFill="1" applyBorder="1" applyAlignment="1" applyProtection="1">
      <alignment horizontal="left" vertical="center" wrapText="1" indent="1"/>
      <protection locked="0"/>
    </xf>
    <xf numFmtId="166" fontId="34" fillId="28" borderId="0" xfId="43" applyNumberFormat="1" applyFont="1" applyFill="1" applyAlignment="1" applyProtection="1">
      <alignment horizontal="left" vertical="center" wrapText="1" indent="1"/>
      <protection locked="0"/>
    </xf>
    <xf numFmtId="166" fontId="33" fillId="28" borderId="22" xfId="43" applyNumberFormat="1" applyFont="1" applyFill="1" applyBorder="1" applyAlignment="1" applyProtection="1">
      <alignment horizontal="right" vertical="center" wrapText="1" indent="1"/>
      <protection locked="0"/>
    </xf>
    <xf numFmtId="166" fontId="36" fillId="28" borderId="37" xfId="43" applyNumberFormat="1" applyFont="1" applyFill="1" applyBorder="1" applyAlignment="1">
      <alignment horizontal="left" vertical="center" wrapText="1" indent="1"/>
    </xf>
    <xf numFmtId="166" fontId="34" fillId="28" borderId="13" xfId="43" applyNumberFormat="1" applyFont="1" applyFill="1" applyBorder="1" applyAlignment="1" applyProtection="1">
      <alignment horizontal="right" vertical="center" wrapText="1" indent="1"/>
      <protection locked="0"/>
    </xf>
    <xf numFmtId="166" fontId="36" fillId="28" borderId="39" xfId="43" applyNumberFormat="1" applyFont="1" applyFill="1" applyBorder="1" applyAlignment="1">
      <alignment horizontal="left" vertical="center" wrapText="1" indent="1"/>
    </xf>
    <xf numFmtId="166" fontId="36" fillId="28" borderId="18" xfId="43" applyNumberFormat="1" applyFont="1" applyFill="1" applyBorder="1" applyAlignment="1">
      <alignment horizontal="left" vertical="center" wrapText="1" indent="1"/>
    </xf>
    <xf numFmtId="166" fontId="36" fillId="28" borderId="0" xfId="43" applyNumberFormat="1" applyFont="1" applyFill="1" applyAlignment="1">
      <alignment horizontal="left" vertical="center" wrapText="1" indent="1"/>
    </xf>
    <xf numFmtId="166" fontId="34" fillId="28" borderId="24" xfId="43" applyNumberFormat="1" applyFont="1" applyFill="1" applyBorder="1" applyAlignment="1" applyProtection="1">
      <alignment horizontal="right" vertical="center" wrapText="1" indent="1"/>
      <protection locked="0"/>
    </xf>
    <xf numFmtId="166" fontId="33" fillId="28" borderId="42" xfId="43" applyNumberFormat="1" applyFont="1" applyFill="1" applyBorder="1" applyAlignment="1">
      <alignment horizontal="left" vertical="center" wrapText="1" indent="1"/>
    </xf>
    <xf numFmtId="166" fontId="34" fillId="28" borderId="42" xfId="43" applyNumberFormat="1" applyFont="1" applyFill="1" applyBorder="1" applyAlignment="1" applyProtection="1">
      <alignment horizontal="right" vertical="center" wrapText="1" indent="1"/>
      <protection locked="0"/>
    </xf>
    <xf numFmtId="166" fontId="30" fillId="28" borderId="33" xfId="43" applyNumberFormat="1" applyFont="1" applyFill="1" applyBorder="1" applyAlignment="1">
      <alignment horizontal="left" vertical="center" wrapText="1" indent="1"/>
    </xf>
    <xf numFmtId="166" fontId="30" fillId="28" borderId="42" xfId="43" applyNumberFormat="1" applyFont="1" applyFill="1" applyBorder="1" applyAlignment="1" applyProtection="1">
      <alignment horizontal="right" vertical="center" wrapText="1" indent="1"/>
      <protection locked="0"/>
    </xf>
    <xf numFmtId="166" fontId="34" fillId="28" borderId="44" xfId="43" applyNumberFormat="1" applyFont="1" applyFill="1" applyBorder="1" applyAlignment="1">
      <alignment horizontal="left" vertical="center" wrapText="1" indent="1"/>
    </xf>
    <xf numFmtId="166" fontId="34" fillId="28" borderId="0" xfId="43" applyNumberFormat="1" applyFont="1" applyFill="1" applyAlignment="1">
      <alignment horizontal="left" vertical="center" wrapText="1" indent="1"/>
    </xf>
    <xf numFmtId="166" fontId="33" fillId="28" borderId="34" xfId="43" applyNumberFormat="1" applyFont="1" applyFill="1" applyBorder="1" applyAlignment="1">
      <alignment horizontal="left" vertical="center" wrapText="1" indent="1"/>
    </xf>
    <xf numFmtId="166" fontId="37" fillId="28" borderId="47" xfId="43" applyNumberFormat="1" applyFont="1" applyFill="1" applyBorder="1" applyAlignment="1">
      <alignment horizontal="left" vertical="center" wrapText="1" indent="1"/>
    </xf>
    <xf numFmtId="166" fontId="34" fillId="28" borderId="28" xfId="43" applyNumberFormat="1" applyFont="1" applyFill="1" applyBorder="1" applyAlignment="1" applyProtection="1">
      <alignment horizontal="right" vertical="center" wrapText="1" indent="1"/>
      <protection locked="0"/>
    </xf>
    <xf numFmtId="166" fontId="36" fillId="28" borderId="26" xfId="43" applyNumberFormat="1" applyFont="1" applyFill="1" applyBorder="1" applyAlignment="1">
      <alignment horizontal="left" vertical="center" wrapText="1" indent="2"/>
    </xf>
    <xf numFmtId="166" fontId="34" fillId="28" borderId="19" xfId="43" applyNumberFormat="1" applyFont="1" applyFill="1" applyBorder="1" applyAlignment="1" applyProtection="1">
      <alignment horizontal="right" vertical="center" wrapText="1" indent="1"/>
      <protection locked="0"/>
    </xf>
    <xf numFmtId="166" fontId="37" fillId="28" borderId="26" xfId="43" applyNumberFormat="1" applyFont="1" applyFill="1" applyBorder="1" applyAlignment="1">
      <alignment horizontal="left" vertical="center" wrapText="1" indent="1"/>
    </xf>
    <xf numFmtId="166" fontId="34" fillId="28" borderId="49" xfId="43" applyNumberFormat="1" applyFont="1" applyFill="1" applyBorder="1" applyAlignment="1">
      <alignment horizontal="left" vertical="center" wrapText="1" indent="2"/>
    </xf>
    <xf numFmtId="166" fontId="34" fillId="28" borderId="29" xfId="43" applyNumberFormat="1" applyFont="1" applyFill="1" applyBorder="1" applyAlignment="1" applyProtection="1">
      <alignment horizontal="right" vertical="center" wrapText="1" indent="1"/>
      <protection locked="0"/>
    </xf>
    <xf numFmtId="166" fontId="33" fillId="28" borderId="55" xfId="43" applyNumberFormat="1" applyFont="1" applyFill="1" applyBorder="1" applyAlignment="1">
      <alignment horizontal="left" vertical="center" wrapText="1" indent="1"/>
    </xf>
    <xf numFmtId="166" fontId="35" fillId="28" borderId="21" xfId="43" applyNumberFormat="1" applyFont="1" applyFill="1" applyBorder="1" applyAlignment="1">
      <alignment horizontal="left" vertical="center" wrapText="1" indent="1"/>
    </xf>
    <xf numFmtId="166" fontId="35" fillId="28" borderId="22" xfId="43" applyNumberFormat="1" applyFont="1" applyFill="1" applyBorder="1" applyAlignment="1">
      <alignment horizontal="left" vertical="center" wrapText="1" indent="1"/>
    </xf>
    <xf numFmtId="166" fontId="35" fillId="28" borderId="0" xfId="43" applyNumberFormat="1" applyFont="1" applyFill="1" applyAlignment="1">
      <alignment horizontal="center" vertical="center" wrapText="1"/>
    </xf>
    <xf numFmtId="166" fontId="33" fillId="28" borderId="0" xfId="43" applyNumberFormat="1" applyFont="1" applyFill="1" applyAlignment="1" applyProtection="1">
      <alignment horizontal="right" vertical="center" wrapText="1" indent="1"/>
      <protection locked="0"/>
    </xf>
    <xf numFmtId="170" fontId="35" fillId="28" borderId="0" xfId="63" applyNumberFormat="1" applyFont="1" applyFill="1" applyAlignment="1">
      <alignment vertical="center" wrapText="1"/>
    </xf>
    <xf numFmtId="166" fontId="33" fillId="27" borderId="66" xfId="43" applyNumberFormat="1" applyFont="1" applyFill="1" applyBorder="1" applyAlignment="1">
      <alignment horizontal="center" vertical="center" wrapText="1"/>
    </xf>
    <xf numFmtId="166" fontId="26" fillId="27" borderId="0" xfId="43" applyNumberFormat="1" applyFill="1" applyBorder="1" applyAlignment="1">
      <alignment horizontal="left" vertical="center" wrapText="1"/>
    </xf>
    <xf numFmtId="166" fontId="27" fillId="0" borderId="0" xfId="43" applyNumberFormat="1" applyFont="1" applyAlignment="1">
      <alignment horizontal="right" vertical="center" wrapText="1"/>
    </xf>
    <xf numFmtId="0" fontId="51" fillId="0" borderId="0" xfId="50" applyFont="1"/>
    <xf numFmtId="9" fontId="51" fillId="0" borderId="0" xfId="47" applyNumberFormat="1" applyFont="1" applyAlignment="1">
      <alignment horizontal="right" vertical="center"/>
    </xf>
    <xf numFmtId="0" fontId="24" fillId="0" borderId="0" xfId="50"/>
    <xf numFmtId="0" fontId="51" fillId="0" borderId="0" xfId="50" applyFont="1" applyAlignment="1">
      <alignment horizontal="center"/>
    </xf>
    <xf numFmtId="0" fontId="51" fillId="0" borderId="0" xfId="50" applyFont="1" applyAlignment="1">
      <alignment horizontal="right"/>
    </xf>
    <xf numFmtId="0" fontId="51" fillId="17" borderId="18" xfId="50" applyFont="1" applyFill="1" applyBorder="1" applyAlignment="1">
      <alignment horizontal="left" vertical="top"/>
    </xf>
    <xf numFmtId="0" fontId="24" fillId="17" borderId="18" xfId="50" applyFill="1" applyBorder="1" applyAlignment="1">
      <alignment horizontal="center" vertical="top"/>
    </xf>
    <xf numFmtId="0" fontId="24" fillId="18" borderId="18" xfId="50" applyFill="1" applyBorder="1" applyAlignment="1">
      <alignment horizontal="center" wrapText="1"/>
    </xf>
    <xf numFmtId="0" fontId="51" fillId="6" borderId="18" xfId="50" applyFont="1" applyFill="1" applyBorder="1" applyAlignment="1">
      <alignment horizontal="center" vertical="center" wrapText="1" shrinkToFit="1"/>
    </xf>
    <xf numFmtId="49" fontId="51" fillId="0" borderId="18" xfId="50" applyNumberFormat="1" applyFont="1" applyBorder="1" applyAlignment="1">
      <alignment horizontal="left" vertical="center" wrapText="1" shrinkToFit="1"/>
    </xf>
    <xf numFmtId="3" fontId="51" fillId="0" borderId="18" xfId="50" applyNumberFormat="1" applyFont="1" applyBorder="1" applyAlignment="1">
      <alignment horizontal="center" vertical="center" wrapText="1" shrinkToFit="1"/>
    </xf>
    <xf numFmtId="3" fontId="66" fillId="0" borderId="18" xfId="50" applyNumberFormat="1" applyFont="1" applyBorder="1" applyAlignment="1">
      <alignment horizontal="center" vertical="center" wrapText="1" shrinkToFit="1"/>
    </xf>
    <xf numFmtId="0" fontId="23" fillId="0" borderId="0" xfId="50" applyFont="1"/>
    <xf numFmtId="0" fontId="51" fillId="0" borderId="0" xfId="47" applyFont="1"/>
    <xf numFmtId="0" fontId="51" fillId="0" borderId="0" xfId="47" applyFont="1" applyAlignment="1">
      <alignment horizontal="right" vertical="center"/>
    </xf>
    <xf numFmtId="0" fontId="24" fillId="0" borderId="0" xfId="47"/>
    <xf numFmtId="0" fontId="69" fillId="6" borderId="18" xfId="47" applyFont="1" applyFill="1" applyBorder="1" applyAlignment="1">
      <alignment horizontal="center" vertical="center" wrapText="1" shrinkToFit="1"/>
    </xf>
    <xf numFmtId="0" fontId="69" fillId="17" borderId="18" xfId="47" applyFont="1" applyFill="1" applyBorder="1" applyAlignment="1">
      <alignment horizontal="center" vertical="center"/>
    </xf>
    <xf numFmtId="9" fontId="69" fillId="18" borderId="19" xfId="47" applyNumberFormat="1" applyFont="1" applyFill="1" applyBorder="1" applyAlignment="1">
      <alignment horizontal="center" vertical="center"/>
    </xf>
    <xf numFmtId="0" fontId="24" fillId="18" borderId="0" xfId="47" applyFill="1"/>
    <xf numFmtId="0" fontId="69" fillId="2" borderId="67" xfId="47" applyFont="1" applyFill="1" applyBorder="1" applyAlignment="1">
      <alignment horizontal="left" vertical="center" wrapText="1" shrinkToFit="1"/>
    </xf>
    <xf numFmtId="3" fontId="69" fillId="2" borderId="18" xfId="47" applyNumberFormat="1" applyFont="1" applyFill="1" applyBorder="1" applyAlignment="1">
      <alignment horizontal="right" vertical="center" wrapText="1" shrinkToFit="1"/>
    </xf>
    <xf numFmtId="3" fontId="51" fillId="0" borderId="18" xfId="47" applyNumberFormat="1" applyFont="1" applyBorder="1" applyAlignment="1">
      <alignment horizontal="right" vertical="center"/>
    </xf>
    <xf numFmtId="9" fontId="51" fillId="0" borderId="19" xfId="47" applyNumberFormat="1" applyFont="1" applyBorder="1" applyAlignment="1">
      <alignment horizontal="right" vertical="center"/>
    </xf>
    <xf numFmtId="0" fontId="69" fillId="2" borderId="14" xfId="47" applyFont="1" applyFill="1" applyBorder="1" applyAlignment="1">
      <alignment horizontal="center" vertical="center" wrapText="1" shrinkToFit="1"/>
    </xf>
    <xf numFmtId="0" fontId="69" fillId="2" borderId="18" xfId="47" applyFont="1" applyFill="1" applyBorder="1" applyAlignment="1">
      <alignment horizontal="center" vertical="center" wrapText="1" shrinkToFit="1"/>
    </xf>
    <xf numFmtId="0" fontId="69" fillId="19" borderId="18" xfId="47" applyFont="1" applyFill="1" applyBorder="1" applyAlignment="1">
      <alignment horizontal="center" vertical="center"/>
    </xf>
    <xf numFmtId="9" fontId="69" fillId="14" borderId="19" xfId="47" applyNumberFormat="1" applyFont="1" applyFill="1" applyBorder="1" applyAlignment="1">
      <alignment horizontal="center" vertical="center"/>
    </xf>
    <xf numFmtId="0" fontId="24" fillId="14" borderId="0" xfId="47" applyFill="1"/>
    <xf numFmtId="49" fontId="51" fillId="0" borderId="67" xfId="47" applyNumberFormat="1" applyFont="1" applyBorder="1" applyAlignment="1">
      <alignment horizontal="left" vertical="center" wrapText="1" shrinkToFit="1"/>
    </xf>
    <xf numFmtId="3" fontId="51" fillId="0" borderId="14" xfId="47" applyNumberFormat="1" applyFont="1" applyBorder="1" applyAlignment="1">
      <alignment horizontal="right" vertical="center" wrapText="1" shrinkToFit="1"/>
    </xf>
    <xf numFmtId="3" fontId="51" fillId="0" borderId="18" xfId="47" applyNumberFormat="1" applyFont="1" applyBorder="1" applyAlignment="1">
      <alignment horizontal="right" vertical="center" wrapText="1" shrinkToFit="1"/>
    </xf>
    <xf numFmtId="49" fontId="70" fillId="0" borderId="67" xfId="47" applyNumberFormat="1" applyFont="1" applyBorder="1" applyAlignment="1">
      <alignment horizontal="left" vertical="center" wrapText="1" shrinkToFit="1"/>
    </xf>
    <xf numFmtId="3" fontId="70" fillId="0" borderId="18" xfId="47" applyNumberFormat="1" applyFont="1" applyBorder="1" applyAlignment="1">
      <alignment horizontal="right" vertical="center" wrapText="1" shrinkToFit="1"/>
    </xf>
    <xf numFmtId="3" fontId="70" fillId="0" borderId="18" xfId="47" applyNumberFormat="1" applyFont="1" applyBorder="1" applyAlignment="1">
      <alignment horizontal="right" vertical="center"/>
    </xf>
    <xf numFmtId="9" fontId="70" fillId="0" borderId="19" xfId="47" applyNumberFormat="1" applyFont="1" applyBorder="1" applyAlignment="1">
      <alignment horizontal="right" vertical="center"/>
    </xf>
    <xf numFmtId="0" fontId="43" fillId="0" borderId="0" xfId="47" applyFont="1"/>
    <xf numFmtId="49" fontId="66" fillId="20" borderId="67" xfId="47" applyNumberFormat="1" applyFont="1" applyFill="1" applyBorder="1" applyAlignment="1">
      <alignment horizontal="left" vertical="center" wrapText="1" shrinkToFit="1"/>
    </xf>
    <xf numFmtId="3" fontId="66" fillId="20" borderId="14" xfId="47" applyNumberFormat="1" applyFont="1" applyFill="1" applyBorder="1" applyAlignment="1">
      <alignment horizontal="right" vertical="center" wrapText="1" shrinkToFit="1"/>
    </xf>
    <xf numFmtId="3" fontId="66" fillId="20" borderId="18" xfId="47" applyNumberFormat="1" applyFont="1" applyFill="1" applyBorder="1" applyAlignment="1">
      <alignment horizontal="right" vertical="center" wrapText="1" shrinkToFit="1"/>
    </xf>
    <xf numFmtId="3" fontId="66" fillId="20" borderId="18" xfId="47" applyNumberFormat="1" applyFont="1" applyFill="1" applyBorder="1" applyAlignment="1">
      <alignment horizontal="right" vertical="center"/>
    </xf>
    <xf numFmtId="9" fontId="66" fillId="20" borderId="19" xfId="47" applyNumberFormat="1" applyFont="1" applyFill="1" applyBorder="1" applyAlignment="1">
      <alignment horizontal="right" vertical="center"/>
    </xf>
    <xf numFmtId="0" fontId="23" fillId="14" borderId="0" xfId="47" applyFont="1" applyFill="1"/>
    <xf numFmtId="0" fontId="0" fillId="0" borderId="68" xfId="0" applyBorder="1"/>
    <xf numFmtId="3" fontId="0" fillId="0" borderId="69" xfId="0" applyNumberFormat="1" applyBorder="1"/>
    <xf numFmtId="9" fontId="66" fillId="14" borderId="19" xfId="47" applyNumberFormat="1" applyFont="1" applyFill="1" applyBorder="1" applyAlignment="1">
      <alignment horizontal="right" vertical="center"/>
    </xf>
    <xf numFmtId="3" fontId="66" fillId="14" borderId="14" xfId="47" applyNumberFormat="1" applyFont="1" applyFill="1" applyBorder="1" applyAlignment="1">
      <alignment horizontal="right" vertical="center" wrapText="1" shrinkToFit="1"/>
    </xf>
    <xf numFmtId="0" fontId="23" fillId="0" borderId="0" xfId="47" applyFont="1"/>
    <xf numFmtId="49" fontId="50" fillId="0" borderId="67" xfId="47" applyNumberFormat="1" applyFont="1" applyBorder="1" applyAlignment="1">
      <alignment horizontal="left" vertical="center" wrapText="1" shrinkToFit="1"/>
    </xf>
    <xf numFmtId="3" fontId="70" fillId="0" borderId="38" xfId="47" applyNumberFormat="1" applyFont="1" applyBorder="1" applyAlignment="1">
      <alignment horizontal="right" vertical="center" wrapText="1" shrinkToFit="1"/>
    </xf>
    <xf numFmtId="3" fontId="51" fillId="20" borderId="14" xfId="47" applyNumberFormat="1" applyFont="1" applyFill="1" applyBorder="1" applyAlignment="1">
      <alignment horizontal="right" vertical="center" wrapText="1" shrinkToFit="1"/>
    </xf>
    <xf numFmtId="49" fontId="66" fillId="18" borderId="67" xfId="47" applyNumberFormat="1" applyFont="1" applyFill="1" applyBorder="1" applyAlignment="1">
      <alignment horizontal="left" vertical="center" wrapText="1" shrinkToFit="1"/>
    </xf>
    <xf numFmtId="3" fontId="66" fillId="18" borderId="14" xfId="47" applyNumberFormat="1" applyFont="1" applyFill="1" applyBorder="1" applyAlignment="1">
      <alignment horizontal="right" vertical="center" wrapText="1" shrinkToFit="1"/>
    </xf>
    <xf numFmtId="3" fontId="66" fillId="18" borderId="18" xfId="47" applyNumberFormat="1" applyFont="1" applyFill="1" applyBorder="1" applyAlignment="1">
      <alignment horizontal="right" vertical="center"/>
    </xf>
    <xf numFmtId="9" fontId="66" fillId="18" borderId="19" xfId="47" applyNumberFormat="1" applyFont="1" applyFill="1" applyBorder="1" applyAlignment="1">
      <alignment horizontal="right" vertical="center"/>
    </xf>
    <xf numFmtId="3" fontId="66" fillId="18" borderId="18" xfId="47" applyNumberFormat="1" applyFont="1" applyFill="1" applyBorder="1" applyAlignment="1">
      <alignment horizontal="right" vertical="center" wrapText="1" shrinkToFit="1"/>
    </xf>
    <xf numFmtId="3" fontId="66" fillId="21" borderId="14" xfId="47" applyNumberFormat="1" applyFont="1" applyFill="1" applyBorder="1" applyAlignment="1">
      <alignment horizontal="right" vertical="center" wrapText="1" shrinkToFit="1"/>
    </xf>
    <xf numFmtId="3" fontId="51" fillId="0" borderId="38" xfId="47" applyNumberFormat="1" applyFont="1" applyBorder="1" applyAlignment="1">
      <alignment horizontal="right" vertical="center" wrapText="1" shrinkToFit="1"/>
    </xf>
    <xf numFmtId="49" fontId="66" fillId="18" borderId="70" xfId="47" applyNumberFormat="1" applyFont="1" applyFill="1" applyBorder="1" applyAlignment="1">
      <alignment horizontal="left" vertical="center" wrapText="1" shrinkToFit="1"/>
    </xf>
    <xf numFmtId="3" fontId="66" fillId="18" borderId="17" xfId="47" applyNumberFormat="1" applyFont="1" applyFill="1" applyBorder="1" applyAlignment="1">
      <alignment horizontal="right" vertical="center" wrapText="1" shrinkToFit="1"/>
    </xf>
    <xf numFmtId="3" fontId="66" fillId="18" borderId="48" xfId="47" applyNumberFormat="1" applyFont="1" applyFill="1" applyBorder="1" applyAlignment="1">
      <alignment horizontal="right" vertical="center"/>
    </xf>
    <xf numFmtId="9" fontId="66" fillId="18" borderId="29" xfId="47" applyNumberFormat="1" applyFont="1" applyFill="1" applyBorder="1" applyAlignment="1">
      <alignment horizontal="right" vertical="center"/>
    </xf>
    <xf numFmtId="3" fontId="66" fillId="18" borderId="48" xfId="47" applyNumberFormat="1" applyFont="1" applyFill="1" applyBorder="1" applyAlignment="1">
      <alignment horizontal="right" vertical="center" wrapText="1" shrinkToFit="1"/>
    </xf>
    <xf numFmtId="0" fontId="0" fillId="27" borderId="0" xfId="0" applyFill="1"/>
    <xf numFmtId="0" fontId="51" fillId="27" borderId="0" xfId="50" applyFont="1" applyFill="1" applyAlignment="1">
      <alignment horizontal="center"/>
    </xf>
    <xf numFmtId="3" fontId="51" fillId="27" borderId="18" xfId="50" applyNumberFormat="1" applyFont="1" applyFill="1" applyBorder="1" applyAlignment="1">
      <alignment horizontal="center" vertical="center" wrapText="1" shrinkToFit="1"/>
    </xf>
    <xf numFmtId="3" fontId="66" fillId="27" borderId="18" xfId="50" applyNumberFormat="1" applyFont="1" applyFill="1" applyBorder="1" applyAlignment="1">
      <alignment horizontal="center" vertical="center" wrapText="1" shrinkToFit="1"/>
    </xf>
    <xf numFmtId="0" fontId="24" fillId="27" borderId="0" xfId="50" applyFill="1"/>
    <xf numFmtId="0" fontId="24" fillId="30" borderId="18" xfId="50" applyFill="1" applyBorder="1" applyAlignment="1">
      <alignment horizontal="center" vertical="top"/>
    </xf>
    <xf numFmtId="0" fontId="51" fillId="31" borderId="18" xfId="50" applyFont="1" applyFill="1" applyBorder="1" applyAlignment="1">
      <alignment horizontal="center" vertical="center" wrapText="1" shrinkToFit="1"/>
    </xf>
    <xf numFmtId="3" fontId="66" fillId="32" borderId="18" xfId="50" applyNumberFormat="1" applyFont="1" applyFill="1" applyBorder="1" applyAlignment="1">
      <alignment horizontal="center" vertical="center" wrapText="1" shrinkToFit="1"/>
    </xf>
    <xf numFmtId="3" fontId="51" fillId="32" borderId="18" xfId="50" applyNumberFormat="1" applyFont="1" applyFill="1" applyBorder="1" applyAlignment="1">
      <alignment horizontal="center" vertical="center" wrapText="1" shrinkToFit="1"/>
    </xf>
    <xf numFmtId="3" fontId="66" fillId="27" borderId="38" xfId="47" applyNumberFormat="1" applyFont="1" applyFill="1" applyBorder="1" applyAlignment="1">
      <alignment horizontal="right" vertical="center" wrapText="1" shrinkToFit="1"/>
    </xf>
    <xf numFmtId="9" fontId="66" fillId="27" borderId="19" xfId="47" applyNumberFormat="1" applyFont="1" applyFill="1" applyBorder="1" applyAlignment="1">
      <alignment horizontal="right" vertical="center"/>
    </xf>
    <xf numFmtId="3" fontId="66" fillId="27" borderId="43" xfId="47" applyNumberFormat="1" applyFont="1" applyFill="1" applyBorder="1" applyAlignment="1">
      <alignment horizontal="right" vertical="center" wrapText="1" shrinkToFit="1"/>
    </xf>
    <xf numFmtId="3" fontId="66" fillId="27" borderId="14" xfId="47" applyNumberFormat="1" applyFont="1" applyFill="1" applyBorder="1" applyAlignment="1">
      <alignment horizontal="right" vertical="center" wrapText="1" shrinkToFit="1"/>
    </xf>
    <xf numFmtId="0" fontId="23" fillId="27" borderId="0" xfId="47" applyFont="1" applyFill="1"/>
    <xf numFmtId="3" fontId="66" fillId="27" borderId="18" xfId="47" applyNumberFormat="1" applyFont="1" applyFill="1" applyBorder="1" applyAlignment="1">
      <alignment horizontal="right" vertical="center" wrapText="1" shrinkToFit="1"/>
    </xf>
    <xf numFmtId="49" fontId="51" fillId="27" borderId="67" xfId="47" applyNumberFormat="1" applyFont="1" applyFill="1" applyBorder="1" applyAlignment="1">
      <alignment horizontal="left" vertical="center" wrapText="1" shrinkToFit="1"/>
    </xf>
    <xf numFmtId="9" fontId="66" fillId="20" borderId="18" xfId="47" applyNumberFormat="1" applyFont="1" applyFill="1" applyBorder="1" applyAlignment="1">
      <alignment horizontal="right" vertical="center" wrapText="1" shrinkToFit="1"/>
    </xf>
    <xf numFmtId="0" fontId="71" fillId="0" borderId="0" xfId="42" applyFont="1"/>
    <xf numFmtId="0" fontId="24" fillId="0" borderId="0" xfId="42" applyAlignment="1">
      <alignment horizontal="right"/>
    </xf>
    <xf numFmtId="0" fontId="71" fillId="0" borderId="0" xfId="42" applyFont="1" applyAlignment="1">
      <alignment horizontal="right"/>
    </xf>
    <xf numFmtId="0" fontId="58" fillId="0" borderId="16" xfId="42" applyFont="1" applyBorder="1"/>
    <xf numFmtId="0" fontId="58" fillId="0" borderId="37" xfId="42" applyFont="1" applyBorder="1"/>
    <xf numFmtId="0" fontId="71" fillId="0" borderId="37" xfId="42" applyFont="1" applyBorder="1"/>
    <xf numFmtId="0" fontId="71" fillId="0" borderId="37" xfId="42" applyFont="1" applyBorder="1" applyAlignment="1">
      <alignment horizontal="right"/>
    </xf>
    <xf numFmtId="0" fontId="71" fillId="0" borderId="28" xfId="42" applyFont="1" applyBorder="1"/>
    <xf numFmtId="0" fontId="71" fillId="0" borderId="14" xfId="42" applyFont="1" applyBorder="1"/>
    <xf numFmtId="0" fontId="58" fillId="0" borderId="18" xfId="42" applyFont="1" applyBorder="1" applyAlignment="1">
      <alignment horizontal="left" wrapText="1"/>
    </xf>
    <xf numFmtId="0" fontId="58" fillId="0" borderId="18" xfId="42" applyFont="1" applyBorder="1" applyAlignment="1">
      <alignment horizontal="right" wrapText="1"/>
    </xf>
    <xf numFmtId="0" fontId="58" fillId="0" borderId="19" xfId="42" applyFont="1" applyBorder="1" applyAlignment="1">
      <alignment wrapText="1"/>
    </xf>
    <xf numFmtId="49" fontId="71" fillId="0" borderId="18" xfId="42" applyNumberFormat="1" applyFont="1" applyBorder="1" applyAlignment="1">
      <alignment horizontal="right"/>
    </xf>
    <xf numFmtId="0" fontId="71" fillId="0" borderId="18" xfId="42" applyFont="1" applyBorder="1" applyAlignment="1">
      <alignment horizontal="right"/>
    </xf>
    <xf numFmtId="0" fontId="71" fillId="0" borderId="18" xfId="42" applyFont="1" applyBorder="1" applyAlignment="1">
      <alignment horizontal="center"/>
    </xf>
    <xf numFmtId="0" fontId="71" fillId="0" borderId="18" xfId="42" applyFont="1" applyBorder="1"/>
    <xf numFmtId="0" fontId="71" fillId="0" borderId="18" xfId="42" applyFont="1" applyBorder="1" applyAlignment="1">
      <alignment horizontal="left"/>
    </xf>
    <xf numFmtId="0" fontId="58" fillId="0" borderId="19" xfId="42" applyFont="1" applyBorder="1"/>
    <xf numFmtId="0" fontId="71" fillId="0" borderId="19" xfId="42" applyFont="1" applyBorder="1"/>
    <xf numFmtId="0" fontId="58" fillId="0" borderId="17" xfId="42" applyFont="1" applyBorder="1"/>
    <xf numFmtId="0" fontId="58" fillId="0" borderId="48" xfId="42" applyFont="1" applyBorder="1"/>
    <xf numFmtId="0" fontId="71" fillId="0" borderId="48" xfId="42" applyFont="1" applyBorder="1" applyAlignment="1">
      <alignment horizontal="right"/>
    </xf>
    <xf numFmtId="0" fontId="58" fillId="0" borderId="29" xfId="42" applyFont="1" applyBorder="1"/>
    <xf numFmtId="0" fontId="58" fillId="0" borderId="0" xfId="42" applyFont="1"/>
    <xf numFmtId="0" fontId="71" fillId="0" borderId="20" xfId="42" applyFont="1" applyBorder="1"/>
    <xf numFmtId="0" fontId="71" fillId="0" borderId="55" xfId="42" applyFont="1" applyBorder="1"/>
    <xf numFmtId="0" fontId="58" fillId="0" borderId="18" xfId="42" applyFont="1" applyBorder="1"/>
    <xf numFmtId="0" fontId="58" fillId="0" borderId="18" xfId="42" applyFont="1" applyBorder="1" applyAlignment="1">
      <alignment horizontal="right"/>
    </xf>
    <xf numFmtId="49" fontId="71" fillId="0" borderId="18" xfId="42" applyNumberFormat="1" applyFont="1" applyBorder="1"/>
    <xf numFmtId="0" fontId="58" fillId="0" borderId="18" xfId="42" applyFont="1" applyBorder="1" applyAlignment="1">
      <alignment horizontal="left"/>
    </xf>
    <xf numFmtId="0" fontId="58" fillId="0" borderId="48" xfId="42" applyFont="1" applyBorder="1" applyAlignment="1">
      <alignment horizontal="right"/>
    </xf>
    <xf numFmtId="0" fontId="58" fillId="0" borderId="16" xfId="42" applyFont="1" applyBorder="1" applyAlignment="1">
      <alignment wrapText="1"/>
    </xf>
    <xf numFmtId="0" fontId="58" fillId="0" borderId="18" xfId="42" applyFont="1" applyBorder="1" applyAlignment="1">
      <alignment wrapText="1"/>
    </xf>
    <xf numFmtId="2" fontId="71" fillId="0" borderId="0" xfId="42" applyNumberFormat="1" applyFont="1"/>
    <xf numFmtId="4" fontId="58" fillId="0" borderId="48" xfId="42" applyNumberFormat="1" applyFont="1" applyBorder="1"/>
    <xf numFmtId="0" fontId="58" fillId="0" borderId="15" xfId="42" applyFont="1" applyBorder="1"/>
    <xf numFmtId="0" fontId="58" fillId="0" borderId="23" xfId="42" applyFont="1" applyBorder="1"/>
    <xf numFmtId="0" fontId="58" fillId="0" borderId="23" xfId="42" applyFont="1" applyBorder="1" applyAlignment="1">
      <alignment horizontal="right"/>
    </xf>
    <xf numFmtId="0" fontId="58" fillId="0" borderId="24" xfId="42" applyFont="1" applyBorder="1"/>
    <xf numFmtId="0" fontId="72" fillId="0" borderId="17" xfId="42" applyFont="1" applyBorder="1"/>
    <xf numFmtId="0" fontId="72" fillId="0" borderId="48" xfId="42" applyFont="1" applyBorder="1"/>
    <xf numFmtId="0" fontId="72" fillId="0" borderId="48" xfId="42" applyFont="1" applyBorder="1" applyAlignment="1">
      <alignment horizontal="right"/>
    </xf>
    <xf numFmtId="0" fontId="73" fillId="0" borderId="29" xfId="42" applyFont="1" applyBorder="1"/>
    <xf numFmtId="0" fontId="71" fillId="27" borderId="14" xfId="42" applyFont="1" applyFill="1" applyBorder="1"/>
    <xf numFmtId="49" fontId="71" fillId="27" borderId="18" xfId="42" applyNumberFormat="1" applyFont="1" applyFill="1" applyBorder="1"/>
    <xf numFmtId="0" fontId="71" fillId="27" borderId="18" xfId="42" applyFont="1" applyFill="1" applyBorder="1"/>
    <xf numFmtId="0" fontId="71" fillId="27" borderId="18" xfId="42" applyFont="1" applyFill="1" applyBorder="1" applyAlignment="1">
      <alignment horizontal="right"/>
    </xf>
    <xf numFmtId="0" fontId="71" fillId="27" borderId="19" xfId="42" applyFont="1" applyFill="1" applyBorder="1"/>
    <xf numFmtId="4" fontId="71" fillId="27" borderId="19" xfId="42" applyNumberFormat="1" applyFont="1" applyFill="1" applyBorder="1"/>
    <xf numFmtId="0" fontId="24" fillId="0" borderId="0" xfId="42" applyAlignment="1">
      <alignment vertical="center"/>
    </xf>
    <xf numFmtId="0" fontId="24" fillId="0" borderId="0" xfId="42"/>
    <xf numFmtId="0" fontId="23" fillId="0" borderId="0" xfId="42" applyFont="1" applyAlignment="1">
      <alignment horizontal="center" vertical="center"/>
    </xf>
    <xf numFmtId="0" fontId="23" fillId="0" borderId="0" xfId="42" applyFont="1" applyAlignment="1">
      <alignment vertical="center"/>
    </xf>
    <xf numFmtId="0" fontId="76" fillId="0" borderId="0" xfId="42" applyFont="1" applyAlignment="1">
      <alignment horizontal="center" vertical="center"/>
    </xf>
    <xf numFmtId="0" fontId="76" fillId="0" borderId="0" xfId="42" applyFont="1" applyAlignment="1">
      <alignment vertical="center"/>
    </xf>
    <xf numFmtId="0" fontId="24" fillId="0" borderId="0" xfId="42" applyAlignment="1">
      <alignment horizontal="center" vertical="center"/>
    </xf>
    <xf numFmtId="0" fontId="66" fillId="0" borderId="0" xfId="42" applyFont="1" applyAlignment="1">
      <alignment vertical="center"/>
    </xf>
    <xf numFmtId="0" fontId="71" fillId="0" borderId="0" xfId="58" applyFont="1" applyAlignment="1">
      <alignment vertical="center"/>
    </xf>
    <xf numFmtId="0" fontId="78" fillId="0" borderId="0" xfId="58" applyFont="1" applyAlignment="1">
      <alignment horizontal="center" vertical="center"/>
    </xf>
    <xf numFmtId="0" fontId="59" fillId="0" borderId="0" xfId="58" applyFont="1" applyAlignment="1">
      <alignment horizontal="right" vertical="center"/>
    </xf>
    <xf numFmtId="0" fontId="58" fillId="0" borderId="58" xfId="58" applyFont="1" applyBorder="1" applyAlignment="1">
      <alignment horizontal="center" vertical="center"/>
    </xf>
    <xf numFmtId="0" fontId="58" fillId="0" borderId="42" xfId="58" applyFont="1" applyBorder="1" applyAlignment="1">
      <alignment horizontal="center" vertical="center"/>
    </xf>
    <xf numFmtId="0" fontId="58" fillId="0" borderId="71" xfId="58" applyFont="1" applyBorder="1" applyAlignment="1">
      <alignment vertical="center"/>
    </xf>
    <xf numFmtId="3" fontId="71" fillId="0" borderId="72" xfId="58" applyNumberFormat="1" applyFont="1" applyBorder="1" applyAlignment="1">
      <alignment vertical="center"/>
    </xf>
    <xf numFmtId="0" fontId="71" fillId="0" borderId="71" xfId="58" applyFont="1" applyBorder="1" applyAlignment="1">
      <alignment vertical="center"/>
    </xf>
    <xf numFmtId="3" fontId="71" fillId="0" borderId="73" xfId="58" applyNumberFormat="1" applyFont="1" applyBorder="1" applyAlignment="1">
      <alignment vertical="center"/>
    </xf>
    <xf numFmtId="0" fontId="71" fillId="0" borderId="71" xfId="58" applyFont="1" applyBorder="1" applyAlignment="1">
      <alignment vertical="center" wrapText="1"/>
    </xf>
    <xf numFmtId="3" fontId="71" fillId="0" borderId="74" xfId="58" applyNumberFormat="1" applyFont="1" applyBorder="1" applyAlignment="1">
      <alignment vertical="center"/>
    </xf>
    <xf numFmtId="0" fontId="58" fillId="0" borderId="75" xfId="58" applyFont="1" applyBorder="1" applyAlignment="1">
      <alignment vertical="center"/>
    </xf>
    <xf numFmtId="3" fontId="58" fillId="0" borderId="42" xfId="58" applyNumberFormat="1" applyFont="1" applyBorder="1" applyAlignment="1">
      <alignment vertical="center"/>
    </xf>
    <xf numFmtId="0" fontId="71" fillId="0" borderId="76" xfId="58" applyFont="1" applyBorder="1" applyAlignment="1">
      <alignment vertical="center"/>
    </xf>
    <xf numFmtId="0" fontId="71" fillId="0" borderId="72" xfId="58" applyFont="1" applyBorder="1" applyAlignment="1">
      <alignment vertical="center"/>
    </xf>
    <xf numFmtId="0" fontId="71" fillId="0" borderId="73" xfId="58" applyFont="1" applyBorder="1" applyAlignment="1">
      <alignment vertical="center"/>
    </xf>
    <xf numFmtId="0" fontId="71" fillId="0" borderId="77" xfId="58" applyFont="1" applyBorder="1" applyAlignment="1">
      <alignment vertical="center"/>
    </xf>
    <xf numFmtId="3" fontId="71" fillId="0" borderId="78" xfId="58" applyNumberFormat="1" applyFont="1" applyBorder="1" applyAlignment="1">
      <alignment vertical="center"/>
    </xf>
    <xf numFmtId="3" fontId="58" fillId="0" borderId="79" xfId="58" applyNumberFormat="1" applyFont="1" applyBorder="1" applyAlignment="1">
      <alignment vertical="center"/>
    </xf>
    <xf numFmtId="0" fontId="71" fillId="0" borderId="80" xfId="58" applyFont="1" applyBorder="1" applyAlignment="1">
      <alignment vertical="center"/>
    </xf>
    <xf numFmtId="0" fontId="71" fillId="0" borderId="81" xfId="58" applyFont="1" applyBorder="1" applyAlignment="1">
      <alignment vertical="center" wrapText="1"/>
    </xf>
    <xf numFmtId="3" fontId="71" fillId="0" borderId="82" xfId="58" applyNumberFormat="1" applyFont="1" applyBorder="1" applyAlignment="1">
      <alignment vertical="center"/>
    </xf>
    <xf numFmtId="0" fontId="58" fillId="0" borderId="58" xfId="58" applyFont="1" applyBorder="1" applyAlignment="1">
      <alignment vertical="center"/>
    </xf>
    <xf numFmtId="0" fontId="71" fillId="0" borderId="83" xfId="58" applyFont="1" applyBorder="1" applyAlignment="1">
      <alignment vertical="center"/>
    </xf>
    <xf numFmtId="0" fontId="71" fillId="0" borderId="84" xfId="58" applyFont="1" applyBorder="1" applyAlignment="1">
      <alignment vertical="center"/>
    </xf>
    <xf numFmtId="0" fontId="58" fillId="0" borderId="62" xfId="58" applyFont="1" applyBorder="1" applyAlignment="1">
      <alignment vertical="center"/>
    </xf>
    <xf numFmtId="0" fontId="71" fillId="0" borderId="65" xfId="58" applyFont="1" applyBorder="1" applyAlignment="1">
      <alignment vertical="center"/>
    </xf>
    <xf numFmtId="0" fontId="58" fillId="0" borderId="0" xfId="58" applyFont="1" applyAlignment="1">
      <alignment vertical="center"/>
    </xf>
    <xf numFmtId="0" fontId="75" fillId="0" borderId="0" xfId="42" applyFont="1" applyAlignment="1">
      <alignment horizontal="left" vertical="center"/>
    </xf>
    <xf numFmtId="3" fontId="79" fillId="0" borderId="0" xfId="42" applyNumberFormat="1" applyFont="1" applyAlignment="1">
      <alignment horizontal="center"/>
    </xf>
    <xf numFmtId="0" fontId="24" fillId="0" borderId="0" xfId="42" applyAlignment="1">
      <alignment horizontal="center"/>
    </xf>
    <xf numFmtId="3" fontId="2" fillId="0" borderId="0" xfId="42" applyNumberFormat="1" applyFont="1" applyAlignment="1">
      <alignment horizontal="center"/>
    </xf>
    <xf numFmtId="0" fontId="2" fillId="0" borderId="0" xfId="42" applyFont="1"/>
    <xf numFmtId="0" fontId="24" fillId="0" borderId="0" xfId="42" applyAlignment="1">
      <alignment wrapText="1"/>
    </xf>
    <xf numFmtId="0" fontId="2" fillId="0" borderId="0" xfId="42" applyFont="1" applyAlignment="1">
      <alignment horizontal="center"/>
    </xf>
    <xf numFmtId="0" fontId="2" fillId="0" borderId="14" xfId="42" applyFont="1" applyBorder="1" applyAlignment="1">
      <alignment horizontal="center" wrapText="1"/>
    </xf>
    <xf numFmtId="0" fontId="24" fillId="0" borderId="18" xfId="42" applyBorder="1" applyAlignment="1">
      <alignment horizontal="center" wrapText="1"/>
    </xf>
    <xf numFmtId="0" fontId="2" fillId="0" borderId="18" xfId="42" applyFont="1" applyBorder="1" applyAlignment="1">
      <alignment horizontal="center" wrapText="1"/>
    </xf>
    <xf numFmtId="0" fontId="24" fillId="0" borderId="57" xfId="42" applyBorder="1" applyAlignment="1">
      <alignment wrapText="1"/>
    </xf>
    <xf numFmtId="3" fontId="24" fillId="0" borderId="14" xfId="42" applyNumberFormat="1" applyBorder="1" applyAlignment="1">
      <alignment wrapText="1"/>
    </xf>
    <xf numFmtId="3" fontId="24" fillId="0" borderId="18" xfId="42" applyNumberFormat="1" applyBorder="1" applyAlignment="1">
      <alignment wrapText="1"/>
    </xf>
    <xf numFmtId="3" fontId="80" fillId="0" borderId="19" xfId="42" applyNumberFormat="1" applyFont="1" applyBorder="1" applyAlignment="1">
      <alignment wrapText="1"/>
    </xf>
    <xf numFmtId="0" fontId="80" fillId="0" borderId="57" xfId="42" applyFont="1" applyBorder="1" applyAlignment="1">
      <alignment wrapText="1"/>
    </xf>
    <xf numFmtId="3" fontId="80" fillId="0" borderId="14" xfId="42" applyNumberFormat="1" applyFont="1" applyBorder="1" applyAlignment="1">
      <alignment wrapText="1"/>
    </xf>
    <xf numFmtId="3" fontId="80" fillId="0" borderId="18" xfId="42" applyNumberFormat="1" applyFont="1" applyBorder="1" applyAlignment="1">
      <alignment wrapText="1"/>
    </xf>
    <xf numFmtId="0" fontId="80" fillId="0" borderId="85" xfId="42" applyFont="1" applyBorder="1" applyAlignment="1">
      <alignment wrapText="1"/>
    </xf>
    <xf numFmtId="3" fontId="80" fillId="0" borderId="17" xfId="42" applyNumberFormat="1" applyFont="1" applyBorder="1" applyAlignment="1">
      <alignment wrapText="1"/>
    </xf>
    <xf numFmtId="3" fontId="80" fillId="0" borderId="48" xfId="42" applyNumberFormat="1" applyFont="1" applyBorder="1" applyAlignment="1">
      <alignment wrapText="1"/>
    </xf>
    <xf numFmtId="3" fontId="80" fillId="0" borderId="29" xfId="42" applyNumberFormat="1" applyFont="1" applyBorder="1" applyAlignment="1">
      <alignment wrapText="1"/>
    </xf>
    <xf numFmtId="0" fontId="6" fillId="0" borderId="0" xfId="55"/>
    <xf numFmtId="3" fontId="6" fillId="0" borderId="0" xfId="55" applyNumberFormat="1"/>
    <xf numFmtId="0" fontId="76" fillId="0" borderId="0" xfId="55" applyFont="1" applyAlignment="1">
      <alignment horizontal="center"/>
    </xf>
    <xf numFmtId="0" fontId="6" fillId="0" borderId="55" xfId="55" applyBorder="1" applyAlignment="1">
      <alignment horizontal="right"/>
    </xf>
    <xf numFmtId="0" fontId="6" fillId="0" borderId="14" xfId="55" applyBorder="1" applyAlignment="1">
      <alignment wrapText="1"/>
    </xf>
    <xf numFmtId="3" fontId="6" fillId="0" borderId="18" xfId="55" applyNumberFormat="1" applyBorder="1" applyAlignment="1">
      <alignment horizontal="center" vertical="center"/>
    </xf>
    <xf numFmtId="0" fontId="6" fillId="0" borderId="18" xfId="55" applyBorder="1" applyAlignment="1">
      <alignment horizontal="center" wrapText="1"/>
    </xf>
    <xf numFmtId="0" fontId="6" fillId="0" borderId="26" xfId="55" applyBorder="1" applyAlignment="1">
      <alignment horizontal="center" vertical="center" wrapText="1"/>
    </xf>
    <xf numFmtId="0" fontId="6" fillId="0" borderId="19" xfId="55" applyBorder="1" applyAlignment="1">
      <alignment horizontal="center" wrapText="1"/>
    </xf>
    <xf numFmtId="0" fontId="6" fillId="0" borderId="26" xfId="55" applyBorder="1" applyAlignment="1">
      <alignment horizontal="center" wrapText="1"/>
    </xf>
    <xf numFmtId="3" fontId="6" fillId="0" borderId="18" xfId="55" applyNumberFormat="1" applyBorder="1" applyAlignment="1">
      <alignment horizontal="center" wrapText="1"/>
    </xf>
    <xf numFmtId="3" fontId="6" fillId="0" borderId="26" xfId="55" applyNumberFormat="1" applyBorder="1" applyAlignment="1">
      <alignment horizontal="center" wrapText="1"/>
    </xf>
    <xf numFmtId="3" fontId="6" fillId="0" borderId="19" xfId="55" applyNumberFormat="1" applyBorder="1" applyAlignment="1">
      <alignment horizontal="center" wrapText="1"/>
    </xf>
    <xf numFmtId="1" fontId="6" fillId="0" borderId="0" xfId="55" applyNumberFormat="1"/>
    <xf numFmtId="3" fontId="6" fillId="0" borderId="18" xfId="55" applyNumberFormat="1" applyBorder="1" applyAlignment="1">
      <alignment horizontal="center"/>
    </xf>
    <xf numFmtId="3" fontId="6" fillId="0" borderId="26" xfId="55" applyNumberFormat="1" applyBorder="1" applyAlignment="1">
      <alignment horizontal="center"/>
    </xf>
    <xf numFmtId="3" fontId="6" fillId="0" borderId="19" xfId="55" applyNumberFormat="1" applyBorder="1" applyAlignment="1">
      <alignment horizontal="center"/>
    </xf>
    <xf numFmtId="3" fontId="24" fillId="0" borderId="18" xfId="55" applyNumberFormat="1" applyFont="1" applyBorder="1" applyAlignment="1">
      <alignment horizontal="center"/>
    </xf>
    <xf numFmtId="3" fontId="24" fillId="0" borderId="26" xfId="55" applyNumberFormat="1" applyFont="1" applyBorder="1" applyAlignment="1">
      <alignment horizontal="center"/>
    </xf>
    <xf numFmtId="3" fontId="24" fillId="0" borderId="19" xfId="55" applyNumberFormat="1" applyFont="1" applyBorder="1" applyAlignment="1">
      <alignment horizontal="center"/>
    </xf>
    <xf numFmtId="3" fontId="6" fillId="0" borderId="52" xfId="55" applyNumberFormat="1" applyBorder="1" applyAlignment="1">
      <alignment horizontal="center"/>
    </xf>
    <xf numFmtId="3" fontId="24" fillId="0" borderId="86" xfId="55" applyNumberFormat="1" applyFont="1" applyBorder="1" applyAlignment="1">
      <alignment horizontal="center"/>
    </xf>
    <xf numFmtId="3" fontId="6" fillId="0" borderId="48" xfId="55" applyNumberFormat="1" applyBorder="1" applyAlignment="1">
      <alignment horizontal="center"/>
    </xf>
    <xf numFmtId="3" fontId="23" fillId="0" borderId="0" xfId="55" applyNumberFormat="1" applyFont="1"/>
    <xf numFmtId="0" fontId="6" fillId="0" borderId="18" xfId="55" applyBorder="1" applyAlignment="1">
      <alignment horizontal="center" vertical="center" wrapText="1"/>
    </xf>
    <xf numFmtId="3" fontId="6" fillId="0" borderId="18" xfId="55" applyNumberFormat="1" applyBorder="1" applyAlignment="1">
      <alignment horizontal="center" vertical="center" wrapText="1"/>
    </xf>
    <xf numFmtId="3" fontId="6" fillId="0" borderId="26" xfId="55" applyNumberFormat="1" applyBorder="1" applyAlignment="1">
      <alignment horizontal="center" vertical="center" wrapText="1"/>
    </xf>
    <xf numFmtId="3" fontId="6" fillId="0" borderId="52" xfId="55" applyNumberFormat="1" applyBorder="1" applyAlignment="1">
      <alignment horizontal="center" vertical="center"/>
    </xf>
    <xf numFmtId="0" fontId="6" fillId="0" borderId="52" xfId="55" applyBorder="1" applyAlignment="1">
      <alignment horizontal="center" vertical="center" wrapText="1"/>
    </xf>
    <xf numFmtId="0" fontId="6" fillId="0" borderId="86" xfId="55" applyBorder="1" applyAlignment="1">
      <alignment horizontal="center" vertical="center" wrapText="1"/>
    </xf>
    <xf numFmtId="3" fontId="6" fillId="0" borderId="53" xfId="55" applyNumberFormat="1" applyBorder="1" applyAlignment="1">
      <alignment horizontal="center" wrapText="1"/>
    </xf>
    <xf numFmtId="3" fontId="19" fillId="0" borderId="48" xfId="55" applyNumberFormat="1" applyFont="1" applyBorder="1" applyAlignment="1">
      <alignment horizontal="center" vertical="center"/>
    </xf>
    <xf numFmtId="0" fontId="24" fillId="0" borderId="0" xfId="42" applyAlignment="1">
      <alignment horizontal="left"/>
    </xf>
    <xf numFmtId="0" fontId="24" fillId="0" borderId="0" xfId="42" applyAlignment="1">
      <alignment horizontal="center" wrapText="1"/>
    </xf>
    <xf numFmtId="0" fontId="46" fillId="22" borderId="14" xfId="42" applyFont="1" applyFill="1" applyBorder="1" applyAlignment="1" applyProtection="1">
      <alignment horizontal="left" vertical="center" wrapText="1" readingOrder="1"/>
      <protection locked="0"/>
    </xf>
    <xf numFmtId="0" fontId="46" fillId="22" borderId="18" xfId="42" applyFont="1" applyFill="1" applyBorder="1" applyAlignment="1" applyProtection="1">
      <alignment horizontal="left" vertical="center" wrapText="1" readingOrder="1"/>
      <protection locked="0"/>
    </xf>
    <xf numFmtId="0" fontId="46" fillId="22" borderId="19" xfId="42" applyFont="1" applyFill="1" applyBorder="1" applyAlignment="1" applyProtection="1">
      <alignment horizontal="right" vertical="center" wrapText="1" readingOrder="1"/>
      <protection locked="0"/>
    </xf>
    <xf numFmtId="49" fontId="41" fillId="27" borderId="14" xfId="42" applyNumberFormat="1" applyFont="1" applyFill="1" applyBorder="1" applyAlignment="1" applyProtection="1">
      <alignment wrapText="1" readingOrder="1"/>
      <protection locked="0"/>
    </xf>
    <xf numFmtId="0" fontId="49" fillId="27" borderId="18" xfId="42" applyFont="1" applyFill="1" applyBorder="1" applyAlignment="1">
      <alignment readingOrder="1"/>
    </xf>
    <xf numFmtId="196" fontId="49" fillId="27" borderId="19" xfId="42" applyNumberFormat="1" applyFont="1" applyFill="1" applyBorder="1" applyAlignment="1">
      <alignment readingOrder="1"/>
    </xf>
    <xf numFmtId="0" fontId="41" fillId="0" borderId="14" xfId="42" applyFont="1" applyBorder="1" applyAlignment="1" applyProtection="1">
      <alignment horizontal="left" vertical="center" wrapText="1" readingOrder="1"/>
      <protection locked="0"/>
    </xf>
    <xf numFmtId="0" fontId="41" fillId="0" borderId="18" xfId="42" applyFont="1" applyBorder="1" applyAlignment="1" applyProtection="1">
      <alignment vertical="center" wrapText="1" readingOrder="1"/>
      <protection locked="0"/>
    </xf>
    <xf numFmtId="169" fontId="41" fillId="0" borderId="19" xfId="42" applyNumberFormat="1" applyFont="1" applyBorder="1" applyAlignment="1" applyProtection="1">
      <alignment horizontal="right" vertical="center" wrapText="1" readingOrder="1"/>
      <protection locked="0"/>
    </xf>
    <xf numFmtId="196" fontId="24" fillId="0" borderId="0" xfId="42" applyNumberFormat="1"/>
    <xf numFmtId="3" fontId="24" fillId="0" borderId="0" xfId="42" applyNumberFormat="1"/>
    <xf numFmtId="169" fontId="42" fillId="0" borderId="19" xfId="42" applyNumberFormat="1" applyFont="1" applyBorder="1" applyAlignment="1" applyProtection="1">
      <alignment horizontal="right" vertical="center" wrapText="1" readingOrder="1"/>
      <protection locked="0"/>
    </xf>
    <xf numFmtId="49" fontId="41" fillId="0" borderId="14" xfId="42" applyNumberFormat="1" applyFont="1" applyBorder="1" applyAlignment="1" applyProtection="1">
      <alignment horizontal="left" vertical="center" wrapText="1" readingOrder="1"/>
      <protection locked="0"/>
    </xf>
    <xf numFmtId="49" fontId="41" fillId="0" borderId="18" xfId="42" applyNumberFormat="1" applyFont="1" applyBorder="1" applyAlignment="1" applyProtection="1">
      <alignment horizontal="left" vertical="center" wrapText="1" readingOrder="1"/>
      <protection locked="0"/>
    </xf>
    <xf numFmtId="169" fontId="46" fillId="15" borderId="19" xfId="42" applyNumberFormat="1" applyFont="1" applyFill="1" applyBorder="1" applyAlignment="1" applyProtection="1">
      <alignment horizontal="right" vertical="center" wrapText="1" readingOrder="1"/>
      <protection locked="0"/>
    </xf>
    <xf numFmtId="169" fontId="41" fillId="27" borderId="19" xfId="42" applyNumberFormat="1" applyFont="1" applyFill="1" applyBorder="1" applyAlignment="1" applyProtection="1">
      <alignment horizontal="right" vertical="center" wrapText="1" readingOrder="1"/>
      <protection locked="0"/>
    </xf>
    <xf numFmtId="169" fontId="24" fillId="0" borderId="0" xfId="42" applyNumberFormat="1"/>
    <xf numFmtId="49" fontId="41" fillId="0" borderId="57" xfId="42" applyNumberFormat="1" applyFont="1" applyBorder="1" applyAlignment="1" applyProtection="1">
      <alignment horizontal="left" vertical="center" wrapText="1" readingOrder="1"/>
      <protection locked="0"/>
    </xf>
    <xf numFmtId="0" fontId="41" fillId="0" borderId="14" xfId="53" applyFont="1" applyBorder="1" applyAlignment="1" applyProtection="1">
      <alignment horizontal="left" vertical="center" wrapText="1" readingOrder="1"/>
      <protection locked="0"/>
    </xf>
    <xf numFmtId="0" fontId="41" fillId="0" borderId="18" xfId="53" applyFont="1" applyBorder="1" applyAlignment="1" applyProtection="1">
      <alignment vertical="center" wrapText="1" readingOrder="1"/>
      <protection locked="0"/>
    </xf>
    <xf numFmtId="49" fontId="41" fillId="0" borderId="14" xfId="53" applyNumberFormat="1" applyFont="1" applyBorder="1" applyAlignment="1" applyProtection="1">
      <alignment vertical="center" wrapText="1" readingOrder="1"/>
      <protection locked="0"/>
    </xf>
    <xf numFmtId="0" fontId="50" fillId="0" borderId="43" xfId="57" applyFont="1" applyBorder="1" applyAlignment="1">
      <alignment horizontal="left" vertical="center" wrapText="1" readingOrder="1"/>
    </xf>
    <xf numFmtId="196" fontId="49" fillId="0" borderId="19" xfId="42" applyNumberFormat="1" applyFont="1" applyBorder="1" applyAlignment="1">
      <alignment horizontal="right"/>
    </xf>
    <xf numFmtId="196" fontId="42" fillId="0" borderId="19" xfId="53" applyNumberFormat="1" applyFont="1" applyBorder="1" applyAlignment="1" applyProtection="1">
      <alignment horizontal="right" vertical="center" wrapText="1" readingOrder="1"/>
      <protection locked="0"/>
    </xf>
    <xf numFmtId="0" fontId="24" fillId="0" borderId="16" xfId="53" applyBorder="1" applyAlignment="1">
      <alignment horizontal="left"/>
    </xf>
    <xf numFmtId="0" fontId="24" fillId="0" borderId="37" xfId="53" applyBorder="1"/>
    <xf numFmtId="169" fontId="24" fillId="0" borderId="28" xfId="53" applyNumberFormat="1" applyBorder="1" applyAlignment="1">
      <alignment horizontal="right"/>
    </xf>
    <xf numFmtId="0" fontId="24" fillId="0" borderId="14" xfId="53" applyBorder="1" applyAlignment="1">
      <alignment horizontal="left"/>
    </xf>
    <xf numFmtId="0" fontId="24" fillId="0" borderId="18" xfId="53" applyBorder="1"/>
    <xf numFmtId="169" fontId="24" fillId="0" borderId="19" xfId="53" applyNumberFormat="1" applyBorder="1" applyAlignment="1">
      <alignment horizontal="right"/>
    </xf>
    <xf numFmtId="0" fontId="24" fillId="20" borderId="14" xfId="53" applyFill="1" applyBorder="1" applyAlignment="1">
      <alignment horizontal="left"/>
    </xf>
    <xf numFmtId="0" fontId="24" fillId="20" borderId="18" xfId="53" applyFill="1" applyBorder="1"/>
    <xf numFmtId="169" fontId="24" fillId="20" borderId="19" xfId="53" applyNumberFormat="1" applyFill="1" applyBorder="1" applyAlignment="1">
      <alignment horizontal="right"/>
    </xf>
    <xf numFmtId="0" fontId="24" fillId="0" borderId="20" xfId="53" applyBorder="1" applyAlignment="1">
      <alignment horizontal="left"/>
    </xf>
    <xf numFmtId="0" fontId="43" fillId="0" borderId="26" xfId="53" applyFont="1" applyBorder="1"/>
    <xf numFmtId="169" fontId="43" fillId="0" borderId="19" xfId="53" applyNumberFormat="1" applyFont="1" applyBorder="1" applyAlignment="1">
      <alignment horizontal="right"/>
    </xf>
    <xf numFmtId="0" fontId="24" fillId="20" borderId="17" xfId="53" applyFill="1" applyBorder="1" applyAlignment="1">
      <alignment horizontal="left"/>
    </xf>
    <xf numFmtId="0" fontId="24" fillId="20" borderId="48" xfId="53" applyFill="1" applyBorder="1"/>
    <xf numFmtId="169" fontId="24" fillId="20" borderId="29" xfId="53" applyNumberFormat="1" applyFill="1" applyBorder="1" applyAlignment="1">
      <alignment horizontal="right"/>
    </xf>
    <xf numFmtId="169" fontId="24" fillId="0" borderId="0" xfId="42" applyNumberFormat="1" applyAlignment="1">
      <alignment horizontal="right"/>
    </xf>
    <xf numFmtId="0" fontId="24" fillId="0" borderId="0" xfId="51" applyAlignment="1">
      <alignment horizontal="left"/>
    </xf>
    <xf numFmtId="0" fontId="24" fillId="0" borderId="0" xfId="51"/>
    <xf numFmtId="0" fontId="24" fillId="0" borderId="0" xfId="51" applyAlignment="1">
      <alignment horizontal="center" wrapText="1"/>
    </xf>
    <xf numFmtId="0" fontId="76" fillId="0" borderId="0" xfId="51" applyFont="1" applyAlignment="1">
      <alignment horizontal="left" wrapText="1"/>
    </xf>
    <xf numFmtId="0" fontId="76" fillId="0" borderId="0" xfId="51" applyFont="1" applyAlignment="1">
      <alignment horizontal="right" wrapText="1"/>
    </xf>
    <xf numFmtId="0" fontId="24" fillId="33" borderId="0" xfId="51" applyFill="1"/>
    <xf numFmtId="0" fontId="46" fillId="0" borderId="14" xfId="51" applyFont="1" applyBorder="1" applyAlignment="1" applyProtection="1">
      <alignment horizontal="left" vertical="center" wrapText="1" readingOrder="1"/>
      <protection locked="0"/>
    </xf>
    <xf numFmtId="0" fontId="46" fillId="0" borderId="18" xfId="51" applyFont="1" applyBorder="1" applyAlignment="1" applyProtection="1">
      <alignment horizontal="left" vertical="center" wrapText="1" readingOrder="1"/>
      <protection locked="0"/>
    </xf>
    <xf numFmtId="0" fontId="46" fillId="0" borderId="19" xfId="51" applyFont="1" applyBorder="1" applyAlignment="1" applyProtection="1">
      <alignment horizontal="right" vertical="center" wrapText="1" readingOrder="1"/>
      <protection locked="0"/>
    </xf>
    <xf numFmtId="0" fontId="41" fillId="0" borderId="14" xfId="51" applyFont="1" applyBorder="1" applyAlignment="1" applyProtection="1">
      <alignment horizontal="left" vertical="center" wrapText="1" readingOrder="1"/>
      <protection locked="0"/>
    </xf>
    <xf numFmtId="0" fontId="41" fillId="0" borderId="18" xfId="51" applyFont="1" applyBorder="1" applyAlignment="1" applyProtection="1">
      <alignment vertical="center" wrapText="1" readingOrder="1"/>
      <protection locked="0"/>
    </xf>
    <xf numFmtId="169" fontId="41" fillId="0" borderId="19" xfId="51" applyNumberFormat="1" applyFont="1" applyBorder="1" applyAlignment="1" applyProtection="1">
      <alignment horizontal="right" vertical="center" wrapText="1" readingOrder="1"/>
      <protection locked="0"/>
    </xf>
    <xf numFmtId="169" fontId="41" fillId="14" borderId="19" xfId="51" applyNumberFormat="1" applyFont="1" applyFill="1" applyBorder="1" applyAlignment="1" applyProtection="1">
      <alignment horizontal="right" vertical="center" wrapText="1" readingOrder="1"/>
      <protection locked="0"/>
    </xf>
    <xf numFmtId="49" fontId="41" fillId="0" borderId="14" xfId="51" applyNumberFormat="1" applyFont="1" applyBorder="1" applyAlignment="1" applyProtection="1">
      <alignment horizontal="left" vertical="center" wrapText="1" readingOrder="1"/>
      <protection locked="0"/>
    </xf>
    <xf numFmtId="169" fontId="42" fillId="14" borderId="19" xfId="51" applyNumberFormat="1" applyFont="1" applyFill="1" applyBorder="1" applyAlignment="1" applyProtection="1">
      <alignment horizontal="right" vertical="center" wrapText="1" readingOrder="1"/>
      <protection locked="0"/>
    </xf>
    <xf numFmtId="169" fontId="42" fillId="0" borderId="19" xfId="51" applyNumberFormat="1" applyFont="1" applyBorder="1" applyAlignment="1" applyProtection="1">
      <alignment horizontal="right" vertical="center" wrapText="1" readingOrder="1"/>
      <protection locked="0"/>
    </xf>
    <xf numFmtId="169" fontId="46" fillId="15" borderId="19" xfId="51" applyNumberFormat="1" applyFont="1" applyFill="1" applyBorder="1" applyAlignment="1" applyProtection="1">
      <alignment horizontal="right" vertical="center" wrapText="1" readingOrder="1"/>
      <protection locked="0"/>
    </xf>
    <xf numFmtId="0" fontId="46" fillId="0" borderId="87" xfId="51" applyFont="1" applyBorder="1" applyAlignment="1" applyProtection="1">
      <alignment horizontal="left" vertical="center" wrapText="1" readingOrder="1"/>
      <protection locked="0"/>
    </xf>
    <xf numFmtId="0" fontId="46" fillId="0" borderId="88" xfId="51" applyFont="1" applyBorder="1" applyAlignment="1" applyProtection="1">
      <alignment horizontal="left" vertical="center" wrapText="1" readingOrder="1"/>
      <protection locked="0"/>
    </xf>
    <xf numFmtId="0" fontId="41" fillId="0" borderId="68" xfId="51" applyFont="1" applyBorder="1" applyAlignment="1" applyProtection="1">
      <alignment horizontal="left" vertical="center" wrapText="1" readingOrder="1"/>
      <protection locked="0"/>
    </xf>
    <xf numFmtId="0" fontId="41" fillId="0" borderId="69" xfId="51" applyFont="1" applyBorder="1" applyAlignment="1" applyProtection="1">
      <alignment vertical="center" wrapText="1" readingOrder="1"/>
      <protection locked="0"/>
    </xf>
    <xf numFmtId="169" fontId="41" fillId="14" borderId="89" xfId="51" applyNumberFormat="1" applyFont="1" applyFill="1" applyBorder="1" applyAlignment="1" applyProtection="1">
      <alignment horizontal="right" vertical="center" wrapText="1" readingOrder="1"/>
      <protection locked="0"/>
    </xf>
    <xf numFmtId="169" fontId="42" fillId="0" borderId="89" xfId="51" applyNumberFormat="1" applyFont="1" applyBorder="1" applyAlignment="1" applyProtection="1">
      <alignment horizontal="right" vertical="center" wrapText="1" readingOrder="1"/>
      <protection locked="0"/>
    </xf>
    <xf numFmtId="169" fontId="41" fillId="0" borderId="89" xfId="51" applyNumberFormat="1" applyFont="1" applyBorder="1" applyAlignment="1" applyProtection="1">
      <alignment horizontal="right" vertical="center" wrapText="1" readingOrder="1"/>
      <protection locked="0"/>
    </xf>
    <xf numFmtId="169" fontId="46" fillId="23" borderId="89" xfId="51" applyNumberFormat="1" applyFont="1" applyFill="1" applyBorder="1" applyAlignment="1" applyProtection="1">
      <alignment horizontal="right" vertical="center" wrapText="1" readingOrder="1"/>
      <protection locked="0"/>
    </xf>
    <xf numFmtId="0" fontId="24" fillId="14" borderId="0" xfId="51" applyFill="1"/>
    <xf numFmtId="0" fontId="46" fillId="27" borderId="14" xfId="51" applyFont="1" applyFill="1" applyBorder="1" applyAlignment="1" applyProtection="1">
      <alignment horizontal="left" vertical="center" wrapText="1" readingOrder="1"/>
      <protection locked="0"/>
    </xf>
    <xf numFmtId="0" fontId="46" fillId="27" borderId="18" xfId="51" applyFont="1" applyFill="1" applyBorder="1" applyAlignment="1" applyProtection="1">
      <alignment horizontal="left" vertical="center" wrapText="1" readingOrder="1"/>
      <protection locked="0"/>
    </xf>
    <xf numFmtId="49" fontId="41" fillId="27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41" fillId="27" borderId="18" xfId="0" applyFont="1" applyFill="1" applyBorder="1" applyAlignment="1" applyProtection="1">
      <alignment vertical="center" wrapText="1" readingOrder="1"/>
      <protection locked="0"/>
    </xf>
    <xf numFmtId="169" fontId="41" fillId="27" borderId="19" xfId="51" applyNumberFormat="1" applyFont="1" applyFill="1" applyBorder="1" applyAlignment="1" applyProtection="1">
      <alignment horizontal="right" vertical="center" wrapText="1" readingOrder="1"/>
      <protection locked="0"/>
    </xf>
    <xf numFmtId="0" fontId="41" fillId="27" borderId="14" xfId="51" applyFont="1" applyFill="1" applyBorder="1" applyAlignment="1" applyProtection="1">
      <alignment horizontal="left" vertical="center" wrapText="1" readingOrder="1"/>
      <protection locked="0"/>
    </xf>
    <xf numFmtId="0" fontId="41" fillId="27" borderId="18" xfId="51" applyFont="1" applyFill="1" applyBorder="1" applyAlignment="1" applyProtection="1">
      <alignment vertical="center" wrapText="1" readingOrder="1"/>
      <protection locked="0"/>
    </xf>
    <xf numFmtId="169" fontId="41" fillId="24" borderId="19" xfId="51" applyNumberFormat="1" applyFont="1" applyFill="1" applyBorder="1" applyAlignment="1" applyProtection="1">
      <alignment horizontal="right" vertical="center" wrapText="1" readingOrder="1"/>
      <protection locked="0"/>
    </xf>
    <xf numFmtId="169" fontId="24" fillId="0" borderId="0" xfId="51" applyNumberFormat="1"/>
    <xf numFmtId="0" fontId="41" fillId="27" borderId="68" xfId="51" applyFont="1" applyFill="1" applyBorder="1" applyAlignment="1" applyProtection="1">
      <alignment horizontal="left" vertical="center" wrapText="1" readingOrder="1"/>
      <protection locked="0"/>
    </xf>
    <xf numFmtId="169" fontId="41" fillId="27" borderId="89" xfId="51" applyNumberFormat="1" applyFont="1" applyFill="1" applyBorder="1" applyAlignment="1" applyProtection="1">
      <alignment horizontal="right" vertical="center" wrapText="1" readingOrder="1"/>
      <protection locked="0"/>
    </xf>
    <xf numFmtId="0" fontId="24" fillId="27" borderId="0" xfId="51" applyFill="1"/>
    <xf numFmtId="0" fontId="41" fillId="0" borderId="69" xfId="42" applyFont="1" applyBorder="1" applyAlignment="1" applyProtection="1">
      <alignment vertical="center" wrapText="1" readingOrder="1"/>
      <protection locked="0"/>
    </xf>
    <xf numFmtId="169" fontId="24" fillId="27" borderId="0" xfId="51" applyNumberFormat="1" applyFill="1"/>
    <xf numFmtId="49" fontId="41" fillId="0" borderId="57" xfId="53" applyNumberFormat="1" applyFont="1" applyBorder="1" applyAlignment="1" applyProtection="1">
      <alignment vertical="center" wrapText="1" readingOrder="1"/>
      <protection locked="0"/>
    </xf>
    <xf numFmtId="169" fontId="41" fillId="27" borderId="90" xfId="51" applyNumberFormat="1" applyFont="1" applyFill="1" applyBorder="1" applyAlignment="1" applyProtection="1">
      <alignment horizontal="right" vertical="center" wrapText="1" readingOrder="1"/>
      <protection locked="0"/>
    </xf>
    <xf numFmtId="49" fontId="41" fillId="27" borderId="68" xfId="51" applyNumberFormat="1" applyFont="1" applyFill="1" applyBorder="1" applyAlignment="1" applyProtection="1">
      <alignment horizontal="left" vertical="center" wrapText="1" readingOrder="1"/>
      <protection locked="0"/>
    </xf>
    <xf numFmtId="0" fontId="41" fillId="27" borderId="69" xfId="51" applyFont="1" applyFill="1" applyBorder="1" applyAlignment="1" applyProtection="1">
      <alignment vertical="center" wrapText="1" readingOrder="1"/>
      <protection locked="0"/>
    </xf>
    <xf numFmtId="169" fontId="41" fillId="27" borderId="91" xfId="51" applyNumberFormat="1" applyFont="1" applyFill="1" applyBorder="1" applyAlignment="1" applyProtection="1">
      <alignment horizontal="right" vertical="center" wrapText="1" readingOrder="1"/>
      <protection locked="0"/>
    </xf>
    <xf numFmtId="0" fontId="41" fillId="27" borderId="92" xfId="51" applyFont="1" applyFill="1" applyBorder="1" applyAlignment="1" applyProtection="1">
      <alignment vertical="center" wrapText="1" readingOrder="1"/>
      <protection locked="0"/>
    </xf>
    <xf numFmtId="169" fontId="41" fillId="27" borderId="93" xfId="51" applyNumberFormat="1" applyFont="1" applyFill="1" applyBorder="1" applyAlignment="1" applyProtection="1">
      <alignment horizontal="right" vertical="center" wrapText="1" readingOrder="1"/>
      <protection locked="0"/>
    </xf>
    <xf numFmtId="169" fontId="42" fillId="27" borderId="89" xfId="51" applyNumberFormat="1" applyFont="1" applyFill="1" applyBorder="1" applyAlignment="1" applyProtection="1">
      <alignment horizontal="right" vertical="center" wrapText="1" readingOrder="1"/>
      <protection locked="0"/>
    </xf>
    <xf numFmtId="49" fontId="41" fillId="27" borderId="14" xfId="54" applyNumberFormat="1" applyFont="1" applyFill="1" applyBorder="1" applyAlignment="1" applyProtection="1">
      <alignment horizontal="left" vertical="center" wrapText="1" readingOrder="1"/>
      <protection locked="0"/>
    </xf>
    <xf numFmtId="0" fontId="41" fillId="27" borderId="26" xfId="54" applyFont="1" applyFill="1" applyBorder="1" applyAlignment="1" applyProtection="1">
      <alignment horizontal="left" vertical="center" wrapText="1" readingOrder="1"/>
      <protection locked="0"/>
    </xf>
    <xf numFmtId="169" fontId="41" fillId="27" borderId="19" xfId="54" applyNumberFormat="1" applyFont="1" applyFill="1" applyBorder="1" applyAlignment="1" applyProtection="1">
      <alignment horizontal="right" vertical="center" wrapText="1" readingOrder="1"/>
      <protection locked="0"/>
    </xf>
    <xf numFmtId="169" fontId="42" fillId="27" borderId="19" xfId="54" applyNumberFormat="1" applyFont="1" applyFill="1" applyBorder="1" applyAlignment="1" applyProtection="1">
      <alignment horizontal="right" vertical="center" wrapText="1" readingOrder="1"/>
      <protection locked="0"/>
    </xf>
    <xf numFmtId="0" fontId="24" fillId="34" borderId="62" xfId="51" applyFill="1" applyBorder="1" applyAlignment="1">
      <alignment horizontal="left"/>
    </xf>
    <xf numFmtId="0" fontId="24" fillId="34" borderId="60" xfId="51" applyFill="1" applyBorder="1"/>
    <xf numFmtId="169" fontId="24" fillId="34" borderId="65" xfId="51" applyNumberFormat="1" applyFill="1" applyBorder="1" applyAlignment="1">
      <alignment horizontal="right"/>
    </xf>
    <xf numFmtId="0" fontId="24" fillId="0" borderId="94" xfId="51" applyBorder="1" applyAlignment="1">
      <alignment horizontal="left"/>
    </xf>
    <xf numFmtId="0" fontId="24" fillId="0" borderId="95" xfId="51" applyBorder="1"/>
    <xf numFmtId="0" fontId="24" fillId="0" borderId="34" xfId="51" applyBorder="1" applyAlignment="1">
      <alignment horizontal="right"/>
    </xf>
    <xf numFmtId="0" fontId="24" fillId="0" borderId="16" xfId="54" applyBorder="1" applyAlignment="1">
      <alignment horizontal="left"/>
    </xf>
    <xf numFmtId="0" fontId="24" fillId="0" borderId="14" xfId="54" applyBorder="1" applyAlignment="1">
      <alignment horizontal="left"/>
    </xf>
    <xf numFmtId="0" fontId="24" fillId="0" borderId="18" xfId="54" applyBorder="1"/>
    <xf numFmtId="169" fontId="24" fillId="0" borderId="19" xfId="54" applyNumberFormat="1" applyBorder="1" applyAlignment="1">
      <alignment horizontal="right"/>
    </xf>
    <xf numFmtId="0" fontId="24" fillId="0" borderId="20" xfId="54" applyBorder="1" applyAlignment="1">
      <alignment horizontal="left"/>
    </xf>
    <xf numFmtId="0" fontId="24" fillId="0" borderId="0" xfId="54"/>
    <xf numFmtId="169" fontId="24" fillId="0" borderId="0" xfId="51" applyNumberFormat="1" applyAlignment="1">
      <alignment horizontal="right"/>
    </xf>
    <xf numFmtId="0" fontId="24" fillId="0" borderId="0" xfId="51" applyAlignment="1">
      <alignment horizontal="right"/>
    </xf>
    <xf numFmtId="0" fontId="24" fillId="0" borderId="0" xfId="54" applyAlignment="1">
      <alignment horizontal="left"/>
    </xf>
    <xf numFmtId="166" fontId="84" fillId="0" borderId="0" xfId="43" applyNumberFormat="1" applyFont="1" applyAlignment="1">
      <alignment horizontal="right" vertical="center" wrapText="1"/>
    </xf>
    <xf numFmtId="0" fontId="24" fillId="0" borderId="0" xfId="54" applyAlignment="1">
      <alignment horizontal="right"/>
    </xf>
    <xf numFmtId="0" fontId="47" fillId="0" borderId="0" xfId="54" applyFont="1" applyAlignment="1" applyProtection="1">
      <alignment horizontal="center" vertical="center" wrapText="1" readingOrder="1"/>
      <protection locked="0"/>
    </xf>
    <xf numFmtId="0" fontId="46" fillId="16" borderId="14" xfId="54" applyFont="1" applyFill="1" applyBorder="1" applyAlignment="1" applyProtection="1">
      <alignment wrapText="1" readingOrder="1"/>
      <protection locked="0"/>
    </xf>
    <xf numFmtId="0" fontId="46" fillId="16" borderId="0" xfId="54" applyFont="1" applyFill="1" applyAlignment="1" applyProtection="1">
      <alignment wrapText="1" readingOrder="1"/>
      <protection locked="0"/>
    </xf>
    <xf numFmtId="0" fontId="46" fillId="22" borderId="14" xfId="54" applyFont="1" applyFill="1" applyBorder="1" applyAlignment="1" applyProtection="1">
      <alignment horizontal="left" vertical="center" wrapText="1" readingOrder="1"/>
      <protection locked="0"/>
    </xf>
    <xf numFmtId="0" fontId="85" fillId="22" borderId="18" xfId="54" applyFont="1" applyFill="1" applyBorder="1" applyAlignment="1" applyProtection="1">
      <alignment horizontal="left" vertical="center" wrapText="1" readingOrder="1"/>
      <protection locked="0"/>
    </xf>
    <xf numFmtId="0" fontId="85" fillId="22" borderId="0" xfId="54" applyFont="1" applyFill="1" applyAlignment="1" applyProtection="1">
      <alignment horizontal="right" vertical="center" wrapText="1" readingOrder="1"/>
      <protection locked="0"/>
    </xf>
    <xf numFmtId="0" fontId="41" fillId="0" borderId="14" xfId="54" applyFont="1" applyBorder="1" applyAlignment="1" applyProtection="1">
      <alignment vertical="center" wrapText="1" readingOrder="1"/>
      <protection locked="0"/>
    </xf>
    <xf numFmtId="0" fontId="80" fillId="0" borderId="18" xfId="54" applyFont="1" applyBorder="1" applyAlignment="1" applyProtection="1">
      <alignment horizontal="left" vertical="center" wrapText="1" readingOrder="1"/>
      <protection locked="0"/>
    </xf>
    <xf numFmtId="0" fontId="80" fillId="0" borderId="18" xfId="54" applyFont="1" applyBorder="1" applyAlignment="1" applyProtection="1">
      <alignment vertical="center" wrapText="1" readingOrder="1"/>
      <protection locked="0"/>
    </xf>
    <xf numFmtId="169" fontId="80" fillId="0" borderId="19" xfId="54" applyNumberFormat="1" applyFont="1" applyBorder="1" applyAlignment="1" applyProtection="1">
      <alignment horizontal="right" vertical="center" wrapText="1" readingOrder="1"/>
      <protection locked="0"/>
    </xf>
    <xf numFmtId="169" fontId="80" fillId="0" borderId="0" xfId="54" applyNumberFormat="1" applyFont="1" applyAlignment="1" applyProtection="1">
      <alignment horizontal="right" vertical="center" wrapText="1" readingOrder="1"/>
      <protection locked="0"/>
    </xf>
    <xf numFmtId="167" fontId="24" fillId="0" borderId="0" xfId="31" applyNumberFormat="1" applyFont="1"/>
    <xf numFmtId="167" fontId="24" fillId="0" borderId="0" xfId="54" applyNumberFormat="1"/>
    <xf numFmtId="0" fontId="42" fillId="0" borderId="14" xfId="54" applyFont="1" applyBorder="1" applyAlignment="1" applyProtection="1">
      <alignment vertical="center" wrapText="1" readingOrder="1"/>
      <protection locked="0"/>
    </xf>
    <xf numFmtId="169" fontId="86" fillId="0" borderId="19" xfId="54" applyNumberFormat="1" applyFont="1" applyBorder="1" applyAlignment="1" applyProtection="1">
      <alignment horizontal="right" vertical="center" wrapText="1" readingOrder="1"/>
      <protection locked="0"/>
    </xf>
    <xf numFmtId="169" fontId="86" fillId="0" borderId="0" xfId="54" applyNumberFormat="1" applyFont="1" applyAlignment="1" applyProtection="1">
      <alignment horizontal="right" vertical="center" wrapText="1" readingOrder="1"/>
      <protection locked="0"/>
    </xf>
    <xf numFmtId="0" fontId="43" fillId="0" borderId="0" xfId="54" applyFont="1"/>
    <xf numFmtId="0" fontId="80" fillId="0" borderId="18" xfId="51" applyFont="1" applyBorder="1" applyAlignment="1" applyProtection="1">
      <alignment horizontal="left" vertical="center" wrapText="1" readingOrder="1"/>
      <protection locked="0"/>
    </xf>
    <xf numFmtId="0" fontId="80" fillId="0" borderId="18" xfId="51" applyFont="1" applyBorder="1" applyAlignment="1" applyProtection="1">
      <alignment vertical="center" wrapText="1" readingOrder="1"/>
      <protection locked="0"/>
    </xf>
    <xf numFmtId="169" fontId="85" fillId="15" borderId="19" xfId="54" applyNumberFormat="1" applyFont="1" applyFill="1" applyBorder="1" applyAlignment="1" applyProtection="1">
      <alignment horizontal="right" vertical="center" wrapText="1" readingOrder="1"/>
      <protection locked="0"/>
    </xf>
    <xf numFmtId="169" fontId="85" fillId="15" borderId="0" xfId="54" applyNumberFormat="1" applyFont="1" applyFill="1" applyAlignment="1" applyProtection="1">
      <alignment horizontal="right" vertical="center" wrapText="1" readingOrder="1"/>
      <protection locked="0"/>
    </xf>
    <xf numFmtId="0" fontId="87" fillId="0" borderId="0" xfId="54" applyFont="1"/>
    <xf numFmtId="49" fontId="80" fillId="0" borderId="18" xfId="54" applyNumberFormat="1" applyFont="1" applyBorder="1" applyAlignment="1" applyProtection="1">
      <alignment horizontal="left" vertical="center" wrapText="1" readingOrder="1"/>
      <protection locked="0"/>
    </xf>
    <xf numFmtId="0" fontId="85" fillId="0" borderId="18" xfId="54" quotePrefix="1" applyFont="1" applyBorder="1" applyAlignment="1" applyProtection="1">
      <alignment horizontal="left" vertical="center" wrapText="1" readingOrder="1"/>
      <protection locked="0"/>
    </xf>
    <xf numFmtId="0" fontId="86" fillId="0" borderId="18" xfId="54" applyFont="1" applyBorder="1" applyAlignment="1" applyProtection="1">
      <alignment vertical="center" wrapText="1" readingOrder="1"/>
      <protection locked="0"/>
    </xf>
    <xf numFmtId="169" fontId="85" fillId="0" borderId="19" xfId="54" applyNumberFormat="1" applyFont="1" applyBorder="1" applyAlignment="1" applyProtection="1">
      <alignment horizontal="right" vertical="center" wrapText="1" readingOrder="1"/>
      <protection locked="0"/>
    </xf>
    <xf numFmtId="169" fontId="85" fillId="0" borderId="0" xfId="54" applyNumberFormat="1" applyFont="1" applyAlignment="1" applyProtection="1">
      <alignment horizontal="right" vertical="center" wrapText="1" readingOrder="1"/>
      <protection locked="0"/>
    </xf>
    <xf numFmtId="0" fontId="80" fillId="0" borderId="18" xfId="54" quotePrefix="1" applyFont="1" applyBorder="1" applyAlignment="1" applyProtection="1">
      <alignment horizontal="left" vertical="center" wrapText="1" readingOrder="1"/>
      <protection locked="0"/>
    </xf>
    <xf numFmtId="49" fontId="88" fillId="0" borderId="18" xfId="54" applyNumberFormat="1" applyFont="1" applyBorder="1" applyAlignment="1" applyProtection="1">
      <alignment horizontal="left" vertical="center" wrapText="1" readingOrder="1"/>
      <protection locked="0"/>
    </xf>
    <xf numFmtId="196" fontId="24" fillId="27" borderId="19" xfId="54" applyNumberFormat="1" applyFill="1" applyBorder="1" applyAlignment="1">
      <alignment horizontal="right"/>
    </xf>
    <xf numFmtId="196" fontId="24" fillId="27" borderId="0" xfId="54" applyNumberFormat="1" applyFill="1" applyAlignment="1">
      <alignment horizontal="right"/>
    </xf>
    <xf numFmtId="169" fontId="24" fillId="27" borderId="19" xfId="56" applyNumberFormat="1" applyFill="1" applyBorder="1" applyAlignment="1" applyProtection="1">
      <alignment horizontal="right" vertical="center" wrapText="1" readingOrder="1"/>
      <protection locked="0"/>
    </xf>
    <xf numFmtId="169" fontId="24" fillId="27" borderId="0" xfId="56" applyNumberFormat="1" applyFill="1" applyAlignment="1" applyProtection="1">
      <alignment horizontal="right" vertical="center" wrapText="1" readingOrder="1"/>
      <protection locked="0"/>
    </xf>
    <xf numFmtId="0" fontId="89" fillId="0" borderId="14" xfId="54" applyFont="1" applyBorder="1" applyAlignment="1" applyProtection="1">
      <alignment vertical="center" wrapText="1" readingOrder="1"/>
      <protection locked="0"/>
    </xf>
    <xf numFmtId="169" fontId="23" fillId="27" borderId="19" xfId="56" applyNumberFormat="1" applyFont="1" applyFill="1" applyBorder="1" applyAlignment="1" applyProtection="1">
      <alignment horizontal="right" vertical="center" wrapText="1" readingOrder="1"/>
      <protection locked="0"/>
    </xf>
    <xf numFmtId="169" fontId="23" fillId="27" borderId="0" xfId="56" applyNumberFormat="1" applyFont="1" applyFill="1" applyAlignment="1" applyProtection="1">
      <alignment horizontal="right" vertical="center" wrapText="1" readingOrder="1"/>
      <protection locked="0"/>
    </xf>
    <xf numFmtId="0" fontId="90" fillId="0" borderId="0" xfId="54" applyFont="1"/>
    <xf numFmtId="0" fontId="91" fillId="0" borderId="0" xfId="54" applyFont="1"/>
    <xf numFmtId="0" fontId="23" fillId="0" borderId="0" xfId="0" applyFont="1"/>
    <xf numFmtId="169" fontId="85" fillId="23" borderId="19" xfId="54" applyNumberFormat="1" applyFont="1" applyFill="1" applyBorder="1" applyAlignment="1" applyProtection="1">
      <alignment horizontal="right" vertical="center" wrapText="1" readingOrder="1"/>
      <protection locked="0"/>
    </xf>
    <xf numFmtId="169" fontId="85" fillId="23" borderId="0" xfId="54" applyNumberFormat="1" applyFont="1" applyFill="1" applyAlignment="1" applyProtection="1">
      <alignment horizontal="right" vertical="center" wrapText="1" readingOrder="1"/>
      <protection locked="0"/>
    </xf>
    <xf numFmtId="0" fontId="48" fillId="35" borderId="18" xfId="54" applyFont="1" applyFill="1" applyBorder="1" applyAlignment="1" applyProtection="1">
      <alignment horizontal="left" wrapText="1" readingOrder="1"/>
      <protection locked="0"/>
    </xf>
    <xf numFmtId="0" fontId="98" fillId="35" borderId="18" xfId="0" applyFont="1" applyFill="1" applyBorder="1"/>
    <xf numFmtId="0" fontId="24" fillId="35" borderId="18" xfId="54" applyFill="1" applyBorder="1" applyAlignment="1">
      <alignment horizontal="right"/>
    </xf>
    <xf numFmtId="0" fontId="48" fillId="35" borderId="0" xfId="54" applyFont="1" applyFill="1" applyAlignment="1" applyProtection="1">
      <alignment horizontal="right" wrapText="1" readingOrder="1"/>
      <protection locked="0"/>
    </xf>
    <xf numFmtId="49" fontId="71" fillId="27" borderId="0" xfId="0" applyNumberFormat="1" applyFont="1" applyFill="1"/>
    <xf numFmtId="3" fontId="24" fillId="0" borderId="0" xfId="54" applyNumberFormat="1"/>
    <xf numFmtId="0" fontId="92" fillId="0" borderId="14" xfId="54" quotePrefix="1" applyFont="1" applyBorder="1" applyAlignment="1" applyProtection="1">
      <alignment vertical="center" wrapText="1" readingOrder="1"/>
      <protection locked="0"/>
    </xf>
    <xf numFmtId="169" fontId="80" fillId="27" borderId="19" xfId="56" applyNumberFormat="1" applyFont="1" applyFill="1" applyBorder="1" applyAlignment="1" applyProtection="1">
      <alignment horizontal="right" vertical="center" wrapText="1" readingOrder="1"/>
      <protection locked="0"/>
    </xf>
    <xf numFmtId="169" fontId="80" fillId="27" borderId="0" xfId="56" applyNumberFormat="1" applyFont="1" applyFill="1" applyAlignment="1" applyProtection="1">
      <alignment horizontal="right" vertical="center" wrapText="1" readingOrder="1"/>
      <protection locked="0"/>
    </xf>
    <xf numFmtId="169" fontId="85" fillId="27" borderId="19" xfId="56" applyNumberFormat="1" applyFont="1" applyFill="1" applyBorder="1" applyAlignment="1" applyProtection="1">
      <alignment horizontal="right" vertical="center" wrapText="1" readingOrder="1"/>
      <protection locked="0"/>
    </xf>
    <xf numFmtId="169" fontId="85" fillId="27" borderId="0" xfId="56" applyNumberFormat="1" applyFont="1" applyFill="1" applyAlignment="1" applyProtection="1">
      <alignment horizontal="right" vertical="center" wrapText="1" readingOrder="1"/>
      <protection locked="0"/>
    </xf>
    <xf numFmtId="0" fontId="23" fillId="0" borderId="14" xfId="54" applyFont="1" applyBorder="1"/>
    <xf numFmtId="169" fontId="23" fillId="25" borderId="19" xfId="54" applyNumberFormat="1" applyFont="1" applyFill="1" applyBorder="1" applyAlignment="1">
      <alignment horizontal="right"/>
    </xf>
    <xf numFmtId="169" fontId="23" fillId="25" borderId="0" xfId="54" applyNumberFormat="1" applyFont="1" applyFill="1" applyAlignment="1">
      <alignment horizontal="right"/>
    </xf>
    <xf numFmtId="0" fontId="24" fillId="0" borderId="14" xfId="54" applyBorder="1"/>
    <xf numFmtId="0" fontId="24" fillId="0" borderId="18" xfId="54" applyBorder="1" applyAlignment="1">
      <alignment horizontal="left"/>
    </xf>
    <xf numFmtId="169" fontId="24" fillId="0" borderId="0" xfId="54" applyNumberFormat="1" applyAlignment="1">
      <alignment horizontal="right"/>
    </xf>
    <xf numFmtId="169" fontId="24" fillId="0" borderId="0" xfId="54" applyNumberFormat="1"/>
    <xf numFmtId="0" fontId="24" fillId="20" borderId="18" xfId="54" applyFill="1" applyBorder="1" applyAlignment="1">
      <alignment horizontal="left"/>
    </xf>
    <xf numFmtId="0" fontId="24" fillId="20" borderId="18" xfId="54" applyFill="1" applyBorder="1"/>
    <xf numFmtId="169" fontId="24" fillId="20" borderId="19" xfId="54" applyNumberFormat="1" applyFill="1" applyBorder="1" applyAlignment="1">
      <alignment horizontal="right"/>
    </xf>
    <xf numFmtId="169" fontId="24" fillId="20" borderId="0" xfId="54" applyNumberFormat="1" applyFill="1" applyAlignment="1">
      <alignment horizontal="right"/>
    </xf>
    <xf numFmtId="0" fontId="24" fillId="0" borderId="17" xfId="54" applyBorder="1"/>
    <xf numFmtId="0" fontId="24" fillId="20" borderId="48" xfId="54" applyFill="1" applyBorder="1" applyAlignment="1">
      <alignment horizontal="left"/>
    </xf>
    <xf numFmtId="0" fontId="24" fillId="20" borderId="48" xfId="54" applyFill="1" applyBorder="1"/>
    <xf numFmtId="169" fontId="24" fillId="20" borderId="29" xfId="54" applyNumberFormat="1" applyFill="1" applyBorder="1" applyAlignment="1">
      <alignment horizontal="right"/>
    </xf>
    <xf numFmtId="0" fontId="24" fillId="0" borderId="0" xfId="45" applyAlignment="1">
      <alignment horizontal="left"/>
    </xf>
    <xf numFmtId="0" fontId="24" fillId="0" borderId="0" xfId="45"/>
    <xf numFmtId="0" fontId="24" fillId="0" borderId="0" xfId="45" applyAlignment="1">
      <alignment horizontal="right"/>
    </xf>
    <xf numFmtId="0" fontId="24" fillId="27" borderId="0" xfId="45" applyFill="1"/>
    <xf numFmtId="0" fontId="24" fillId="27" borderId="0" xfId="42" applyFill="1"/>
    <xf numFmtId="0" fontId="46" fillId="22" borderId="16" xfId="45" applyFont="1" applyFill="1" applyBorder="1" applyAlignment="1" applyProtection="1">
      <alignment horizontal="left" vertical="center" wrapText="1" readingOrder="1"/>
      <protection locked="0"/>
    </xf>
    <xf numFmtId="0" fontId="46" fillId="22" borderId="37" xfId="45" applyFont="1" applyFill="1" applyBorder="1" applyAlignment="1" applyProtection="1">
      <alignment horizontal="left" vertical="center" wrapText="1" readingOrder="1"/>
      <protection locked="0"/>
    </xf>
    <xf numFmtId="0" fontId="41" fillId="0" borderId="14" xfId="45" applyFont="1" applyBorder="1" applyAlignment="1" applyProtection="1">
      <alignment horizontal="left" vertical="center" wrapText="1" readingOrder="1"/>
      <protection locked="0"/>
    </xf>
    <xf numFmtId="0" fontId="41" fillId="0" borderId="18" xfId="45" applyFont="1" applyBorder="1" applyAlignment="1" applyProtection="1">
      <alignment vertical="center" wrapText="1" readingOrder="1"/>
      <protection locked="0"/>
    </xf>
    <xf numFmtId="169" fontId="41" fillId="0" borderId="19" xfId="45" applyNumberFormat="1" applyFont="1" applyBorder="1" applyAlignment="1" applyProtection="1">
      <alignment horizontal="right" vertical="center" wrapText="1" readingOrder="1"/>
      <protection locked="0"/>
    </xf>
    <xf numFmtId="169" fontId="42" fillId="0" borderId="19" xfId="45" applyNumberFormat="1" applyFont="1" applyBorder="1" applyAlignment="1" applyProtection="1">
      <alignment horizontal="right" vertical="center" wrapText="1" readingOrder="1"/>
      <protection locked="0"/>
    </xf>
    <xf numFmtId="169" fontId="65" fillId="15" borderId="19" xfId="45" applyNumberFormat="1" applyFont="1" applyFill="1" applyBorder="1" applyAlignment="1" applyProtection="1">
      <alignment horizontal="right" vertical="center" wrapText="1" readingOrder="1"/>
      <protection locked="0"/>
    </xf>
    <xf numFmtId="169" fontId="24" fillId="0" borderId="0" xfId="45" applyNumberFormat="1"/>
    <xf numFmtId="169" fontId="65" fillId="26" borderId="29" xfId="45" applyNumberFormat="1" applyFont="1" applyFill="1" applyBorder="1" applyAlignment="1" applyProtection="1">
      <alignment horizontal="right" vertical="center" wrapText="1" readingOrder="1"/>
      <protection locked="0"/>
    </xf>
    <xf numFmtId="196" fontId="24" fillId="0" borderId="19" xfId="45" applyNumberFormat="1" applyBorder="1"/>
    <xf numFmtId="169" fontId="42" fillId="0" borderId="53" xfId="45" applyNumberFormat="1" applyFont="1" applyBorder="1" applyAlignment="1" applyProtection="1">
      <alignment horizontal="right" vertical="center" wrapText="1" readingOrder="1"/>
      <protection locked="0"/>
    </xf>
    <xf numFmtId="0" fontId="24" fillId="0" borderId="0" xfId="53"/>
    <xf numFmtId="0" fontId="24" fillId="0" borderId="55" xfId="53" applyBorder="1" applyAlignment="1">
      <alignment horizontal="right"/>
    </xf>
    <xf numFmtId="0" fontId="24" fillId="0" borderId="19" xfId="53" applyBorder="1" applyAlignment="1">
      <alignment horizontal="right"/>
    </xf>
    <xf numFmtId="169" fontId="24" fillId="0" borderId="0" xfId="45" applyNumberFormat="1" applyAlignment="1">
      <alignment horizontal="right"/>
    </xf>
    <xf numFmtId="0" fontId="41" fillId="0" borderId="38" xfId="45" applyFont="1" applyBorder="1" applyAlignment="1" applyProtection="1">
      <alignment vertical="center" wrapText="1" readingOrder="1"/>
      <protection locked="0"/>
    </xf>
    <xf numFmtId="0" fontId="41" fillId="0" borderId="18" xfId="45" applyFont="1" applyBorder="1" applyAlignment="1" applyProtection="1">
      <alignment horizontal="left" vertical="center" wrapText="1" readingOrder="1"/>
      <protection locked="0"/>
    </xf>
    <xf numFmtId="0" fontId="46" fillId="16" borderId="0" xfId="54" applyFont="1" applyFill="1" applyBorder="1" applyAlignment="1" applyProtection="1">
      <alignment wrapText="1" readingOrder="1"/>
      <protection locked="0"/>
    </xf>
    <xf numFmtId="49" fontId="41" fillId="0" borderId="68" xfId="51" applyNumberFormat="1" applyFont="1" applyBorder="1" applyAlignment="1" applyProtection="1">
      <alignment horizontal="left" vertical="center" wrapText="1" readingOrder="1"/>
      <protection locked="0"/>
    </xf>
    <xf numFmtId="0" fontId="41" fillId="0" borderId="96" xfId="51" applyFont="1" applyBorder="1" applyAlignment="1" applyProtection="1">
      <alignment vertical="center" wrapText="1" readingOrder="1"/>
      <protection locked="0"/>
    </xf>
    <xf numFmtId="0" fontId="41" fillId="0" borderId="97" xfId="51" applyFont="1" applyBorder="1" applyAlignment="1" applyProtection="1">
      <alignment horizontal="left" vertical="center" wrapText="1" readingOrder="1"/>
      <protection locked="0"/>
    </xf>
    <xf numFmtId="169" fontId="42" fillId="27" borderId="55" xfId="51" applyNumberFormat="1" applyFont="1" applyFill="1" applyBorder="1" applyAlignment="1" applyProtection="1">
      <alignment horizontal="right" vertical="center" wrapText="1" readingOrder="1"/>
      <protection locked="0"/>
    </xf>
    <xf numFmtId="169" fontId="46" fillId="36" borderId="26" xfId="51" applyNumberFormat="1" applyFont="1" applyFill="1" applyBorder="1" applyAlignment="1" applyProtection="1">
      <alignment horizontal="right" vertical="center" wrapText="1" readingOrder="1"/>
      <protection locked="0"/>
    </xf>
    <xf numFmtId="169" fontId="46" fillId="36" borderId="19" xfId="51" applyNumberFormat="1" applyFont="1" applyFill="1" applyBorder="1" applyAlignment="1" applyProtection="1">
      <alignment horizontal="right" vertical="center" wrapText="1" readingOrder="1"/>
      <protection locked="0"/>
    </xf>
    <xf numFmtId="0" fontId="41" fillId="0" borderId="87" xfId="51" applyFont="1" applyBorder="1" applyAlignment="1" applyProtection="1">
      <alignment horizontal="left" vertical="center" wrapText="1" readingOrder="1"/>
      <protection locked="0"/>
    </xf>
    <xf numFmtId="0" fontId="41" fillId="0" borderId="88" xfId="51" applyFont="1" applyBorder="1" applyAlignment="1" applyProtection="1">
      <alignment vertical="center" wrapText="1" readingOrder="1"/>
      <protection locked="0"/>
    </xf>
    <xf numFmtId="0" fontId="46" fillId="0" borderId="98" xfId="51" applyFont="1" applyBorder="1" applyAlignment="1" applyProtection="1">
      <alignment horizontal="left" vertical="center" wrapText="1" readingOrder="1"/>
      <protection locked="0"/>
    </xf>
    <xf numFmtId="0" fontId="46" fillId="0" borderId="99" xfId="51" applyFont="1" applyBorder="1" applyAlignment="1" applyProtection="1">
      <alignment horizontal="left" vertical="center" wrapText="1" readingOrder="1"/>
      <protection locked="0"/>
    </xf>
    <xf numFmtId="0" fontId="46" fillId="0" borderId="22" xfId="51" applyFont="1" applyBorder="1" applyAlignment="1" applyProtection="1">
      <alignment horizontal="right" vertical="center" wrapText="1" readingOrder="1"/>
      <protection locked="0"/>
    </xf>
    <xf numFmtId="166" fontId="31" fillId="27" borderId="42" xfId="43" applyNumberFormat="1" applyFont="1" applyFill="1" applyBorder="1" applyAlignment="1">
      <alignment horizontal="center" vertical="center" wrapText="1"/>
    </xf>
    <xf numFmtId="169" fontId="24" fillId="0" borderId="100" xfId="54" applyNumberFormat="1" applyBorder="1" applyAlignment="1">
      <alignment horizontal="right"/>
    </xf>
    <xf numFmtId="169" fontId="24" fillId="0" borderId="67" xfId="54" applyNumberFormat="1" applyBorder="1" applyAlignment="1">
      <alignment horizontal="right"/>
    </xf>
    <xf numFmtId="0" fontId="24" fillId="0" borderId="67" xfId="54" applyBorder="1"/>
    <xf numFmtId="169" fontId="24" fillId="23" borderId="67" xfId="54" applyNumberFormat="1" applyFill="1" applyBorder="1" applyAlignment="1">
      <alignment horizontal="right"/>
    </xf>
    <xf numFmtId="0" fontId="24" fillId="0" borderId="74" xfId="54" applyBorder="1"/>
    <xf numFmtId="0" fontId="43" fillId="0" borderId="67" xfId="54" applyFont="1" applyBorder="1"/>
    <xf numFmtId="169" fontId="24" fillId="15" borderId="70" xfId="54" applyNumberFormat="1" applyFill="1" applyBorder="1" applyAlignment="1">
      <alignment horizontal="right"/>
    </xf>
    <xf numFmtId="0" fontId="46" fillId="0" borderId="101" xfId="51" applyFont="1" applyBorder="1" applyAlignment="1" applyProtection="1">
      <alignment horizontal="left" vertical="center" wrapText="1" readingOrder="1"/>
      <protection locked="0"/>
    </xf>
    <xf numFmtId="0" fontId="46" fillId="0" borderId="100" xfId="51" applyFont="1" applyBorder="1" applyAlignment="1" applyProtection="1">
      <alignment horizontal="right" vertical="center" wrapText="1" readingOrder="1"/>
      <protection locked="0"/>
    </xf>
    <xf numFmtId="0" fontId="24" fillId="0" borderId="28" xfId="54" applyBorder="1"/>
    <xf numFmtId="0" fontId="24" fillId="0" borderId="19" xfId="54" applyBorder="1"/>
    <xf numFmtId="0" fontId="24" fillId="0" borderId="55" xfId="54" applyBorder="1"/>
    <xf numFmtId="0" fontId="43" fillId="0" borderId="19" xfId="54" applyFont="1" applyBorder="1"/>
    <xf numFmtId="0" fontId="24" fillId="0" borderId="74" xfId="54" applyBorder="1" applyAlignment="1">
      <alignment horizontal="right"/>
    </xf>
    <xf numFmtId="169" fontId="43" fillId="0" borderId="67" xfId="54" applyNumberFormat="1" applyFont="1" applyBorder="1" applyAlignment="1">
      <alignment horizontal="right"/>
    </xf>
    <xf numFmtId="0" fontId="24" fillId="0" borderId="67" xfId="54" applyBorder="1" applyAlignment="1">
      <alignment horizontal="right"/>
    </xf>
    <xf numFmtId="169" fontId="41" fillId="27" borderId="26" xfId="51" applyNumberFormat="1" applyFont="1" applyFill="1" applyBorder="1" applyAlignment="1" applyProtection="1">
      <alignment horizontal="right" vertical="center" wrapText="1" readingOrder="1"/>
      <protection locked="0"/>
    </xf>
    <xf numFmtId="169" fontId="24" fillId="0" borderId="67" xfId="54" applyNumberFormat="1" applyBorder="1"/>
    <xf numFmtId="166" fontId="27" fillId="27" borderId="0" xfId="43" applyNumberFormat="1" applyFont="1" applyFill="1" applyAlignment="1">
      <alignment horizontal="right" vertical="center" wrapText="1"/>
    </xf>
    <xf numFmtId="0" fontId="0" fillId="27" borderId="0" xfId="0" applyFill="1" applyAlignment="1">
      <alignment vertical="center" wrapText="1"/>
    </xf>
    <xf numFmtId="3" fontId="34" fillId="27" borderId="28" xfId="43" applyNumberFormat="1" applyFont="1" applyFill="1" applyBorder="1" applyAlignment="1" applyProtection="1">
      <alignment horizontal="left" vertical="center" wrapText="1" indent="1"/>
      <protection locked="0"/>
    </xf>
    <xf numFmtId="166" fontId="64" fillId="27" borderId="14" xfId="43" applyNumberFormat="1" applyFont="1" applyFill="1" applyBorder="1" applyAlignment="1">
      <alignment horizontal="left" vertical="center" wrapText="1" indent="1"/>
    </xf>
    <xf numFmtId="3" fontId="34" fillId="27" borderId="31" xfId="43" applyNumberFormat="1" applyFont="1" applyFill="1" applyBorder="1" applyAlignment="1" applyProtection="1">
      <alignment horizontal="left" vertical="center" wrapText="1" indent="1"/>
      <protection locked="0"/>
    </xf>
    <xf numFmtId="9" fontId="30" fillId="27" borderId="33" xfId="43" applyNumberFormat="1" applyFont="1" applyFill="1" applyBorder="1" applyAlignment="1">
      <alignment horizontal="left" vertical="center" wrapText="1" indent="1"/>
    </xf>
    <xf numFmtId="3" fontId="30" fillId="27" borderId="33" xfId="43" applyNumberFormat="1" applyFont="1" applyFill="1" applyBorder="1" applyAlignment="1">
      <alignment horizontal="left" vertical="center" wrapText="1" indent="1"/>
    </xf>
    <xf numFmtId="3" fontId="30" fillId="27" borderId="54" xfId="43" applyNumberFormat="1" applyFont="1" applyFill="1" applyBorder="1" applyAlignment="1">
      <alignment horizontal="left" vertical="center" wrapText="1" indent="1"/>
    </xf>
    <xf numFmtId="166" fontId="99" fillId="27" borderId="0" xfId="43" applyNumberFormat="1" applyFont="1" applyFill="1" applyBorder="1" applyAlignment="1">
      <alignment vertical="center" wrapText="1"/>
    </xf>
    <xf numFmtId="166" fontId="99" fillId="27" borderId="0" xfId="43" applyNumberFormat="1" applyFont="1" applyFill="1" applyAlignment="1">
      <alignment vertical="center" wrapText="1"/>
    </xf>
    <xf numFmtId="166" fontId="100" fillId="27" borderId="0" xfId="43" applyNumberFormat="1" applyFont="1" applyFill="1" applyAlignment="1">
      <alignment horizontal="center" vertical="center" wrapText="1"/>
    </xf>
    <xf numFmtId="166" fontId="101" fillId="27" borderId="0" xfId="43" applyNumberFormat="1" applyFont="1" applyFill="1" applyAlignment="1">
      <alignment vertical="center" wrapText="1"/>
    </xf>
    <xf numFmtId="9" fontId="31" fillId="27" borderId="25" xfId="43" applyNumberFormat="1" applyFont="1" applyFill="1" applyBorder="1" applyAlignment="1">
      <alignment horizontal="center" vertical="center" wrapText="1"/>
    </xf>
    <xf numFmtId="9" fontId="34" fillId="0" borderId="64" xfId="43" applyNumberFormat="1" applyFont="1" applyBorder="1" applyAlignment="1" applyProtection="1">
      <alignment horizontal="right" vertical="center" wrapText="1" indent="1"/>
      <protection locked="0"/>
    </xf>
    <xf numFmtId="9" fontId="33" fillId="0" borderId="25" xfId="43" applyNumberFormat="1" applyFont="1" applyBorder="1" applyAlignment="1">
      <alignment horizontal="right" vertical="center" wrapText="1" indent="1"/>
    </xf>
    <xf numFmtId="9" fontId="36" fillId="0" borderId="55" xfId="43" applyNumberFormat="1" applyFont="1" applyBorder="1" applyAlignment="1" applyProtection="1">
      <alignment horizontal="right" vertical="center" wrapText="1" indent="1"/>
      <protection locked="0"/>
    </xf>
    <xf numFmtId="9" fontId="36" fillId="0" borderId="102" xfId="43" applyNumberFormat="1" applyFont="1" applyBorder="1" applyAlignment="1" applyProtection="1">
      <alignment horizontal="right" vertical="center" wrapText="1" indent="1"/>
      <protection locked="0"/>
    </xf>
    <xf numFmtId="9" fontId="34" fillId="0" borderId="102" xfId="43" applyNumberFormat="1" applyFont="1" applyBorder="1" applyAlignment="1" applyProtection="1">
      <alignment horizontal="right" vertical="center" wrapText="1" indent="1"/>
      <protection locked="0"/>
    </xf>
    <xf numFmtId="9" fontId="36" fillId="0" borderId="63" xfId="43" applyNumberFormat="1" applyFont="1" applyBorder="1" applyAlignment="1" applyProtection="1">
      <alignment horizontal="right" vertical="center" wrapText="1" indent="1"/>
      <protection locked="0"/>
    </xf>
    <xf numFmtId="9" fontId="36" fillId="0" borderId="103" xfId="43" applyNumberFormat="1" applyFont="1" applyBorder="1" applyAlignment="1" applyProtection="1">
      <alignment horizontal="right" vertical="center" wrapText="1" indent="1"/>
      <protection locked="0"/>
    </xf>
    <xf numFmtId="9" fontId="33" fillId="0" borderId="65" xfId="43" applyNumberFormat="1" applyFont="1" applyBorder="1" applyAlignment="1">
      <alignment horizontal="right" vertical="center" wrapText="1" indent="1"/>
    </xf>
    <xf numFmtId="0" fontId="24" fillId="16" borderId="0" xfId="42" applyFill="1" applyBorder="1" applyAlignment="1">
      <alignment readingOrder="1"/>
    </xf>
    <xf numFmtId="49" fontId="83" fillId="0" borderId="57" xfId="53" applyNumberFormat="1" applyFont="1" applyBorder="1" applyAlignment="1">
      <alignment horizontal="left"/>
    </xf>
    <xf numFmtId="0" fontId="83" fillId="0" borderId="18" xfId="53" applyFont="1" applyBorder="1" applyAlignment="1">
      <alignment horizontal="left"/>
    </xf>
    <xf numFmtId="0" fontId="41" fillId="0" borderId="38" xfId="42" applyFont="1" applyBorder="1" applyAlignment="1" applyProtection="1">
      <alignment vertical="center" wrapText="1" readingOrder="1"/>
      <protection locked="0"/>
    </xf>
    <xf numFmtId="0" fontId="41" fillId="0" borderId="18" xfId="42" applyFont="1" applyBorder="1" applyAlignment="1" applyProtection="1">
      <alignment horizontal="left" vertical="center" wrapText="1" readingOrder="1"/>
      <protection locked="0"/>
    </xf>
    <xf numFmtId="169" fontId="42" fillId="37" borderId="19" xfId="42" applyNumberFormat="1" applyFont="1" applyFill="1" applyBorder="1" applyAlignment="1" applyProtection="1">
      <alignment horizontal="right" vertical="center" wrapText="1" readingOrder="1"/>
      <protection locked="0"/>
    </xf>
    <xf numFmtId="166" fontId="43" fillId="0" borderId="0" xfId="43" applyNumberFormat="1" applyFont="1" applyAlignment="1">
      <alignment horizontal="right" vertical="center" wrapText="1"/>
    </xf>
    <xf numFmtId="0" fontId="24" fillId="0" borderId="0" xfId="0" applyFont="1" applyAlignment="1">
      <alignment vertical="center"/>
    </xf>
    <xf numFmtId="0" fontId="24" fillId="27" borderId="0" xfId="53" applyFill="1" applyAlignment="1">
      <alignment vertical="center"/>
    </xf>
    <xf numFmtId="0" fontId="24" fillId="0" borderId="0" xfId="0" applyFont="1" applyAlignment="1">
      <alignment horizontal="center" vertical="center"/>
    </xf>
    <xf numFmtId="0" fontId="80" fillId="0" borderId="0" xfId="53" applyFont="1" applyAlignment="1" applyProtection="1">
      <alignment horizontal="center" vertical="center" wrapText="1" readingOrder="1"/>
      <protection locked="0"/>
    </xf>
    <xf numFmtId="0" fontId="24" fillId="0" borderId="0" xfId="53" applyAlignment="1">
      <alignment horizontal="right" vertical="center"/>
    </xf>
    <xf numFmtId="0" fontId="0" fillId="0" borderId="0" xfId="0" applyAlignment="1">
      <alignment readingOrder="1"/>
    </xf>
    <xf numFmtId="0" fontId="85" fillId="22" borderId="18" xfId="53" applyFont="1" applyFill="1" applyBorder="1" applyAlignment="1" applyProtection="1">
      <alignment vertical="center" wrapText="1" readingOrder="1"/>
      <protection locked="0"/>
    </xf>
    <xf numFmtId="0" fontId="85" fillId="22" borderId="18" xfId="53" applyFont="1" applyFill="1" applyBorder="1" applyAlignment="1" applyProtection="1">
      <alignment horizontal="left" vertical="center" wrapText="1" readingOrder="1"/>
      <protection locked="0"/>
    </xf>
    <xf numFmtId="196" fontId="85" fillId="22" borderId="18" xfId="53" applyNumberFormat="1" applyFont="1" applyFill="1" applyBorder="1" applyAlignment="1" applyProtection="1">
      <alignment horizontal="right" vertical="center" wrapText="1" readingOrder="1"/>
      <protection locked="0"/>
    </xf>
    <xf numFmtId="0" fontId="23" fillId="27" borderId="18" xfId="53" applyFont="1" applyFill="1" applyBorder="1" applyAlignment="1">
      <alignment vertical="center"/>
    </xf>
    <xf numFmtId="0" fontId="23" fillId="0" borderId="18" xfId="0" applyFont="1" applyBorder="1" applyAlignment="1">
      <alignment horizontal="center" vertical="center"/>
    </xf>
    <xf numFmtId="49" fontId="80" fillId="0" borderId="18" xfId="53" applyNumberFormat="1" applyFont="1" applyBorder="1" applyAlignment="1" applyProtection="1">
      <alignment vertical="center" wrapText="1" readingOrder="1"/>
      <protection locked="0"/>
    </xf>
    <xf numFmtId="0" fontId="80" fillId="0" borderId="18" xfId="53" applyFont="1" applyBorder="1" applyAlignment="1" applyProtection="1">
      <alignment vertical="center" wrapText="1" readingOrder="1"/>
      <protection locked="0"/>
    </xf>
    <xf numFmtId="196" fontId="80" fillId="0" borderId="18" xfId="53" applyNumberFormat="1" applyFont="1" applyBorder="1" applyAlignment="1" applyProtection="1">
      <alignment horizontal="right" vertical="center" wrapText="1" readingOrder="1"/>
      <protection locked="0"/>
    </xf>
    <xf numFmtId="0" fontId="24" fillId="0" borderId="18" xfId="53" applyBorder="1" applyAlignment="1">
      <alignment vertical="center"/>
    </xf>
    <xf numFmtId="9" fontId="24" fillId="0" borderId="18" xfId="68" applyFont="1" applyBorder="1" applyAlignment="1">
      <alignment horizontal="center" vertical="center"/>
    </xf>
    <xf numFmtId="196" fontId="85" fillId="28" borderId="18" xfId="53" applyNumberFormat="1" applyFont="1" applyFill="1" applyBorder="1" applyAlignment="1" applyProtection="1">
      <alignment horizontal="right" vertical="center" wrapText="1" readingOrder="1"/>
      <protection locked="0"/>
    </xf>
    <xf numFmtId="9" fontId="23" fillId="28" borderId="18" xfId="68" applyFont="1" applyFill="1" applyBorder="1" applyAlignment="1">
      <alignment horizontal="center" vertical="center"/>
    </xf>
    <xf numFmtId="196" fontId="80" fillId="27" borderId="18" xfId="53" applyNumberFormat="1" applyFont="1" applyFill="1" applyBorder="1" applyAlignment="1" applyProtection="1">
      <alignment horizontal="right" vertical="center" wrapText="1" readingOrder="1"/>
      <protection locked="0"/>
    </xf>
    <xf numFmtId="196" fontId="24" fillId="27" borderId="18" xfId="0" applyNumberFormat="1" applyFont="1" applyFill="1" applyBorder="1" applyAlignment="1">
      <alignment vertical="center"/>
    </xf>
    <xf numFmtId="202" fontId="24" fillId="0" borderId="18" xfId="53" applyNumberFormat="1" applyBorder="1" applyAlignment="1">
      <alignment vertical="center"/>
    </xf>
    <xf numFmtId="0" fontId="43" fillId="0" borderId="0" xfId="53" applyFont="1"/>
    <xf numFmtId="196" fontId="24" fillId="0" borderId="18" xfId="53" applyNumberFormat="1" applyBorder="1" applyAlignment="1">
      <alignment vertical="center"/>
    </xf>
    <xf numFmtId="202" fontId="24" fillId="0" borderId="18" xfId="0" applyNumberFormat="1" applyFont="1" applyBorder="1" applyAlignment="1">
      <alignment vertical="center" wrapText="1"/>
    </xf>
    <xf numFmtId="0" fontId="80" fillId="0" borderId="18" xfId="56" applyFont="1" applyBorder="1" applyAlignment="1" applyProtection="1">
      <alignment vertical="center" wrapText="1" readingOrder="1"/>
      <protection locked="0"/>
    </xf>
    <xf numFmtId="196" fontId="80" fillId="27" borderId="18" xfId="56" applyNumberFormat="1" applyFont="1" applyFill="1" applyBorder="1" applyAlignment="1" applyProtection="1">
      <alignment horizontal="right" vertical="center" wrapText="1" readingOrder="1"/>
      <protection locked="0"/>
    </xf>
    <xf numFmtId="49" fontId="80" fillId="0" borderId="18" xfId="53" applyNumberFormat="1" applyFont="1" applyBorder="1" applyAlignment="1" applyProtection="1">
      <alignment horizontal="left" vertical="center" wrapText="1" readingOrder="1"/>
      <protection locked="0"/>
    </xf>
    <xf numFmtId="0" fontId="80" fillId="0" borderId="18" xfId="53" applyFont="1" applyBorder="1" applyAlignment="1" applyProtection="1">
      <alignment horizontal="left" vertical="center" wrapText="1" readingOrder="1"/>
      <protection locked="0"/>
    </xf>
    <xf numFmtId="202" fontId="80" fillId="0" borderId="18" xfId="56" applyNumberFormat="1" applyFont="1" applyBorder="1" applyAlignment="1" applyProtection="1">
      <alignment horizontal="right" vertical="center" wrapText="1" readingOrder="1"/>
      <protection locked="0"/>
    </xf>
    <xf numFmtId="196" fontId="24" fillId="27" borderId="18" xfId="53" applyNumberFormat="1" applyFill="1" applyBorder="1" applyAlignment="1">
      <alignment vertical="center"/>
    </xf>
    <xf numFmtId="0" fontId="23" fillId="0" borderId="0" xfId="53" applyFont="1"/>
    <xf numFmtId="202" fontId="80" fillId="0" borderId="18" xfId="53" applyNumberFormat="1" applyFont="1" applyBorder="1" applyAlignment="1" applyProtection="1">
      <alignment horizontal="right" vertical="center" wrapText="1" readingOrder="1"/>
      <protection locked="0"/>
    </xf>
    <xf numFmtId="202" fontId="80" fillId="27" borderId="18" xfId="53" applyNumberFormat="1" applyFont="1" applyFill="1" applyBorder="1" applyAlignment="1" applyProtection="1">
      <alignment horizontal="right" vertical="center" wrapText="1" readingOrder="1"/>
      <protection locked="0"/>
    </xf>
    <xf numFmtId="202" fontId="24" fillId="27" borderId="18" xfId="53" applyNumberFormat="1" applyFill="1" applyBorder="1" applyAlignment="1">
      <alignment vertical="center"/>
    </xf>
    <xf numFmtId="0" fontId="24" fillId="0" borderId="18" xfId="0" applyFont="1" applyBorder="1" applyAlignment="1">
      <alignment horizontal="left" vertical="center" wrapText="1" readingOrder="1"/>
    </xf>
    <xf numFmtId="0" fontId="85" fillId="0" borderId="18" xfId="53" applyFont="1" applyBorder="1" applyAlignment="1" applyProtection="1">
      <alignment vertical="center" wrapText="1" readingOrder="1"/>
      <protection locked="0"/>
    </xf>
    <xf numFmtId="0" fontId="85" fillId="0" borderId="18" xfId="53" applyFont="1" applyBorder="1" applyAlignment="1" applyProtection="1">
      <alignment horizontal="left" vertical="center" wrapText="1" readingOrder="1"/>
      <protection locked="0"/>
    </xf>
    <xf numFmtId="9" fontId="24" fillId="27" borderId="18" xfId="68" applyFont="1" applyFill="1" applyBorder="1" applyAlignment="1">
      <alignment horizontal="center" vertical="center"/>
    </xf>
    <xf numFmtId="202" fontId="24" fillId="0" borderId="18" xfId="0" applyNumberFormat="1" applyFont="1" applyBorder="1" applyAlignment="1">
      <alignment vertical="center"/>
    </xf>
    <xf numFmtId="202" fontId="24" fillId="0" borderId="18" xfId="53" applyNumberFormat="1" applyBorder="1" applyAlignment="1">
      <alignment vertical="center" wrapText="1"/>
    </xf>
    <xf numFmtId="196" fontId="102" fillId="0" borderId="18" xfId="53" applyNumberFormat="1" applyFont="1" applyBorder="1" applyAlignment="1" applyProtection="1">
      <alignment horizontal="right" vertical="center" wrapText="1" readingOrder="1"/>
      <protection locked="0"/>
    </xf>
    <xf numFmtId="49" fontId="102" fillId="0" borderId="18" xfId="53" applyNumberFormat="1" applyFont="1" applyBorder="1" applyAlignment="1" applyProtection="1">
      <alignment vertical="center" wrapText="1" readingOrder="1"/>
      <protection locked="0"/>
    </xf>
    <xf numFmtId="0" fontId="102" fillId="0" borderId="18" xfId="53" applyFont="1" applyBorder="1" applyAlignment="1" applyProtection="1">
      <alignment vertical="center" wrapText="1" readingOrder="1"/>
      <protection locked="0"/>
    </xf>
    <xf numFmtId="196" fontId="24" fillId="0" borderId="18" xfId="53" applyNumberFormat="1" applyBorder="1" applyAlignment="1">
      <alignment horizontal="right" vertical="center"/>
    </xf>
    <xf numFmtId="202" fontId="24" fillId="0" borderId="18" xfId="53" applyNumberFormat="1" applyBorder="1" applyAlignment="1">
      <alignment horizontal="right" vertical="center"/>
    </xf>
    <xf numFmtId="49" fontId="24" fillId="0" borderId="18" xfId="53" applyNumberFormat="1" applyBorder="1" applyAlignment="1" applyProtection="1">
      <alignment vertical="center" wrapText="1" readingOrder="1"/>
      <protection locked="0"/>
    </xf>
    <xf numFmtId="0" fontId="24" fillId="0" borderId="18" xfId="53" applyBorder="1" applyAlignment="1" applyProtection="1">
      <alignment vertical="center" wrapText="1" readingOrder="1"/>
      <protection locked="0"/>
    </xf>
    <xf numFmtId="202" fontId="24" fillId="0" borderId="18" xfId="43" applyNumberFormat="1" applyFont="1" applyBorder="1" applyAlignment="1">
      <alignment vertical="center" wrapText="1"/>
    </xf>
    <xf numFmtId="196" fontId="24" fillId="0" borderId="18" xfId="53" applyNumberFormat="1" applyBorder="1" applyAlignment="1" applyProtection="1">
      <alignment horizontal="right" vertical="center" wrapText="1" readingOrder="1"/>
      <protection locked="0"/>
    </xf>
    <xf numFmtId="49" fontId="80" fillId="0" borderId="18" xfId="56" applyNumberFormat="1" applyFont="1" applyBorder="1" applyAlignment="1" applyProtection="1">
      <alignment vertical="center" wrapText="1" readingOrder="1"/>
      <protection locked="0"/>
    </xf>
    <xf numFmtId="202" fontId="24" fillId="0" borderId="18" xfId="53" applyNumberFormat="1" applyBorder="1" applyAlignment="1" applyProtection="1">
      <alignment horizontal="right" vertical="center" wrapText="1" readingOrder="1"/>
      <protection locked="0"/>
    </xf>
    <xf numFmtId="196" fontId="23" fillId="28" borderId="18" xfId="53" applyNumberFormat="1" applyFont="1" applyFill="1" applyBorder="1" applyAlignment="1" applyProtection="1">
      <alignment horizontal="right" vertical="center" wrapText="1" readingOrder="1"/>
      <protection locked="0"/>
    </xf>
    <xf numFmtId="202" fontId="80" fillId="0" borderId="18" xfId="53" applyNumberFormat="1" applyFont="1" applyBorder="1" applyAlignment="1" applyProtection="1">
      <alignment vertical="center" wrapText="1" readingOrder="1"/>
      <protection locked="0"/>
    </xf>
    <xf numFmtId="9" fontId="24" fillId="0" borderId="18" xfId="68" applyFont="1" applyFill="1" applyBorder="1" applyAlignment="1">
      <alignment horizontal="center" vertical="center"/>
    </xf>
    <xf numFmtId="196" fontId="24" fillId="0" borderId="18" xfId="43" applyNumberFormat="1" applyFont="1" applyBorder="1" applyAlignment="1">
      <alignment vertical="center" wrapText="1"/>
    </xf>
    <xf numFmtId="0" fontId="24" fillId="0" borderId="18" xfId="53" applyBorder="1" applyAlignment="1" applyProtection="1">
      <alignment vertical="top" wrapText="1"/>
      <protection locked="0"/>
    </xf>
    <xf numFmtId="202" fontId="88" fillId="0" borderId="18" xfId="53" applyNumberFormat="1" applyFont="1" applyBorder="1" applyAlignment="1" applyProtection="1">
      <alignment horizontal="right" vertical="center" wrapText="1" readingOrder="1"/>
      <protection locked="0"/>
    </xf>
    <xf numFmtId="196" fontId="43" fillId="0" borderId="18" xfId="53" applyNumberFormat="1" applyFont="1" applyBorder="1" applyAlignment="1">
      <alignment vertical="center"/>
    </xf>
    <xf numFmtId="196" fontId="24" fillId="0" borderId="18" xfId="0" applyNumberFormat="1" applyFont="1" applyBorder="1" applyAlignment="1">
      <alignment vertical="center" wrapText="1" readingOrder="1"/>
    </xf>
    <xf numFmtId="49" fontId="24" fillId="0" borderId="18" xfId="56" applyNumberFormat="1" applyBorder="1" applyAlignment="1">
      <alignment horizontal="left" vertical="center" wrapText="1" readingOrder="1"/>
    </xf>
    <xf numFmtId="196" fontId="80" fillId="0" borderId="18" xfId="53" applyNumberFormat="1" applyFont="1" applyBorder="1" applyAlignment="1" applyProtection="1">
      <alignment vertical="center" wrapText="1" readingOrder="1"/>
      <protection locked="0"/>
    </xf>
    <xf numFmtId="49" fontId="24" fillId="0" borderId="18" xfId="0" applyNumberFormat="1" applyFont="1" applyBorder="1" applyAlignment="1">
      <alignment horizontal="left" vertical="center" wrapText="1" readingOrder="1"/>
    </xf>
    <xf numFmtId="0" fontId="24" fillId="0" borderId="18" xfId="56" applyBorder="1" applyAlignment="1">
      <alignment horizontal="left" vertical="center" wrapText="1" readingOrder="1"/>
    </xf>
    <xf numFmtId="196" fontId="80" fillId="0" borderId="18" xfId="26" applyNumberFormat="1" applyFont="1" applyBorder="1" applyAlignment="1" applyProtection="1">
      <alignment horizontal="right" vertical="center" wrapText="1" readingOrder="1"/>
      <protection locked="0"/>
    </xf>
    <xf numFmtId="196" fontId="24" fillId="0" borderId="18" xfId="26" applyNumberFormat="1" applyFont="1" applyBorder="1" applyAlignment="1">
      <alignment vertical="center"/>
    </xf>
    <xf numFmtId="196" fontId="24" fillId="0" borderId="18" xfId="26" applyNumberFormat="1" applyFont="1" applyFill="1" applyBorder="1" applyAlignment="1">
      <alignment vertical="center" wrapText="1"/>
    </xf>
    <xf numFmtId="49" fontId="24" fillId="0" borderId="18" xfId="53" applyNumberFormat="1" applyBorder="1"/>
    <xf numFmtId="49" fontId="80" fillId="0" borderId="18" xfId="53" applyNumberFormat="1" applyFont="1" applyBorder="1" applyAlignment="1" applyProtection="1">
      <alignment horizontal="left" wrapText="1" readingOrder="1"/>
      <protection locked="0"/>
    </xf>
    <xf numFmtId="0" fontId="80" fillId="0" borderId="18" xfId="53" applyFont="1" applyBorder="1" applyAlignment="1" applyProtection="1">
      <alignment horizontal="left" wrapText="1" readingOrder="1"/>
      <protection locked="0"/>
    </xf>
    <xf numFmtId="9" fontId="80" fillId="0" borderId="18" xfId="68" applyFont="1" applyFill="1" applyBorder="1" applyAlignment="1" applyProtection="1">
      <alignment horizontal="center" vertical="center" wrapText="1" readingOrder="1"/>
      <protection locked="0"/>
    </xf>
    <xf numFmtId="9" fontId="85" fillId="28" borderId="18" xfId="68" applyFont="1" applyFill="1" applyBorder="1" applyAlignment="1" applyProtection="1">
      <alignment horizontal="center" vertical="center" wrapText="1" readingOrder="1"/>
      <protection locked="0"/>
    </xf>
    <xf numFmtId="196" fontId="24" fillId="0" borderId="18" xfId="53" applyNumberFormat="1" applyBorder="1" applyAlignment="1">
      <alignment vertical="center" wrapText="1"/>
    </xf>
    <xf numFmtId="196" fontId="24" fillId="0" borderId="18" xfId="0" applyNumberFormat="1" applyFont="1" applyBorder="1" applyAlignment="1">
      <alignment vertical="center"/>
    </xf>
    <xf numFmtId="0" fontId="24" fillId="0" borderId="18" xfId="48" applyFont="1" applyBorder="1" applyAlignment="1">
      <alignment horizontal="left"/>
    </xf>
    <xf numFmtId="196" fontId="80" fillId="22" borderId="18" xfId="53" applyNumberFormat="1" applyFont="1" applyFill="1" applyBorder="1" applyAlignment="1" applyProtection="1">
      <alignment horizontal="right" vertical="center" wrapText="1" readingOrder="1"/>
      <protection locked="0"/>
    </xf>
    <xf numFmtId="196" fontId="80" fillId="0" borderId="18" xfId="56" applyNumberFormat="1" applyFont="1" applyBorder="1" applyAlignment="1" applyProtection="1">
      <alignment horizontal="right" vertical="center" wrapText="1" readingOrder="1"/>
      <protection locked="0"/>
    </xf>
    <xf numFmtId="49" fontId="80" fillId="0" borderId="18" xfId="42" applyNumberFormat="1" applyFont="1" applyBorder="1" applyAlignment="1" applyProtection="1">
      <alignment vertical="center" wrapText="1" readingOrder="1"/>
      <protection locked="0"/>
    </xf>
    <xf numFmtId="49" fontId="24" fillId="0" borderId="0" xfId="53" applyNumberFormat="1"/>
    <xf numFmtId="49" fontId="80" fillId="0" borderId="26" xfId="53" applyNumberFormat="1" applyFont="1" applyBorder="1" applyAlignment="1" applyProtection="1">
      <alignment horizontal="left" vertical="center" wrapText="1" readingOrder="1"/>
      <protection locked="0"/>
    </xf>
    <xf numFmtId="0" fontId="24" fillId="27" borderId="0" xfId="53" applyFill="1"/>
    <xf numFmtId="0" fontId="24" fillId="0" borderId="18" xfId="53" applyBorder="1" applyAlignment="1">
      <alignment wrapText="1"/>
    </xf>
    <xf numFmtId="196" fontId="102" fillId="0" borderId="18" xfId="56" applyNumberFormat="1" applyFont="1" applyBorder="1" applyAlignment="1" applyProtection="1">
      <alignment horizontal="right" vertical="center" wrapText="1" readingOrder="1"/>
      <protection locked="0"/>
    </xf>
    <xf numFmtId="196" fontId="102" fillId="0" borderId="18" xfId="56" applyNumberFormat="1" applyFont="1" applyBorder="1" applyAlignment="1">
      <alignment horizontal="right" vertical="center" wrapText="1"/>
    </xf>
    <xf numFmtId="196" fontId="24" fillId="0" borderId="18" xfId="56" applyNumberFormat="1" applyBorder="1" applyAlignment="1">
      <alignment horizontal="right" vertical="center" wrapText="1"/>
    </xf>
    <xf numFmtId="49" fontId="80" fillId="0" borderId="18" xfId="42" applyNumberFormat="1" applyFont="1" applyBorder="1" applyAlignment="1" applyProtection="1">
      <alignment horizontal="left" vertical="center" wrapText="1" readingOrder="1"/>
      <protection locked="0"/>
    </xf>
    <xf numFmtId="196" fontId="24" fillId="0" borderId="18" xfId="56" applyNumberFormat="1" applyBorder="1" applyAlignment="1" applyProtection="1">
      <alignment horizontal="right" vertical="center" wrapText="1" readingOrder="1"/>
      <protection locked="0"/>
    </xf>
    <xf numFmtId="196" fontId="85" fillId="28" borderId="18" xfId="53" applyNumberFormat="1" applyFont="1" applyFill="1" applyBorder="1" applyAlignment="1" applyProtection="1">
      <alignment horizontal="center" vertical="center" wrapText="1" readingOrder="1"/>
      <protection locked="0"/>
    </xf>
    <xf numFmtId="196" fontId="85" fillId="38" borderId="18" xfId="53" applyNumberFormat="1" applyFont="1" applyFill="1" applyBorder="1" applyAlignment="1" applyProtection="1">
      <alignment horizontal="right" vertical="center" wrapText="1" readingOrder="1"/>
      <protection locked="0"/>
    </xf>
    <xf numFmtId="169" fontId="80" fillId="0" borderId="18" xfId="53" applyNumberFormat="1" applyFont="1" applyBorder="1" applyAlignment="1" applyProtection="1">
      <alignment horizontal="right" vertical="center" wrapText="1" readingOrder="1"/>
      <protection locked="0"/>
    </xf>
    <xf numFmtId="169" fontId="85" fillId="28" borderId="18" xfId="53" applyNumberFormat="1" applyFont="1" applyFill="1" applyBorder="1" applyAlignment="1" applyProtection="1">
      <alignment horizontal="right" vertical="center" wrapText="1" readingOrder="1"/>
      <protection locked="0"/>
    </xf>
    <xf numFmtId="0" fontId="24" fillId="0" borderId="18" xfId="0" applyFont="1" applyBorder="1" applyAlignment="1">
      <alignment horizontal="center" vertical="center"/>
    </xf>
    <xf numFmtId="196" fontId="24" fillId="0" borderId="18" xfId="0" applyNumberFormat="1" applyFont="1" applyBorder="1" applyAlignment="1">
      <alignment horizontal="right" vertical="center" wrapText="1"/>
    </xf>
    <xf numFmtId="0" fontId="24" fillId="0" borderId="18" xfId="53" applyBorder="1" applyAlignment="1">
      <alignment horizontal="center" vertical="center"/>
    </xf>
    <xf numFmtId="196" fontId="23" fillId="28" borderId="18" xfId="0" applyNumberFormat="1" applyFont="1" applyFill="1" applyBorder="1" applyAlignment="1">
      <alignment horizontal="right" vertical="center" wrapText="1"/>
    </xf>
    <xf numFmtId="0" fontId="23" fillId="28" borderId="18" xfId="53" applyFont="1" applyFill="1" applyBorder="1" applyAlignment="1">
      <alignment horizontal="center" vertical="center"/>
    </xf>
    <xf numFmtId="0" fontId="80" fillId="0" borderId="26" xfId="53" applyFont="1" applyBorder="1" applyAlignment="1" applyProtection="1">
      <alignment vertical="center" wrapText="1" readingOrder="1"/>
      <protection locked="0"/>
    </xf>
    <xf numFmtId="196" fontId="23" fillId="28" borderId="43" xfId="0" applyNumberFormat="1" applyFont="1" applyFill="1" applyBorder="1" applyAlignment="1">
      <alignment horizontal="right" vertical="center" wrapText="1"/>
    </xf>
    <xf numFmtId="9" fontId="23" fillId="0" borderId="18" xfId="68" applyFont="1" applyFill="1" applyBorder="1" applyAlignment="1">
      <alignment horizontal="center" vertical="center"/>
    </xf>
    <xf numFmtId="196" fontId="23" fillId="39" borderId="18" xfId="53" applyNumberFormat="1" applyFont="1" applyFill="1" applyBorder="1" applyAlignment="1">
      <alignment horizontal="right" vertical="center"/>
    </xf>
    <xf numFmtId="9" fontId="23" fillId="39" borderId="18" xfId="68" applyFont="1" applyFill="1" applyBorder="1" applyAlignment="1">
      <alignment horizontal="center" vertical="center"/>
    </xf>
    <xf numFmtId="0" fontId="23" fillId="39" borderId="18" xfId="53" applyFont="1" applyFill="1" applyBorder="1"/>
    <xf numFmtId="0" fontId="43" fillId="0" borderId="18" xfId="53" applyFont="1" applyBorder="1"/>
    <xf numFmtId="196" fontId="43" fillId="0" borderId="18" xfId="53" applyNumberFormat="1" applyFont="1" applyBorder="1" applyAlignment="1">
      <alignment horizontal="right" vertical="center"/>
    </xf>
    <xf numFmtId="0" fontId="24" fillId="0" borderId="12" xfId="53" applyBorder="1"/>
    <xf numFmtId="196" fontId="24" fillId="0" borderId="12" xfId="53" applyNumberFormat="1" applyBorder="1" applyAlignment="1">
      <alignment horizontal="right" vertical="center"/>
    </xf>
    <xf numFmtId="196" fontId="24" fillId="0" borderId="0" xfId="53" applyNumberFormat="1" applyAlignment="1">
      <alignment horizontal="right" vertical="center"/>
    </xf>
    <xf numFmtId="0" fontId="24" fillId="0" borderId="0" xfId="53" applyAlignment="1">
      <alignment vertical="center"/>
    </xf>
    <xf numFmtId="166" fontId="31" fillId="27" borderId="10" xfId="43" applyNumberFormat="1" applyFont="1" applyFill="1" applyBorder="1" applyAlignment="1">
      <alignment horizontal="centerContinuous" vertical="center" wrapText="1"/>
    </xf>
    <xf numFmtId="166" fontId="31" fillId="27" borderId="35" xfId="43" applyNumberFormat="1" applyFont="1" applyFill="1" applyBorder="1" applyAlignment="1">
      <alignment horizontal="centerContinuous" vertical="center" wrapText="1"/>
    </xf>
    <xf numFmtId="9" fontId="31" fillId="27" borderId="25" xfId="43" applyNumberFormat="1" applyFont="1" applyFill="1" applyBorder="1" applyAlignment="1">
      <alignment horizontal="centerContinuous" vertical="center" wrapText="1"/>
    </xf>
    <xf numFmtId="166" fontId="31" fillId="27" borderId="33" xfId="43" applyNumberFormat="1" applyFont="1" applyFill="1" applyBorder="1" applyAlignment="1">
      <alignment horizontal="centerContinuous" vertical="center" wrapText="1"/>
    </xf>
    <xf numFmtId="166" fontId="53" fillId="27" borderId="61" xfId="43" applyNumberFormat="1" applyFont="1" applyFill="1" applyBorder="1" applyAlignment="1">
      <alignment horizontal="left" vertical="center" wrapText="1" indent="1"/>
    </xf>
    <xf numFmtId="9" fontId="53" fillId="27" borderId="63" xfId="43" applyNumberFormat="1" applyFont="1" applyFill="1" applyBorder="1" applyAlignment="1">
      <alignment horizontal="left" vertical="center" wrapText="1" indent="1"/>
    </xf>
    <xf numFmtId="166" fontId="34" fillId="27" borderId="36" xfId="43" applyNumberFormat="1" applyFont="1" applyFill="1" applyBorder="1" applyAlignment="1">
      <alignment horizontal="left" vertical="center" wrapText="1" indent="1"/>
    </xf>
    <xf numFmtId="166" fontId="34" fillId="27" borderId="37" xfId="43" applyNumberFormat="1" applyFont="1" applyFill="1" applyBorder="1" applyAlignment="1">
      <alignment horizontal="center" vertical="center" wrapText="1"/>
    </xf>
    <xf numFmtId="9" fontId="53" fillId="27" borderId="64" xfId="43" applyNumberFormat="1" applyFont="1" applyFill="1" applyBorder="1" applyAlignment="1">
      <alignment horizontal="left" vertical="center" wrapText="1" indent="1"/>
    </xf>
    <xf numFmtId="166" fontId="53" fillId="27" borderId="36" xfId="43" applyNumberFormat="1" applyFont="1" applyFill="1" applyBorder="1" applyAlignment="1">
      <alignment horizontal="left" vertical="center" wrapText="1" indent="1"/>
    </xf>
    <xf numFmtId="166" fontId="34" fillId="27" borderId="38" xfId="43" applyNumberFormat="1" applyFont="1" applyFill="1" applyBorder="1" applyAlignment="1">
      <alignment horizontal="center" vertical="center" wrapText="1"/>
    </xf>
    <xf numFmtId="166" fontId="26" fillId="27" borderId="14" xfId="43" applyNumberFormat="1" applyFill="1" applyBorder="1" applyAlignment="1">
      <alignment horizontal="center" vertical="center" wrapText="1"/>
    </xf>
    <xf numFmtId="9" fontId="53" fillId="27" borderId="64" xfId="43" applyNumberFormat="1" applyFont="1" applyFill="1" applyBorder="1" applyAlignment="1" applyProtection="1">
      <alignment horizontal="left" vertical="center" wrapText="1" indent="1"/>
      <protection locked="0"/>
    </xf>
    <xf numFmtId="3" fontId="26" fillId="27" borderId="0" xfId="43" applyNumberFormat="1" applyFill="1" applyAlignment="1">
      <alignment vertical="center" wrapText="1"/>
    </xf>
    <xf numFmtId="166" fontId="34" fillId="27" borderId="62" xfId="43" applyNumberFormat="1" applyFont="1" applyFill="1" applyBorder="1" applyAlignment="1" applyProtection="1">
      <alignment horizontal="left" vertical="center" wrapText="1" indent="1"/>
      <protection locked="0"/>
    </xf>
    <xf numFmtId="166" fontId="53" fillId="27" borderId="54" xfId="43" applyNumberFormat="1" applyFont="1" applyFill="1" applyBorder="1" applyAlignment="1" applyProtection="1">
      <alignment horizontal="left" vertical="center" wrapText="1" indent="1"/>
      <protection locked="0"/>
    </xf>
    <xf numFmtId="9" fontId="53" fillId="27" borderId="65" xfId="43" applyNumberFormat="1" applyFont="1" applyFill="1" applyBorder="1" applyAlignment="1" applyProtection="1">
      <alignment horizontal="left" vertical="center" wrapText="1" indent="1"/>
      <protection locked="0"/>
    </xf>
    <xf numFmtId="166" fontId="34" fillId="27" borderId="40" xfId="43" applyNumberFormat="1" applyFont="1" applyFill="1" applyBorder="1" applyAlignment="1" applyProtection="1">
      <alignment horizontal="left" vertical="center" wrapText="1" indent="1"/>
      <protection locked="0"/>
    </xf>
    <xf numFmtId="9" fontId="53" fillId="27" borderId="55" xfId="43" applyNumberFormat="1" applyFont="1" applyFill="1" applyBorder="1" applyAlignment="1" applyProtection="1">
      <alignment horizontal="left" vertical="center" wrapText="1" indent="1"/>
      <protection locked="0"/>
    </xf>
    <xf numFmtId="166" fontId="52" fillId="27" borderId="35" xfId="43" applyNumberFormat="1" applyFont="1" applyFill="1" applyBorder="1" applyAlignment="1">
      <alignment horizontal="left" vertical="center" wrapText="1" indent="1"/>
    </xf>
    <xf numFmtId="9" fontId="52" fillId="27" borderId="25" xfId="43" applyNumberFormat="1" applyFont="1" applyFill="1" applyBorder="1" applyAlignment="1">
      <alignment horizontal="left" vertical="center" wrapText="1" indent="1"/>
    </xf>
    <xf numFmtId="166" fontId="33" fillId="27" borderId="35" xfId="43" applyNumberFormat="1" applyFont="1" applyFill="1" applyBorder="1" applyAlignment="1">
      <alignment horizontal="left" vertical="center" wrapText="1" indent="1"/>
    </xf>
    <xf numFmtId="166" fontId="53" fillId="27" borderId="41" xfId="43" applyNumberFormat="1" applyFont="1" applyFill="1" applyBorder="1" applyAlignment="1">
      <alignment horizontal="left" vertical="center" wrapText="1" indent="1"/>
    </xf>
    <xf numFmtId="9" fontId="53" fillId="27" borderId="55" xfId="43" applyNumberFormat="1" applyFont="1" applyFill="1" applyBorder="1" applyAlignment="1">
      <alignment horizontal="left" vertical="center" wrapText="1" indent="1"/>
    </xf>
    <xf numFmtId="166" fontId="36" fillId="27" borderId="36" xfId="43" applyNumberFormat="1" applyFont="1" applyFill="1" applyBorder="1" applyAlignment="1">
      <alignment horizontal="left" vertical="center" wrapText="1" indent="1"/>
    </xf>
    <xf numFmtId="166" fontId="36" fillId="27" borderId="41" xfId="43" applyNumberFormat="1" applyFont="1" applyFill="1" applyBorder="1" applyAlignment="1">
      <alignment horizontal="left" vertical="center" wrapText="1" indent="1"/>
    </xf>
    <xf numFmtId="166" fontId="34" fillId="27" borderId="14" xfId="43" applyNumberFormat="1" applyFont="1" applyFill="1" applyBorder="1" applyAlignment="1" applyProtection="1">
      <alignment horizontal="left" vertical="center" wrapText="1" indent="1"/>
      <protection locked="0"/>
    </xf>
    <xf numFmtId="166" fontId="53" fillId="27" borderId="12" xfId="43" applyNumberFormat="1" applyFont="1" applyFill="1" applyBorder="1" applyAlignment="1" applyProtection="1">
      <alignment horizontal="left" vertical="center" wrapText="1" indent="1"/>
      <protection locked="0"/>
    </xf>
    <xf numFmtId="166" fontId="34" fillId="27" borderId="20" xfId="43" applyNumberFormat="1" applyFont="1" applyFill="1" applyBorder="1" applyAlignment="1" applyProtection="1">
      <alignment horizontal="left" vertical="center" wrapText="1" indent="1"/>
      <protection locked="0"/>
    </xf>
    <xf numFmtId="3" fontId="53" fillId="27" borderId="12" xfId="43" applyNumberFormat="1" applyFont="1" applyFill="1" applyBorder="1" applyAlignment="1" applyProtection="1">
      <alignment horizontal="center" vertical="center" wrapText="1"/>
      <protection locked="0"/>
    </xf>
    <xf numFmtId="166" fontId="53" fillId="27" borderId="12" xfId="43" applyNumberFormat="1" applyFont="1" applyFill="1" applyBorder="1" applyAlignment="1">
      <alignment horizontal="left" vertical="center" wrapText="1" indent="1"/>
    </xf>
    <xf numFmtId="166" fontId="34" fillId="27" borderId="38" xfId="43" applyNumberFormat="1" applyFont="1" applyFill="1" applyBorder="1" applyAlignment="1" applyProtection="1">
      <alignment horizontal="left" vertical="center" wrapText="1" indent="1"/>
      <protection locked="0"/>
    </xf>
    <xf numFmtId="166" fontId="33" fillId="27" borderId="42" xfId="43" applyNumberFormat="1" applyFont="1" applyFill="1" applyBorder="1" applyAlignment="1">
      <alignment horizontal="left" vertical="center" wrapText="1" indent="1"/>
    </xf>
    <xf numFmtId="9" fontId="33" fillId="27" borderId="25" xfId="43" applyNumberFormat="1" applyFont="1" applyFill="1" applyBorder="1" applyAlignment="1">
      <alignment horizontal="left" vertical="center" wrapText="1" indent="1"/>
    </xf>
    <xf numFmtId="166" fontId="52" fillId="27" borderId="33" xfId="43" applyNumberFormat="1" applyFont="1" applyFill="1" applyBorder="1" applyAlignment="1">
      <alignment horizontal="left" vertical="center" wrapText="1" indent="1"/>
    </xf>
    <xf numFmtId="166" fontId="35" fillId="27" borderId="35" xfId="43" applyNumberFormat="1" applyFont="1" applyFill="1" applyBorder="1" applyAlignment="1">
      <alignment horizontal="left" vertical="center" wrapText="1" indent="1"/>
    </xf>
    <xf numFmtId="166" fontId="36" fillId="27" borderId="16" xfId="43" applyNumberFormat="1" applyFont="1" applyFill="1" applyBorder="1" applyAlignment="1">
      <alignment horizontal="left" vertical="center" wrapText="1" indent="1"/>
    </xf>
    <xf numFmtId="166" fontId="34" fillId="27" borderId="61" xfId="43" applyNumberFormat="1" applyFont="1" applyFill="1" applyBorder="1" applyAlignment="1">
      <alignment horizontal="left" vertical="center" wrapText="1" indent="1"/>
    </xf>
    <xf numFmtId="49" fontId="37" fillId="27" borderId="14" xfId="43" applyNumberFormat="1" applyFont="1" applyFill="1" applyBorder="1" applyAlignment="1">
      <alignment horizontal="left" vertical="center" wrapText="1" indent="1"/>
    </xf>
    <xf numFmtId="169" fontId="80" fillId="27" borderId="19" xfId="54" applyNumberFormat="1" applyFont="1" applyFill="1" applyBorder="1" applyAlignment="1" applyProtection="1">
      <alignment horizontal="right" vertical="center" wrapText="1" readingOrder="1"/>
      <protection locked="0"/>
    </xf>
    <xf numFmtId="169" fontId="86" fillId="27" borderId="19" xfId="54" applyNumberFormat="1" applyFont="1" applyFill="1" applyBorder="1" applyAlignment="1" applyProtection="1">
      <alignment horizontal="right" vertical="center" wrapText="1" readingOrder="1"/>
      <protection locked="0"/>
    </xf>
    <xf numFmtId="166" fontId="53" fillId="27" borderId="39" xfId="43" applyNumberFormat="1" applyFont="1" applyFill="1" applyBorder="1" applyAlignment="1">
      <alignment horizontal="left" vertical="center" wrapText="1" indent="1"/>
    </xf>
    <xf numFmtId="166" fontId="34" fillId="27" borderId="48" xfId="43" applyNumberFormat="1" applyFont="1" applyFill="1" applyBorder="1" applyAlignment="1">
      <alignment horizontal="left" vertical="center" wrapText="1" indent="1"/>
    </xf>
    <xf numFmtId="9" fontId="53" fillId="27" borderId="29" xfId="43" applyNumberFormat="1" applyFont="1" applyFill="1" applyBorder="1" applyAlignment="1">
      <alignment horizontal="left" vertical="center" wrapText="1" indent="1"/>
    </xf>
    <xf numFmtId="166" fontId="33" fillId="27" borderId="46" xfId="43" applyNumberFormat="1" applyFont="1" applyFill="1" applyBorder="1" applyAlignment="1">
      <alignment horizontal="left" vertical="center" wrapText="1" indent="1"/>
    </xf>
    <xf numFmtId="166" fontId="52" fillId="27" borderId="45" xfId="43" applyNumberFormat="1" applyFont="1" applyFill="1" applyBorder="1" applyAlignment="1">
      <alignment horizontal="left" vertical="center" wrapText="1" indent="1"/>
    </xf>
    <xf numFmtId="9" fontId="52" fillId="27" borderId="34" xfId="43" applyNumberFormat="1" applyFont="1" applyFill="1" applyBorder="1" applyAlignment="1">
      <alignment horizontal="left" vertical="center" wrapText="1" indent="1"/>
    </xf>
    <xf numFmtId="166" fontId="33" fillId="27" borderId="41" xfId="43" applyNumberFormat="1" applyFont="1" applyFill="1" applyBorder="1" applyAlignment="1">
      <alignment horizontal="left" vertical="center" wrapText="1" indent="1"/>
    </xf>
    <xf numFmtId="9" fontId="52" fillId="27" borderId="55" xfId="43" applyNumberFormat="1" applyFont="1" applyFill="1" applyBorder="1" applyAlignment="1">
      <alignment horizontal="left" vertical="center" wrapText="1" indent="1"/>
    </xf>
    <xf numFmtId="166" fontId="54" fillId="27" borderId="37" xfId="43" applyNumberFormat="1" applyFont="1" applyFill="1" applyBorder="1" applyAlignment="1">
      <alignment horizontal="left" vertical="center" wrapText="1" indent="1"/>
    </xf>
    <xf numFmtId="9" fontId="54" fillId="27" borderId="28" xfId="43" applyNumberFormat="1" applyFont="1" applyFill="1" applyBorder="1" applyAlignment="1">
      <alignment horizontal="left" vertical="center" wrapText="1" indent="1"/>
    </xf>
    <xf numFmtId="166" fontId="36" fillId="27" borderId="61" xfId="43" applyNumberFormat="1" applyFont="1" applyFill="1" applyBorder="1" applyAlignment="1">
      <alignment horizontal="left" vertical="center" wrapText="1" indent="1"/>
    </xf>
    <xf numFmtId="166" fontId="37" fillId="27" borderId="37" xfId="43" applyNumberFormat="1" applyFont="1" applyFill="1" applyBorder="1" applyAlignment="1">
      <alignment horizontal="left" vertical="center" wrapText="1" indent="1"/>
    </xf>
    <xf numFmtId="166" fontId="53" fillId="27" borderId="18" xfId="43" applyNumberFormat="1" applyFont="1" applyFill="1" applyBorder="1" applyAlignment="1">
      <alignment horizontal="left" vertical="center" wrapText="1" indent="2"/>
    </xf>
    <xf numFmtId="9" fontId="53" fillId="27" borderId="19" xfId="43" applyNumberFormat="1" applyFont="1" applyFill="1" applyBorder="1" applyAlignment="1">
      <alignment horizontal="left" vertical="center" wrapText="1" indent="2"/>
    </xf>
    <xf numFmtId="166" fontId="54" fillId="27" borderId="18" xfId="43" applyNumberFormat="1" applyFont="1" applyFill="1" applyBorder="1" applyAlignment="1">
      <alignment horizontal="left" vertical="center" wrapText="1" indent="1"/>
    </xf>
    <xf numFmtId="9" fontId="54" fillId="27" borderId="19" xfId="43" applyNumberFormat="1" applyFont="1" applyFill="1" applyBorder="1" applyAlignment="1">
      <alignment horizontal="left" vertical="center" wrapText="1" indent="1"/>
    </xf>
    <xf numFmtId="166" fontId="26" fillId="27" borderId="38" xfId="43" applyNumberFormat="1" applyFill="1" applyBorder="1" applyAlignment="1">
      <alignment vertical="center" wrapText="1"/>
    </xf>
    <xf numFmtId="166" fontId="37" fillId="27" borderId="17" xfId="43" applyNumberFormat="1" applyFont="1" applyFill="1" applyBorder="1" applyAlignment="1">
      <alignment horizontal="left" vertical="center" wrapText="1" indent="2"/>
    </xf>
    <xf numFmtId="166" fontId="53" fillId="27" borderId="48" xfId="43" applyNumberFormat="1" applyFont="1" applyFill="1" applyBorder="1" applyAlignment="1">
      <alignment horizontal="left" vertical="center" wrapText="1" indent="2"/>
    </xf>
    <xf numFmtId="9" fontId="53" fillId="27" borderId="29" xfId="43" applyNumberFormat="1" applyFont="1" applyFill="1" applyBorder="1" applyAlignment="1">
      <alignment horizontal="left" vertical="center" wrapText="1" indent="2"/>
    </xf>
    <xf numFmtId="166" fontId="36" fillId="27" borderId="104" xfId="43" applyNumberFormat="1" applyFont="1" applyFill="1" applyBorder="1" applyAlignment="1" applyProtection="1">
      <alignment horizontal="left" vertical="center" wrapText="1" indent="1"/>
      <protection locked="0"/>
    </xf>
    <xf numFmtId="166" fontId="34" fillId="27" borderId="48" xfId="43" applyNumberFormat="1" applyFont="1" applyFill="1" applyBorder="1" applyAlignment="1">
      <alignment horizontal="left" vertical="center" wrapText="1" indent="2"/>
    </xf>
    <xf numFmtId="166" fontId="33" fillId="27" borderId="15" xfId="43" applyNumberFormat="1" applyFont="1" applyFill="1" applyBorder="1" applyAlignment="1">
      <alignment horizontal="left" vertical="center" wrapText="1" indent="1"/>
    </xf>
    <xf numFmtId="166" fontId="52" fillId="27" borderId="41" xfId="43" applyNumberFormat="1" applyFont="1" applyFill="1" applyBorder="1" applyAlignment="1">
      <alignment horizontal="left" vertical="center" wrapText="1" indent="1"/>
    </xf>
    <xf numFmtId="166" fontId="30" fillId="27" borderId="21" xfId="43" applyNumberFormat="1" applyFont="1" applyFill="1" applyBorder="1" applyAlignment="1">
      <alignment horizontal="left" vertical="center" wrapText="1" indent="1"/>
    </xf>
    <xf numFmtId="9" fontId="30" fillId="27" borderId="25" xfId="43" applyNumberFormat="1" applyFont="1" applyFill="1" applyBorder="1" applyAlignment="1">
      <alignment horizontal="left" vertical="center" wrapText="1" indent="1"/>
    </xf>
    <xf numFmtId="166" fontId="45" fillId="27" borderId="35" xfId="43" applyNumberFormat="1" applyFont="1" applyFill="1" applyBorder="1" applyAlignment="1">
      <alignment horizontal="center" vertical="center" wrapText="1"/>
    </xf>
    <xf numFmtId="166" fontId="35" fillId="27" borderId="21" xfId="43" applyNumberFormat="1" applyFont="1" applyFill="1" applyBorder="1" applyAlignment="1">
      <alignment horizontal="center" vertical="center" wrapText="1"/>
    </xf>
    <xf numFmtId="0" fontId="4" fillId="27" borderId="0" xfId="48" applyFont="1" applyFill="1" applyAlignment="1">
      <alignment horizontal="left" wrapText="1"/>
    </xf>
    <xf numFmtId="0" fontId="81" fillId="0" borderId="0" xfId="46" applyFont="1"/>
    <xf numFmtId="0" fontId="81" fillId="0" borderId="0" xfId="46" applyFont="1" applyAlignment="1">
      <alignment wrapText="1"/>
    </xf>
    <xf numFmtId="0" fontId="81" fillId="0" borderId="18" xfId="46" applyFont="1" applyBorder="1" applyAlignment="1">
      <alignment wrapText="1"/>
    </xf>
    <xf numFmtId="0" fontId="81" fillId="0" borderId="18" xfId="46" applyFont="1" applyBorder="1" applyAlignment="1">
      <alignment horizontal="right" wrapText="1"/>
    </xf>
    <xf numFmtId="3" fontId="81" fillId="0" borderId="18" xfId="46" applyNumberFormat="1" applyFont="1" applyBorder="1" applyAlignment="1">
      <alignment horizontal="right" wrapText="1"/>
    </xf>
    <xf numFmtId="0" fontId="78" fillId="0" borderId="18" xfId="46" applyFont="1" applyBorder="1"/>
    <xf numFmtId="0" fontId="78" fillId="0" borderId="18" xfId="46" applyFont="1" applyBorder="1" applyAlignment="1">
      <alignment wrapText="1"/>
    </xf>
    <xf numFmtId="3" fontId="78" fillId="0" borderId="18" xfId="46" applyNumberFormat="1" applyFont="1" applyBorder="1"/>
    <xf numFmtId="0" fontId="81" fillId="0" borderId="18" xfId="46" applyFont="1" applyBorder="1"/>
    <xf numFmtId="3" fontId="81" fillId="0" borderId="18" xfId="46" applyNumberFormat="1" applyFont="1" applyBorder="1"/>
    <xf numFmtId="0" fontId="78" fillId="0" borderId="0" xfId="46" applyFont="1"/>
    <xf numFmtId="0" fontId="93" fillId="0" borderId="18" xfId="46" applyFont="1" applyBorder="1"/>
    <xf numFmtId="0" fontId="93" fillId="0" borderId="18" xfId="46" applyFont="1" applyBorder="1" applyAlignment="1">
      <alignment wrapText="1"/>
    </xf>
    <xf numFmtId="3" fontId="93" fillId="0" borderId="18" xfId="46" applyNumberFormat="1" applyFont="1" applyBorder="1"/>
    <xf numFmtId="199" fontId="81" fillId="0" borderId="18" xfId="46" applyNumberFormat="1" applyFont="1" applyBorder="1"/>
    <xf numFmtId="0" fontId="72" fillId="0" borderId="18" xfId="46" applyFont="1" applyBorder="1"/>
    <xf numFmtId="0" fontId="72" fillId="0" borderId="18" xfId="46" applyFont="1" applyBorder="1" applyAlignment="1">
      <alignment wrapText="1"/>
    </xf>
    <xf numFmtId="3" fontId="72" fillId="0" borderId="18" xfId="46" applyNumberFormat="1" applyFont="1" applyBorder="1"/>
    <xf numFmtId="0" fontId="72" fillId="0" borderId="0" xfId="46" applyFont="1"/>
    <xf numFmtId="4" fontId="81" fillId="0" borderId="18" xfId="46" applyNumberFormat="1" applyFont="1" applyBorder="1"/>
    <xf numFmtId="3" fontId="94" fillId="27" borderId="18" xfId="59" applyNumberFormat="1" applyFont="1" applyFill="1" applyBorder="1"/>
    <xf numFmtId="4" fontId="94" fillId="27" borderId="18" xfId="59" applyNumberFormat="1" applyFont="1" applyFill="1" applyBorder="1"/>
    <xf numFmtId="3" fontId="78" fillId="27" borderId="18" xfId="46" applyNumberFormat="1" applyFont="1" applyFill="1" applyBorder="1"/>
    <xf numFmtId="3" fontId="81" fillId="0" borderId="0" xfId="46" applyNumberFormat="1" applyFont="1"/>
    <xf numFmtId="3" fontId="81" fillId="0" borderId="0" xfId="46" applyNumberFormat="1" applyFont="1" applyAlignment="1">
      <alignment wrapText="1"/>
    </xf>
    <xf numFmtId="0" fontId="82" fillId="0" borderId="17" xfId="55" applyFont="1" applyBorder="1"/>
    <xf numFmtId="0" fontId="6" fillId="0" borderId="32" xfId="55" applyBorder="1" applyAlignment="1">
      <alignment horizontal="left" vertical="center"/>
    </xf>
    <xf numFmtId="0" fontId="6" fillId="0" borderId="14" xfId="55" applyBorder="1" applyAlignment="1">
      <alignment horizontal="left" vertical="center"/>
    </xf>
    <xf numFmtId="0" fontId="23" fillId="0" borderId="0" xfId="55" applyFont="1"/>
    <xf numFmtId="0" fontId="6" fillId="0" borderId="39" xfId="55" applyBorder="1"/>
    <xf numFmtId="3" fontId="6" fillId="0" borderId="39" xfId="55" applyNumberFormat="1" applyBorder="1"/>
    <xf numFmtId="0" fontId="23" fillId="0" borderId="0" xfId="55" applyFont="1" applyAlignment="1">
      <alignment horizontal="left" vertical="center" wrapText="1"/>
    </xf>
    <xf numFmtId="0" fontId="6" fillId="0" borderId="0" xfId="55" applyAlignment="1">
      <alignment horizontal="left" wrapText="1"/>
    </xf>
    <xf numFmtId="0" fontId="23" fillId="0" borderId="0" xfId="55" applyFont="1" applyAlignment="1">
      <alignment horizontal="left"/>
    </xf>
    <xf numFmtId="10" fontId="6" fillId="0" borderId="0" xfId="55" applyNumberFormat="1" applyAlignment="1">
      <alignment horizontal="center" vertical="center"/>
    </xf>
    <xf numFmtId="0" fontId="6" fillId="0" borderId="0" xfId="55" applyAlignment="1">
      <alignment horizontal="center" wrapText="1"/>
    </xf>
    <xf numFmtId="0" fontId="19" fillId="0" borderId="17" xfId="55" applyFont="1" applyBorder="1" applyAlignment="1">
      <alignment horizontal="center"/>
    </xf>
    <xf numFmtId="0" fontId="6" fillId="0" borderId="14" xfId="55" applyBorder="1" applyAlignment="1">
      <alignment horizontal="center" vertical="center"/>
    </xf>
    <xf numFmtId="0" fontId="6" fillId="0" borderId="55" xfId="55" applyBorder="1"/>
    <xf numFmtId="0" fontId="6" fillId="0" borderId="20" xfId="55" applyBorder="1"/>
    <xf numFmtId="0" fontId="6" fillId="0" borderId="17" xfId="55" applyBorder="1" applyAlignment="1">
      <alignment wrapText="1"/>
    </xf>
    <xf numFmtId="0" fontId="24" fillId="0" borderId="32" xfId="55" applyFont="1" applyBorder="1"/>
    <xf numFmtId="0" fontId="24" fillId="0" borderId="14" xfId="55" applyFont="1" applyBorder="1"/>
    <xf numFmtId="3" fontId="23" fillId="0" borderId="19" xfId="55" applyNumberFormat="1" applyFont="1" applyBorder="1" applyAlignment="1">
      <alignment horizontal="center"/>
    </xf>
    <xf numFmtId="3" fontId="23" fillId="0" borderId="26" xfId="55" applyNumberFormat="1" applyFont="1" applyBorder="1" applyAlignment="1">
      <alignment horizontal="center"/>
    </xf>
    <xf numFmtId="3" fontId="23" fillId="0" borderId="18" xfId="55" applyNumberFormat="1" applyFont="1" applyBorder="1" applyAlignment="1">
      <alignment horizontal="center"/>
    </xf>
    <xf numFmtId="0" fontId="23" fillId="0" borderId="14" xfId="55" applyFont="1" applyBorder="1"/>
    <xf numFmtId="0" fontId="6" fillId="0" borderId="14" xfId="55" applyBorder="1"/>
    <xf numFmtId="0" fontId="67" fillId="27" borderId="0" xfId="48" applyFont="1" applyFill="1" applyAlignment="1">
      <alignment vertical="top"/>
    </xf>
    <xf numFmtId="9" fontId="67" fillId="27" borderId="0" xfId="48" applyNumberFormat="1" applyFont="1" applyFill="1" applyAlignment="1">
      <alignment vertical="top"/>
    </xf>
    <xf numFmtId="0" fontId="67" fillId="27" borderId="0" xfId="48" applyFont="1" applyFill="1"/>
    <xf numFmtId="0" fontId="24" fillId="0" borderId="0" xfId="0" applyFont="1"/>
    <xf numFmtId="0" fontId="23" fillId="0" borderId="0" xfId="0" applyFont="1" applyAlignment="1">
      <alignment horizontal="center"/>
    </xf>
    <xf numFmtId="0" fontId="23" fillId="40" borderId="16" xfId="0" applyFont="1" applyFill="1" applyBorder="1"/>
    <xf numFmtId="0" fontId="23" fillId="40" borderId="37" xfId="0" applyFont="1" applyFill="1" applyBorder="1"/>
    <xf numFmtId="0" fontId="23" fillId="40" borderId="28" xfId="0" applyFont="1" applyFill="1" applyBorder="1"/>
    <xf numFmtId="0" fontId="24" fillId="0" borderId="14" xfId="0" applyFont="1" applyBorder="1"/>
    <xf numFmtId="196" fontId="24" fillId="0" borderId="18" xfId="0" applyNumberFormat="1" applyFont="1" applyBorder="1"/>
    <xf numFmtId="196" fontId="24" fillId="0" borderId="19" xfId="0" applyNumberFormat="1" applyFont="1" applyBorder="1"/>
    <xf numFmtId="196" fontId="0" fillId="0" borderId="18" xfId="0" applyNumberFormat="1" applyBorder="1"/>
    <xf numFmtId="196" fontId="0" fillId="0" borderId="19" xfId="0" applyNumberFormat="1" applyBorder="1"/>
    <xf numFmtId="0" fontId="23" fillId="40" borderId="17" xfId="0" applyFont="1" applyFill="1" applyBorder="1" applyAlignment="1">
      <alignment horizontal="center"/>
    </xf>
    <xf numFmtId="196" fontId="23" fillId="40" borderId="48" xfId="0" applyNumberFormat="1" applyFont="1" applyFill="1" applyBorder="1"/>
    <xf numFmtId="196" fontId="23" fillId="40" borderId="29" xfId="0" applyNumberFormat="1" applyFont="1" applyFill="1" applyBorder="1"/>
    <xf numFmtId="196" fontId="80" fillId="27" borderId="18" xfId="53" applyNumberFormat="1" applyFont="1" applyFill="1" applyBorder="1" applyAlignment="1" applyProtection="1">
      <alignment vertical="center" wrapText="1" readingOrder="1"/>
      <protection locked="0"/>
    </xf>
    <xf numFmtId="0" fontId="0" fillId="0" borderId="14" xfId="0" applyBorder="1"/>
    <xf numFmtId="196" fontId="0" fillId="0" borderId="0" xfId="0" applyNumberFormat="1"/>
    <xf numFmtId="0" fontId="23" fillId="40" borderId="14" xfId="0" applyFont="1" applyFill="1" applyBorder="1" applyAlignment="1">
      <alignment horizontal="center" wrapText="1"/>
    </xf>
    <xf numFmtId="0" fontId="23" fillId="40" borderId="18" xfId="0" applyFont="1" applyFill="1" applyBorder="1" applyAlignment="1">
      <alignment horizontal="center"/>
    </xf>
    <xf numFmtId="0" fontId="23" fillId="40" borderId="26" xfId="0" applyFont="1" applyFill="1" applyBorder="1" applyAlignment="1">
      <alignment horizontal="center"/>
    </xf>
    <xf numFmtId="0" fontId="23" fillId="40" borderId="19" xfId="0" applyFont="1" applyFill="1" applyBorder="1" applyAlignment="1">
      <alignment horizontal="center"/>
    </xf>
    <xf numFmtId="0" fontId="24" fillId="0" borderId="67" xfId="0" applyFont="1" applyBorder="1"/>
    <xf numFmtId="196" fontId="0" fillId="0" borderId="14" xfId="0" applyNumberFormat="1" applyBorder="1"/>
    <xf numFmtId="196" fontId="24" fillId="0" borderId="26" xfId="0" applyNumberFormat="1" applyFont="1" applyBorder="1"/>
    <xf numFmtId="196" fontId="24" fillId="0" borderId="0" xfId="0" applyNumberFormat="1" applyFont="1"/>
    <xf numFmtId="196" fontId="0" fillId="0" borderId="26" xfId="0" applyNumberFormat="1" applyBorder="1"/>
    <xf numFmtId="0" fontId="24" fillId="0" borderId="82" xfId="0" applyFont="1" applyBorder="1"/>
    <xf numFmtId="196" fontId="0" fillId="0" borderId="32" xfId="0" applyNumberFormat="1" applyBorder="1"/>
    <xf numFmtId="196" fontId="0" fillId="0" borderId="52" xfId="0" applyNumberFormat="1" applyBorder="1"/>
    <xf numFmtId="196" fontId="0" fillId="0" borderId="86" xfId="0" applyNumberFormat="1" applyBorder="1"/>
    <xf numFmtId="196" fontId="0" fillId="0" borderId="53" xfId="0" applyNumberFormat="1" applyBorder="1"/>
    <xf numFmtId="0" fontId="23" fillId="40" borderId="42" xfId="0" applyFont="1" applyFill="1" applyBorder="1" applyAlignment="1">
      <alignment horizontal="center"/>
    </xf>
    <xf numFmtId="196" fontId="23" fillId="40" borderId="10" xfId="0" applyNumberFormat="1" applyFont="1" applyFill="1" applyBorder="1"/>
    <xf numFmtId="196" fontId="23" fillId="40" borderId="21" xfId="0" applyNumberFormat="1" applyFont="1" applyFill="1" applyBorder="1"/>
    <xf numFmtId="196" fontId="23" fillId="40" borderId="66" xfId="0" applyNumberFormat="1" applyFont="1" applyFill="1" applyBorder="1"/>
    <xf numFmtId="196" fontId="23" fillId="40" borderId="22" xfId="0" applyNumberFormat="1" applyFont="1" applyFill="1" applyBorder="1"/>
    <xf numFmtId="0" fontId="0" fillId="0" borderId="82" xfId="0" applyBorder="1"/>
    <xf numFmtId="196" fontId="23" fillId="0" borderId="0" xfId="0" applyNumberFormat="1" applyFont="1"/>
    <xf numFmtId="0" fontId="23" fillId="27" borderId="0" xfId="48" applyFont="1" applyFill="1" applyAlignment="1">
      <alignment horizontal="center" wrapText="1"/>
    </xf>
    <xf numFmtId="0" fontId="23" fillId="40" borderId="48" xfId="0" applyFont="1" applyFill="1" applyBorder="1" applyAlignment="1">
      <alignment horizontal="center"/>
    </xf>
    <xf numFmtId="0" fontId="23" fillId="40" borderId="29" xfId="0" applyFont="1" applyFill="1" applyBorder="1" applyAlignment="1">
      <alignment horizontal="center"/>
    </xf>
    <xf numFmtId="0" fontId="24" fillId="27" borderId="11" xfId="48" applyFont="1" applyFill="1" applyBorder="1"/>
    <xf numFmtId="196" fontId="0" fillId="0" borderId="12" xfId="0" applyNumberFormat="1" applyBorder="1"/>
    <xf numFmtId="196" fontId="0" fillId="0" borderId="13" xfId="0" applyNumberFormat="1" applyBorder="1"/>
    <xf numFmtId="0" fontId="24" fillId="27" borderId="14" xfId="48" applyFont="1" applyFill="1" applyBorder="1" applyAlignment="1">
      <alignment horizontal="left" wrapText="1"/>
    </xf>
    <xf numFmtId="0" fontId="24" fillId="27" borderId="32" xfId="48" applyFont="1" applyFill="1" applyBorder="1" applyAlignment="1">
      <alignment horizontal="left"/>
    </xf>
    <xf numFmtId="0" fontId="23" fillId="40" borderId="10" xfId="0" applyFont="1" applyFill="1" applyBorder="1" applyAlignment="1">
      <alignment horizontal="center"/>
    </xf>
    <xf numFmtId="0" fontId="24" fillId="27" borderId="14" xfId="48" applyFont="1" applyFill="1" applyBorder="1" applyAlignment="1">
      <alignment horizontal="left"/>
    </xf>
    <xf numFmtId="0" fontId="24" fillId="0" borderId="32" xfId="0" applyFont="1" applyBorder="1"/>
    <xf numFmtId="0" fontId="0" fillId="40" borderId="10" xfId="0" applyFill="1" applyBorder="1"/>
    <xf numFmtId="0" fontId="23" fillId="40" borderId="21" xfId="0" applyFont="1" applyFill="1" applyBorder="1" applyAlignment="1">
      <alignment horizontal="center"/>
    </xf>
    <xf numFmtId="0" fontId="23" fillId="40" borderId="22" xfId="0" applyFont="1" applyFill="1" applyBorder="1" applyAlignment="1">
      <alignment horizontal="center"/>
    </xf>
    <xf numFmtId="0" fontId="24" fillId="0" borderId="11" xfId="53" applyBorder="1" applyAlignment="1" applyProtection="1">
      <alignment vertical="center" wrapText="1" readingOrder="1"/>
      <protection locked="0"/>
    </xf>
    <xf numFmtId="196" fontId="24" fillId="0" borderId="12" xfId="43" applyNumberFormat="1" applyFont="1" applyBorder="1" applyAlignment="1">
      <alignment vertical="center" wrapText="1"/>
    </xf>
    <xf numFmtId="196" fontId="24" fillId="0" borderId="13" xfId="43" applyNumberFormat="1" applyFont="1" applyBorder="1" applyAlignment="1">
      <alignment vertical="center" wrapText="1"/>
    </xf>
    <xf numFmtId="0" fontId="102" fillId="0" borderId="14" xfId="53" applyFont="1" applyBorder="1" applyAlignment="1" applyProtection="1">
      <alignment vertical="center" wrapText="1" readingOrder="1"/>
      <protection locked="0"/>
    </xf>
    <xf numFmtId="196" fontId="24" fillId="0" borderId="19" xfId="43" applyNumberFormat="1" applyFont="1" applyBorder="1" applyAlignment="1">
      <alignment vertical="center" wrapText="1"/>
    </xf>
    <xf numFmtId="0" fontId="24" fillId="27" borderId="14" xfId="48" applyFont="1" applyFill="1" applyBorder="1"/>
    <xf numFmtId="0" fontId="24" fillId="27" borderId="32" xfId="48" applyFont="1" applyFill="1" applyBorder="1"/>
    <xf numFmtId="167" fontId="23" fillId="40" borderId="10" xfId="31" applyNumberFormat="1" applyFont="1" applyFill="1" applyBorder="1" applyAlignment="1">
      <alignment horizontal="center" vertical="center" wrapText="1"/>
    </xf>
    <xf numFmtId="0" fontId="0" fillId="27" borderId="0" xfId="0" applyFill="1" applyAlignment="1">
      <alignment vertical="center" wrapText="1"/>
    </xf>
    <xf numFmtId="166" fontId="28" fillId="27" borderId="0" xfId="43" applyNumberFormat="1" applyFont="1" applyFill="1" applyAlignment="1">
      <alignment horizontal="center" vertical="center" wrapText="1"/>
    </xf>
    <xf numFmtId="0" fontId="95" fillId="27" borderId="0" xfId="48" applyFont="1" applyFill="1" applyAlignment="1">
      <alignment horizontal="center" vertical="top"/>
    </xf>
    <xf numFmtId="0" fontId="88" fillId="0" borderId="18" xfId="54" applyFont="1" applyBorder="1" applyAlignment="1" applyProtection="1">
      <alignment horizontal="left" vertical="center" wrapText="1" readingOrder="1"/>
      <protection locked="0"/>
    </xf>
    <xf numFmtId="0" fontId="67" fillId="27" borderId="0" xfId="0" applyFont="1" applyFill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9" fontId="67" fillId="27" borderId="0" xfId="0" applyNumberFormat="1" applyFont="1" applyFill="1" applyAlignment="1">
      <alignment horizontal="right"/>
    </xf>
    <xf numFmtId="9" fontId="67" fillId="27" borderId="0" xfId="48" applyNumberFormat="1" applyFont="1" applyFill="1" applyAlignment="1"/>
    <xf numFmtId="9" fontId="95" fillId="27" borderId="0" xfId="48" applyNumberFormat="1" applyFont="1" applyFill="1" applyAlignment="1">
      <alignment horizontal="center" vertical="top"/>
    </xf>
    <xf numFmtId="9" fontId="23" fillId="0" borderId="0" xfId="0" applyNumberFormat="1" applyFont="1" applyAlignment="1">
      <alignment horizontal="center"/>
    </xf>
    <xf numFmtId="9" fontId="0" fillId="0" borderId="0" xfId="0" applyNumberFormat="1" applyAlignment="1"/>
    <xf numFmtId="0" fontId="23" fillId="40" borderId="0" xfId="0" applyFont="1" applyFill="1" applyBorder="1" applyAlignment="1">
      <alignment horizontal="center"/>
    </xf>
    <xf numFmtId="0" fontId="23" fillId="40" borderId="0" xfId="0" applyFont="1" applyFill="1" applyBorder="1"/>
    <xf numFmtId="196" fontId="24" fillId="0" borderId="0" xfId="0" applyNumberFormat="1" applyFont="1" applyBorder="1"/>
    <xf numFmtId="196" fontId="0" fillId="0" borderId="0" xfId="0" applyNumberFormat="1" applyBorder="1"/>
    <xf numFmtId="196" fontId="23" fillId="40" borderId="0" xfId="0" applyNumberFormat="1" applyFont="1" applyFill="1" applyBorder="1"/>
    <xf numFmtId="166" fontId="35" fillId="0" borderId="0" xfId="43" applyNumberFormat="1" applyFont="1" applyAlignment="1">
      <alignment horizontal="left" vertical="center" wrapText="1"/>
    </xf>
    <xf numFmtId="169" fontId="41" fillId="27" borderId="19" xfId="45" applyNumberFormat="1" applyFont="1" applyFill="1" applyBorder="1" applyAlignment="1" applyProtection="1">
      <alignment horizontal="right" vertical="center" wrapText="1" readingOrder="1"/>
      <protection locked="0"/>
    </xf>
    <xf numFmtId="196" fontId="24" fillId="27" borderId="19" xfId="45" applyNumberFormat="1" applyFill="1" applyBorder="1"/>
    <xf numFmtId="169" fontId="42" fillId="27" borderId="53" xfId="45" applyNumberFormat="1" applyFont="1" applyFill="1" applyBorder="1" applyAlignment="1" applyProtection="1">
      <alignment horizontal="right" vertical="center" wrapText="1" readingOrder="1"/>
      <protection locked="0"/>
    </xf>
    <xf numFmtId="0" fontId="23" fillId="40" borderId="47" xfId="0" applyFont="1" applyFill="1" applyBorder="1"/>
    <xf numFmtId="196" fontId="23" fillId="40" borderId="49" xfId="0" applyNumberFormat="1" applyFont="1" applyFill="1" applyBorder="1"/>
    <xf numFmtId="9" fontId="0" fillId="0" borderId="28" xfId="0" applyNumberFormat="1" applyBorder="1" applyAlignment="1"/>
    <xf numFmtId="196" fontId="24" fillId="0" borderId="14" xfId="0" applyNumberFormat="1" applyFont="1" applyBorder="1"/>
    <xf numFmtId="9" fontId="0" fillId="0" borderId="19" xfId="0" applyNumberFormat="1" applyBorder="1" applyAlignment="1"/>
    <xf numFmtId="196" fontId="23" fillId="40" borderId="17" xfId="0" applyNumberFormat="1" applyFont="1" applyFill="1" applyBorder="1"/>
    <xf numFmtId="9" fontId="0" fillId="0" borderId="29" xfId="0" applyNumberFormat="1" applyBorder="1" applyAlignment="1"/>
    <xf numFmtId="166" fontId="30" fillId="27" borderId="105" xfId="43" applyNumberFormat="1" applyFont="1" applyFill="1" applyBorder="1" applyAlignment="1">
      <alignment horizontal="center" vertical="center" wrapText="1"/>
    </xf>
    <xf numFmtId="166" fontId="30" fillId="27" borderId="59" xfId="43" applyNumberFormat="1" applyFont="1" applyFill="1" applyBorder="1" applyAlignment="1">
      <alignment horizontal="center" vertical="center" wrapText="1"/>
    </xf>
    <xf numFmtId="166" fontId="27" fillId="27" borderId="0" xfId="43" applyNumberFormat="1" applyFont="1" applyFill="1" applyAlignment="1">
      <alignment horizontal="right" vertical="center" wrapText="1"/>
    </xf>
    <xf numFmtId="0" fontId="0" fillId="27" borderId="0" xfId="0" applyFill="1" applyAlignment="1">
      <alignment vertical="center" wrapText="1"/>
    </xf>
    <xf numFmtId="166" fontId="28" fillId="27" borderId="0" xfId="43" applyNumberFormat="1" applyFont="1" applyFill="1" applyAlignment="1">
      <alignment horizontal="center" vertical="center" wrapText="1"/>
    </xf>
    <xf numFmtId="3" fontId="6" fillId="14" borderId="0" xfId="59" applyNumberFormat="1" applyFill="1" applyAlignment="1">
      <alignment wrapText="1"/>
    </xf>
    <xf numFmtId="0" fontId="0" fillId="0" borderId="0" xfId="0"/>
    <xf numFmtId="166" fontId="27" fillId="0" borderId="0" xfId="43" applyNumberFormat="1" applyFont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/>
    <xf numFmtId="3" fontId="82" fillId="14" borderId="0" xfId="59" applyNumberFormat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166" fontId="31" fillId="0" borderId="58" xfId="43" applyNumberFormat="1" applyFont="1" applyBorder="1" applyAlignment="1">
      <alignment horizontal="center" vertical="center" wrapText="1"/>
    </xf>
    <xf numFmtId="0" fontId="6" fillId="0" borderId="34" xfId="55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7" borderId="0" xfId="0" applyFill="1" applyAlignment="1">
      <alignment horizontal="right" vertical="center" wrapText="1"/>
    </xf>
    <xf numFmtId="166" fontId="26" fillId="27" borderId="60" xfId="43" applyNumberFormat="1" applyFill="1" applyBorder="1" applyAlignment="1">
      <alignment vertical="center"/>
    </xf>
    <xf numFmtId="0" fontId="0" fillId="27" borderId="60" xfId="0" applyFill="1" applyBorder="1" applyAlignment="1">
      <alignment vertical="center"/>
    </xf>
    <xf numFmtId="0" fontId="0" fillId="0" borderId="0" xfId="0" applyAlignment="1">
      <alignment horizontal="right" vertical="center" wrapText="1"/>
    </xf>
    <xf numFmtId="166" fontId="63" fillId="14" borderId="60" xfId="43" applyNumberFormat="1" applyFont="1" applyFill="1" applyBorder="1" applyAlignment="1">
      <alignment vertical="center" wrapText="1"/>
    </xf>
    <xf numFmtId="0" fontId="51" fillId="0" borderId="6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4" fillId="27" borderId="0" xfId="42" applyFill="1" applyAlignment="1">
      <alignment horizontal="right" vertical="center" wrapText="1"/>
    </xf>
    <xf numFmtId="166" fontId="30" fillId="27" borderId="100" xfId="43" applyNumberFormat="1" applyFont="1" applyFill="1" applyBorder="1" applyAlignment="1">
      <alignment horizontal="center" vertical="center" wrapText="1"/>
    </xf>
    <xf numFmtId="166" fontId="30" fillId="27" borderId="70" xfId="43" applyNumberFormat="1" applyFont="1" applyFill="1" applyBorder="1" applyAlignment="1">
      <alignment horizontal="center" vertical="center" wrapText="1"/>
    </xf>
    <xf numFmtId="0" fontId="24" fillId="0" borderId="0" xfId="42" applyAlignment="1">
      <alignment horizontal="right"/>
    </xf>
    <xf numFmtId="0" fontId="43" fillId="27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95" fillId="27" borderId="0" xfId="48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40" borderId="58" xfId="0" applyFont="1" applyFill="1" applyBorder="1" applyAlignment="1">
      <alignment horizontal="center"/>
    </xf>
    <xf numFmtId="0" fontId="23" fillId="40" borderId="33" xfId="0" applyFont="1" applyFill="1" applyBorder="1" applyAlignment="1">
      <alignment horizontal="center"/>
    </xf>
    <xf numFmtId="0" fontId="23" fillId="40" borderId="35" xfId="0" applyFont="1" applyFill="1" applyBorder="1" applyAlignment="1">
      <alignment horizontal="center"/>
    </xf>
    <xf numFmtId="0" fontId="95" fillId="41" borderId="20" xfId="0" applyFont="1" applyFill="1" applyBorder="1" applyAlignment="1">
      <alignment horizontal="center"/>
    </xf>
    <xf numFmtId="0" fontId="95" fillId="41" borderId="0" xfId="0" applyFont="1" applyFill="1" applyBorder="1" applyAlignment="1">
      <alignment horizontal="center"/>
    </xf>
    <xf numFmtId="0" fontId="23" fillId="40" borderId="20" xfId="0" applyFont="1" applyFill="1" applyBorder="1" applyAlignment="1">
      <alignment horizontal="center"/>
    </xf>
    <xf numFmtId="0" fontId="23" fillId="40" borderId="0" xfId="0" applyFont="1" applyFill="1" applyBorder="1" applyAlignment="1">
      <alignment horizontal="center"/>
    </xf>
    <xf numFmtId="0" fontId="23" fillId="40" borderId="25" xfId="0" applyFont="1" applyFill="1" applyBorder="1" applyAlignment="1">
      <alignment horizontal="center"/>
    </xf>
    <xf numFmtId="0" fontId="67" fillId="27" borderId="0" xfId="0" applyFont="1" applyFill="1" applyAlignment="1">
      <alignment horizontal="right" wrapText="1"/>
    </xf>
    <xf numFmtId="0" fontId="95" fillId="27" borderId="0" xfId="48" applyFont="1" applyFill="1" applyAlignment="1">
      <alignment horizontal="center" vertical="top"/>
    </xf>
    <xf numFmtId="0" fontId="95" fillId="41" borderId="58" xfId="0" applyFont="1" applyFill="1" applyBorder="1" applyAlignment="1">
      <alignment horizontal="center"/>
    </xf>
    <xf numFmtId="0" fontId="95" fillId="41" borderId="33" xfId="0" applyFont="1" applyFill="1" applyBorder="1" applyAlignment="1">
      <alignment horizontal="center"/>
    </xf>
    <xf numFmtId="0" fontId="95" fillId="41" borderId="25" xfId="0" applyFont="1" applyFill="1" applyBorder="1" applyAlignment="1">
      <alignment horizontal="center"/>
    </xf>
    <xf numFmtId="0" fontId="23" fillId="40" borderId="105" xfId="0" applyFont="1" applyFill="1" applyBorder="1" applyAlignment="1">
      <alignment horizontal="center"/>
    </xf>
    <xf numFmtId="0" fontId="23" fillId="40" borderId="106" xfId="0" applyFont="1" applyFill="1" applyBorder="1" applyAlignment="1">
      <alignment horizontal="center"/>
    </xf>
    <xf numFmtId="0" fontId="23" fillId="40" borderId="16" xfId="0" applyFont="1" applyFill="1" applyBorder="1" applyAlignment="1">
      <alignment horizontal="center"/>
    </xf>
    <xf numFmtId="0" fontId="23" fillId="40" borderId="37" xfId="0" applyFont="1" applyFill="1" applyBorder="1" applyAlignment="1">
      <alignment horizontal="center"/>
    </xf>
    <xf numFmtId="0" fontId="23" fillId="40" borderId="47" xfId="0" applyFont="1" applyFill="1" applyBorder="1" applyAlignment="1">
      <alignment horizontal="center"/>
    </xf>
    <xf numFmtId="0" fontId="23" fillId="40" borderId="28" xfId="0" applyFont="1" applyFill="1" applyBorder="1" applyAlignment="1">
      <alignment horizontal="center"/>
    </xf>
    <xf numFmtId="0" fontId="0" fillId="40" borderId="46" xfId="0" applyFill="1" applyBorder="1" applyAlignment="1">
      <alignment horizontal="center"/>
    </xf>
    <xf numFmtId="0" fontId="0" fillId="40" borderId="30" xfId="0" applyFill="1" applyBorder="1" applyAlignment="1">
      <alignment horizontal="center"/>
    </xf>
    <xf numFmtId="0" fontId="23" fillId="41" borderId="37" xfId="0" applyFont="1" applyFill="1" applyBorder="1" applyAlignment="1">
      <alignment horizontal="center"/>
    </xf>
    <xf numFmtId="0" fontId="23" fillId="41" borderId="28" xfId="0" applyFont="1" applyFill="1" applyBorder="1" applyAlignment="1">
      <alignment horizontal="center"/>
    </xf>
    <xf numFmtId="0" fontId="23" fillId="40" borderId="100" xfId="0" applyFont="1" applyFill="1" applyBorder="1" applyAlignment="1">
      <alignment horizontal="center"/>
    </xf>
    <xf numFmtId="0" fontId="23" fillId="40" borderId="67" xfId="0" applyFont="1" applyFill="1" applyBorder="1" applyAlignment="1">
      <alignment horizontal="center"/>
    </xf>
    <xf numFmtId="0" fontId="70" fillId="27" borderId="0" xfId="48" applyFont="1" applyFill="1" applyAlignment="1">
      <alignment horizontal="center" wrapText="1"/>
    </xf>
    <xf numFmtId="0" fontId="23" fillId="27" borderId="0" xfId="48" applyFont="1" applyFill="1" applyAlignment="1">
      <alignment horizontal="center" wrapText="1"/>
    </xf>
    <xf numFmtId="167" fontId="23" fillId="27" borderId="19" xfId="29" applyNumberFormat="1" applyFont="1" applyFill="1" applyBorder="1" applyAlignment="1">
      <alignment horizontal="center" vertical="center" wrapText="1"/>
    </xf>
    <xf numFmtId="167" fontId="23" fillId="27" borderId="29" xfId="29" applyNumberFormat="1" applyFont="1" applyFill="1" applyBorder="1" applyAlignment="1">
      <alignment horizontal="center" vertical="center" wrapText="1"/>
    </xf>
    <xf numFmtId="167" fontId="23" fillId="27" borderId="0" xfId="29" applyNumberFormat="1" applyFont="1" applyFill="1" applyBorder="1" applyAlignment="1">
      <alignment horizontal="center" vertical="center" wrapText="1"/>
    </xf>
    <xf numFmtId="167" fontId="23" fillId="27" borderId="18" xfId="29" applyNumberFormat="1" applyFont="1" applyFill="1" applyBorder="1" applyAlignment="1">
      <alignment horizontal="center" vertical="center" wrapText="1"/>
    </xf>
    <xf numFmtId="167" fontId="23" fillId="27" borderId="48" xfId="29" applyNumberFormat="1" applyFont="1" applyFill="1" applyBorder="1" applyAlignment="1">
      <alignment horizontal="center" vertical="center" wrapText="1"/>
    </xf>
    <xf numFmtId="0" fontId="23" fillId="0" borderId="14" xfId="42" applyFont="1" applyBorder="1" applyAlignment="1">
      <alignment horizontal="center" vertical="center" wrapText="1"/>
    </xf>
    <xf numFmtId="0" fontId="23" fillId="0" borderId="18" xfId="0" applyFont="1" applyBorder="1" applyAlignment="1">
      <alignment vertical="center" wrapText="1"/>
    </xf>
    <xf numFmtId="0" fontId="23" fillId="0" borderId="17" xfId="42" applyFont="1" applyBorder="1" applyAlignment="1">
      <alignment horizontal="center" vertical="center" wrapText="1"/>
    </xf>
    <xf numFmtId="0" fontId="23" fillId="0" borderId="48" xfId="0" applyFont="1" applyBorder="1" applyAlignment="1">
      <alignment vertical="center" wrapText="1"/>
    </xf>
    <xf numFmtId="14" fontId="23" fillId="0" borderId="18" xfId="42" applyNumberFormat="1" applyFont="1" applyBorder="1" applyAlignment="1">
      <alignment horizontal="center" vertical="center" wrapText="1"/>
    </xf>
    <xf numFmtId="14" fontId="23" fillId="0" borderId="48" xfId="42" applyNumberFormat="1" applyFont="1" applyBorder="1" applyAlignment="1">
      <alignment horizontal="center" vertical="center" wrapText="1"/>
    </xf>
    <xf numFmtId="3" fontId="23" fillId="0" borderId="18" xfId="42" applyNumberFormat="1" applyFont="1" applyBorder="1" applyAlignment="1">
      <alignment vertical="center"/>
    </xf>
    <xf numFmtId="3" fontId="23" fillId="0" borderId="18" xfId="0" applyNumberFormat="1" applyFont="1" applyBorder="1" applyAlignment="1">
      <alignment vertical="center"/>
    </xf>
    <xf numFmtId="3" fontId="23" fillId="0" borderId="48" xfId="0" applyNumberFormat="1" applyFont="1" applyBorder="1" applyAlignment="1">
      <alignment vertical="center"/>
    </xf>
    <xf numFmtId="0" fontId="23" fillId="0" borderId="18" xfId="42" applyFont="1" applyBorder="1" applyAlignment="1">
      <alignment horizontal="center" vertical="center" wrapText="1"/>
    </xf>
    <xf numFmtId="0" fontId="23" fillId="0" borderId="48" xfId="42" applyFont="1" applyBorder="1" applyAlignment="1">
      <alignment horizontal="center" vertical="center" wrapText="1"/>
    </xf>
    <xf numFmtId="167" fontId="23" fillId="0" borderId="18" xfId="29" applyNumberFormat="1" applyFont="1" applyBorder="1" applyAlignment="1">
      <alignment horizontal="center" vertical="center" wrapText="1"/>
    </xf>
    <xf numFmtId="167" fontId="23" fillId="0" borderId="48" xfId="29" applyNumberFormat="1" applyFont="1" applyBorder="1" applyAlignment="1">
      <alignment horizontal="center" vertical="center" wrapText="1"/>
    </xf>
    <xf numFmtId="49" fontId="23" fillId="0" borderId="18" xfId="42" applyNumberFormat="1" applyFont="1" applyBorder="1" applyAlignment="1">
      <alignment horizontal="center" vertical="center" wrapText="1"/>
    </xf>
    <xf numFmtId="49" fontId="23" fillId="0" borderId="48" xfId="42" applyNumberFormat="1" applyFont="1" applyBorder="1" applyAlignment="1">
      <alignment horizontal="center" vertical="center" wrapText="1"/>
    </xf>
    <xf numFmtId="167" fontId="24" fillId="27" borderId="0" xfId="29" applyNumberFormat="1" applyFont="1" applyFill="1" applyBorder="1" applyAlignment="1">
      <alignment horizontal="center" vertical="center" wrapText="1"/>
    </xf>
    <xf numFmtId="0" fontId="24" fillId="0" borderId="14" xfId="42" applyBorder="1" applyAlignment="1">
      <alignment horizontal="center" vertical="center" wrapText="1"/>
    </xf>
    <xf numFmtId="0" fontId="51" fillId="0" borderId="18" xfId="42" applyFont="1" applyBorder="1" applyAlignment="1">
      <alignment horizontal="left" vertical="center" wrapText="1"/>
    </xf>
    <xf numFmtId="14" fontId="24" fillId="0" borderId="18" xfId="29" applyNumberFormat="1" applyFont="1" applyFill="1" applyBorder="1" applyAlignment="1">
      <alignment horizontal="center" vertical="center" wrapText="1"/>
    </xf>
    <xf numFmtId="3" fontId="24" fillId="0" borderId="18" xfId="42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24" fillId="0" borderId="18" xfId="42" applyBorder="1" applyAlignment="1">
      <alignment horizontal="center" vertical="center" wrapText="1"/>
    </xf>
    <xf numFmtId="167" fontId="24" fillId="0" borderId="18" xfId="29" applyNumberFormat="1" applyFont="1" applyBorder="1" applyAlignment="1">
      <alignment horizontal="center" vertical="center" wrapText="1"/>
    </xf>
    <xf numFmtId="14" fontId="24" fillId="0" borderId="18" xfId="29" applyNumberFormat="1" applyFont="1" applyBorder="1" applyAlignment="1">
      <alignment horizontal="center" vertical="center" wrapText="1"/>
    </xf>
    <xf numFmtId="167" fontId="24" fillId="27" borderId="18" xfId="29" applyNumberFormat="1" applyFont="1" applyFill="1" applyBorder="1" applyAlignment="1">
      <alignment horizontal="center" vertical="center" wrapText="1"/>
    </xf>
    <xf numFmtId="167" fontId="24" fillId="27" borderId="19" xfId="29" applyNumberFormat="1" applyFont="1" applyFill="1" applyBorder="1" applyAlignment="1">
      <alignment horizontal="center" vertical="center" wrapText="1"/>
    </xf>
    <xf numFmtId="0" fontId="51" fillId="0" borderId="0" xfId="42" applyFont="1" applyAlignment="1">
      <alignment horizontal="center" vertical="center" wrapText="1"/>
    </xf>
    <xf numFmtId="0" fontId="51" fillId="0" borderId="16" xfId="42" applyFont="1" applyBorder="1" applyAlignment="1">
      <alignment horizontal="center" vertical="center" wrapText="1"/>
    </xf>
    <xf numFmtId="0" fontId="51" fillId="0" borderId="37" xfId="42" applyFont="1" applyBorder="1" applyAlignment="1">
      <alignment horizontal="center" vertical="center" wrapText="1"/>
    </xf>
    <xf numFmtId="0" fontId="51" fillId="0" borderId="14" xfId="42" applyFont="1" applyBorder="1" applyAlignment="1">
      <alignment horizontal="center" vertical="center" wrapText="1"/>
    </xf>
    <xf numFmtId="0" fontId="51" fillId="0" borderId="18" xfId="42" applyFont="1" applyBorder="1" applyAlignment="1">
      <alignment horizontal="center" vertical="center" wrapText="1"/>
    </xf>
    <xf numFmtId="0" fontId="51" fillId="0" borderId="28" xfId="42" applyFont="1" applyBorder="1" applyAlignment="1">
      <alignment horizontal="center" vertical="center" wrapText="1"/>
    </xf>
    <xf numFmtId="0" fontId="51" fillId="0" borderId="19" xfId="42" applyFont="1" applyBorder="1" applyAlignment="1">
      <alignment horizontal="center" vertical="center" wrapText="1"/>
    </xf>
    <xf numFmtId="167" fontId="23" fillId="0" borderId="37" xfId="29" applyNumberFormat="1" applyFont="1" applyBorder="1" applyAlignment="1">
      <alignment horizontal="center" vertical="center" wrapText="1"/>
    </xf>
    <xf numFmtId="167" fontId="23" fillId="0" borderId="47" xfId="29" applyNumberFormat="1" applyFont="1" applyBorder="1" applyAlignment="1">
      <alignment horizontal="center" vertical="center" wrapText="1"/>
    </xf>
    <xf numFmtId="167" fontId="23" fillId="0" borderId="49" xfId="29" applyNumberFormat="1" applyFont="1" applyBorder="1" applyAlignment="1">
      <alignment horizontal="center" vertical="center" wrapText="1"/>
    </xf>
    <xf numFmtId="167" fontId="23" fillId="0" borderId="28" xfId="29" applyNumberFormat="1" applyFont="1" applyBorder="1" applyAlignment="1">
      <alignment horizontal="center" vertical="center" wrapText="1"/>
    </xf>
    <xf numFmtId="167" fontId="23" fillId="0" borderId="29" xfId="29" applyNumberFormat="1" applyFont="1" applyBorder="1" applyAlignment="1">
      <alignment horizontal="center" vertical="center" wrapText="1"/>
    </xf>
    <xf numFmtId="0" fontId="24" fillId="0" borderId="0" xfId="42" applyAlignment="1">
      <alignment vertical="center" wrapText="1"/>
    </xf>
    <xf numFmtId="0" fontId="76" fillId="0" borderId="0" xfId="42" applyFont="1" applyAlignment="1">
      <alignment horizontal="center" vertical="center"/>
    </xf>
    <xf numFmtId="0" fontId="24" fillId="0" borderId="23" xfId="42" applyBorder="1" applyAlignment="1">
      <alignment horizontal="center" vertical="center" wrapText="1"/>
    </xf>
    <xf numFmtId="0" fontId="24" fillId="0" borderId="12" xfId="42" applyBorder="1" applyAlignment="1">
      <alignment horizontal="center" vertical="center" wrapText="1"/>
    </xf>
    <xf numFmtId="167" fontId="24" fillId="0" borderId="23" xfId="29" applyNumberFormat="1" applyFont="1" applyFill="1" applyBorder="1" applyAlignment="1">
      <alignment horizontal="center" vertical="center" wrapText="1"/>
    </xf>
    <xf numFmtId="167" fontId="24" fillId="0" borderId="12" xfId="29" applyNumberFormat="1" applyFont="1" applyFill="1" applyBorder="1" applyAlignment="1">
      <alignment horizontal="center" vertical="center" wrapText="1"/>
    </xf>
    <xf numFmtId="167" fontId="24" fillId="18" borderId="23" xfId="29" applyNumberFormat="1" applyFont="1" applyFill="1" applyBorder="1" applyAlignment="1">
      <alignment horizontal="center" vertical="center" wrapText="1"/>
    </xf>
    <xf numFmtId="167" fontId="24" fillId="18" borderId="12" xfId="29" applyNumberFormat="1" applyFont="1" applyFill="1" applyBorder="1" applyAlignment="1">
      <alignment horizontal="center" vertical="center" wrapText="1"/>
    </xf>
    <xf numFmtId="167" fontId="24" fillId="18" borderId="24" xfId="29" applyNumberFormat="1" applyFont="1" applyFill="1" applyBorder="1" applyAlignment="1">
      <alignment horizontal="center" vertical="center" wrapText="1"/>
    </xf>
    <xf numFmtId="167" fontId="24" fillId="18" borderId="13" xfId="29" applyNumberFormat="1" applyFont="1" applyFill="1" applyBorder="1" applyAlignment="1">
      <alignment horizontal="center" vertical="center" wrapText="1"/>
    </xf>
    <xf numFmtId="0" fontId="24" fillId="0" borderId="16" xfId="42" applyBorder="1" applyAlignment="1">
      <alignment horizontal="center" vertical="center"/>
    </xf>
    <xf numFmtId="0" fontId="24" fillId="0" borderId="37" xfId="42" applyBorder="1" applyAlignment="1">
      <alignment horizontal="center" vertical="center"/>
    </xf>
    <xf numFmtId="0" fontId="24" fillId="0" borderId="37" xfId="42" applyBorder="1" applyAlignment="1">
      <alignment vertical="center"/>
    </xf>
    <xf numFmtId="0" fontId="24" fillId="0" borderId="17" xfId="42" applyBorder="1" applyAlignment="1">
      <alignment horizontal="center" vertical="center"/>
    </xf>
    <xf numFmtId="0" fontId="24" fillId="0" borderId="48" xfId="42" applyBorder="1" applyAlignment="1">
      <alignment horizontal="center" vertical="center"/>
    </xf>
    <xf numFmtId="0" fontId="24" fillId="0" borderId="48" xfId="42" applyBorder="1" applyAlignment="1">
      <alignment vertical="center"/>
    </xf>
    <xf numFmtId="167" fontId="24" fillId="18" borderId="37" xfId="29" applyNumberFormat="1" applyFont="1" applyFill="1" applyBorder="1" applyAlignment="1">
      <alignment horizontal="center" vertical="center" wrapText="1"/>
    </xf>
    <xf numFmtId="167" fontId="24" fillId="18" borderId="48" xfId="29" applyNumberFormat="1" applyFont="1" applyFill="1" applyBorder="1" applyAlignment="1">
      <alignment horizontal="center" vertical="center" wrapText="1"/>
    </xf>
    <xf numFmtId="0" fontId="24" fillId="18" borderId="37" xfId="42" applyFill="1" applyBorder="1" applyAlignment="1">
      <alignment horizontal="center" vertical="center" wrapText="1"/>
    </xf>
    <xf numFmtId="0" fontId="24" fillId="18" borderId="48" xfId="42" applyFill="1" applyBorder="1" applyAlignment="1">
      <alignment horizontal="center" vertical="center" wrapText="1"/>
    </xf>
    <xf numFmtId="0" fontId="24" fillId="0" borderId="15" xfId="42" applyBorder="1" applyAlignment="1">
      <alignment horizontal="center" vertical="center" wrapText="1"/>
    </xf>
    <xf numFmtId="0" fontId="24" fillId="0" borderId="11" xfId="42" applyBorder="1" applyAlignment="1">
      <alignment horizontal="center" vertical="center" wrapText="1"/>
    </xf>
    <xf numFmtId="0" fontId="51" fillId="0" borderId="107" xfId="42" applyFont="1" applyBorder="1" applyAlignment="1">
      <alignment horizontal="left" vertical="center" wrapText="1"/>
    </xf>
    <xf numFmtId="0" fontId="51" fillId="0" borderId="27" xfId="42" applyFont="1" applyBorder="1" applyAlignment="1">
      <alignment horizontal="left" vertical="center" wrapText="1"/>
    </xf>
    <xf numFmtId="49" fontId="24" fillId="0" borderId="23" xfId="42" applyNumberFormat="1" applyBorder="1" applyAlignment="1">
      <alignment horizontal="center" vertical="center" wrapText="1"/>
    </xf>
    <xf numFmtId="49" fontId="24" fillId="0" borderId="12" xfId="42" applyNumberFormat="1" applyBorder="1" applyAlignment="1">
      <alignment horizontal="center" vertical="center" wrapText="1"/>
    </xf>
    <xf numFmtId="3" fontId="24" fillId="0" borderId="23" xfId="29" applyNumberFormat="1" applyFont="1" applyBorder="1" applyAlignment="1">
      <alignment horizontal="center" vertical="center" wrapText="1"/>
    </xf>
    <xf numFmtId="3" fontId="24" fillId="0" borderId="12" xfId="29" applyNumberFormat="1" applyFont="1" applyBorder="1" applyAlignment="1">
      <alignment horizontal="center" vertical="center" wrapText="1"/>
    </xf>
    <xf numFmtId="0" fontId="24" fillId="0" borderId="50" xfId="42" applyBorder="1" applyAlignment="1">
      <alignment horizontal="center" vertical="center" wrapText="1"/>
    </xf>
    <xf numFmtId="0" fontId="24" fillId="0" borderId="54" xfId="42" applyBorder="1" applyAlignment="1">
      <alignment horizontal="center" vertical="center" wrapText="1"/>
    </xf>
    <xf numFmtId="167" fontId="24" fillId="0" borderId="23" xfId="29" applyNumberFormat="1" applyFont="1" applyBorder="1" applyAlignment="1">
      <alignment horizontal="center" vertical="center" wrapText="1"/>
    </xf>
    <xf numFmtId="167" fontId="24" fillId="0" borderId="12" xfId="29" applyNumberFormat="1" applyFont="1" applyBorder="1" applyAlignment="1">
      <alignment horizontal="center" vertical="center" wrapText="1"/>
    </xf>
    <xf numFmtId="0" fontId="51" fillId="0" borderId="48" xfId="42" applyFont="1" applyBorder="1" applyAlignment="1">
      <alignment horizontal="center" vertical="center" wrapText="1"/>
    </xf>
    <xf numFmtId="0" fontId="51" fillId="0" borderId="29" xfId="42" applyFont="1" applyBorder="1" applyAlignment="1">
      <alignment horizontal="center" vertical="center" wrapText="1"/>
    </xf>
    <xf numFmtId="0" fontId="74" fillId="0" borderId="0" xfId="42" applyFont="1" applyAlignment="1">
      <alignment horizontal="right" vertical="center"/>
    </xf>
    <xf numFmtId="0" fontId="75" fillId="0" borderId="0" xfId="42" applyFont="1" applyAlignment="1">
      <alignment horizontal="right" vertical="center"/>
    </xf>
    <xf numFmtId="0" fontId="24" fillId="0" borderId="0" xfId="42" applyAlignment="1">
      <alignment vertical="center"/>
    </xf>
    <xf numFmtId="0" fontId="23" fillId="0" borderId="0" xfId="42" applyFont="1" applyAlignment="1">
      <alignment horizontal="center" vertical="center"/>
    </xf>
    <xf numFmtId="0" fontId="51" fillId="0" borderId="17" xfId="42" applyFont="1" applyBorder="1" applyAlignment="1">
      <alignment horizontal="center" vertical="center" wrapText="1"/>
    </xf>
    <xf numFmtId="0" fontId="24" fillId="0" borderId="0" xfId="42" applyAlignment="1">
      <alignment horizontal="right" wrapText="1"/>
    </xf>
    <xf numFmtId="0" fontId="71" fillId="0" borderId="0" xfId="58" applyFont="1" applyAlignment="1">
      <alignment horizontal="center" vertical="center"/>
    </xf>
    <xf numFmtId="0" fontId="78" fillId="0" borderId="0" xfId="58" applyFont="1" applyAlignment="1">
      <alignment horizontal="center" vertical="center"/>
    </xf>
    <xf numFmtId="0" fontId="78" fillId="0" borderId="0" xfId="58" applyFont="1" applyAlignment="1">
      <alignment horizontal="center" vertical="center" wrapText="1"/>
    </xf>
    <xf numFmtId="0" fontId="0" fillId="0" borderId="0" xfId="0" applyAlignment="1">
      <alignment vertical="center"/>
    </xf>
    <xf numFmtId="0" fontId="58" fillId="0" borderId="108" xfId="58" applyFont="1" applyBorder="1" applyAlignment="1">
      <alignment horizontal="center" vertical="center"/>
    </xf>
    <xf numFmtId="0" fontId="58" fillId="0" borderId="75" xfId="58" applyFont="1" applyBorder="1" applyAlignment="1">
      <alignment horizontal="center" vertical="center"/>
    </xf>
    <xf numFmtId="0" fontId="58" fillId="0" borderId="58" xfId="58" applyFont="1" applyBorder="1" applyAlignment="1">
      <alignment horizontal="center" vertical="center"/>
    </xf>
    <xf numFmtId="0" fontId="58" fillId="0" borderId="33" xfId="58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166" fontId="27" fillId="0" borderId="0" xfId="43" applyNumberFormat="1" applyFont="1" applyAlignment="1">
      <alignment horizontal="left" vertical="center" wrapText="1"/>
    </xf>
    <xf numFmtId="0" fontId="0" fillId="0" borderId="0" xfId="0" applyAlignment="1">
      <alignment horizontal="left" wrapText="1"/>
    </xf>
    <xf numFmtId="3" fontId="79" fillId="0" borderId="0" xfId="42" applyNumberFormat="1" applyFont="1" applyAlignment="1">
      <alignment horizontal="center"/>
    </xf>
    <xf numFmtId="0" fontId="24" fillId="0" borderId="0" xfId="42" applyAlignment="1">
      <alignment horizontal="center"/>
    </xf>
    <xf numFmtId="0" fontId="24" fillId="0" borderId="0" xfId="42" applyAlignment="1">
      <alignment wrapText="1"/>
    </xf>
    <xf numFmtId="0" fontId="2" fillId="0" borderId="56" xfId="42" applyFont="1" applyBorder="1" applyAlignment="1">
      <alignment horizontal="center" vertical="center"/>
    </xf>
    <xf numFmtId="0" fontId="2" fillId="0" borderId="57" xfId="42" applyFont="1" applyBorder="1" applyAlignment="1">
      <alignment horizontal="center" vertical="center"/>
    </xf>
    <xf numFmtId="0" fontId="2" fillId="0" borderId="16" xfId="42" applyFont="1" applyBorder="1" applyAlignment="1">
      <alignment horizontal="center"/>
    </xf>
    <xf numFmtId="0" fontId="2" fillId="0" borderId="37" xfId="42" applyFont="1" applyBorder="1" applyAlignment="1">
      <alignment horizontal="center"/>
    </xf>
    <xf numFmtId="0" fontId="2" fillId="0" borderId="28" xfId="42" applyFont="1" applyBorder="1" applyAlignment="1">
      <alignment horizontal="center" vertical="center" wrapText="1"/>
    </xf>
    <xf numFmtId="0" fontId="2" fillId="0" borderId="19" xfId="42" applyFont="1" applyBorder="1" applyAlignment="1">
      <alignment horizontal="center" vertical="center" wrapText="1"/>
    </xf>
    <xf numFmtId="0" fontId="23" fillId="0" borderId="0" xfId="55" applyFont="1" applyAlignment="1">
      <alignment horizontal="center"/>
    </xf>
    <xf numFmtId="0" fontId="6" fillId="0" borderId="0" xfId="55" applyAlignment="1">
      <alignment horizontal="center" wrapText="1"/>
    </xf>
    <xf numFmtId="0" fontId="23" fillId="0" borderId="0" xfId="55" applyFont="1" applyAlignment="1">
      <alignment horizontal="left"/>
    </xf>
    <xf numFmtId="3" fontId="6" fillId="0" borderId="26" xfId="55" applyNumberFormat="1" applyBorder="1" applyAlignment="1">
      <alignment horizontal="center" wrapText="1"/>
    </xf>
    <xf numFmtId="0" fontId="24" fillId="0" borderId="43" xfId="42" applyBorder="1" applyAlignment="1">
      <alignment horizontal="center" wrapText="1"/>
    </xf>
    <xf numFmtId="0" fontId="24" fillId="0" borderId="102" xfId="42" applyBorder="1" applyAlignment="1">
      <alignment horizontal="center" wrapText="1"/>
    </xf>
    <xf numFmtId="3" fontId="6" fillId="0" borderId="43" xfId="55" applyNumberFormat="1" applyBorder="1" applyAlignment="1">
      <alignment horizontal="center" wrapText="1"/>
    </xf>
    <xf numFmtId="3" fontId="6" fillId="0" borderId="102" xfId="55" applyNumberFormat="1" applyBorder="1" applyAlignment="1">
      <alignment horizontal="center" wrapText="1"/>
    </xf>
    <xf numFmtId="3" fontId="23" fillId="0" borderId="0" xfId="55" applyNumberFormat="1" applyFont="1" applyAlignment="1">
      <alignment horizontal="right" vertical="center"/>
    </xf>
    <xf numFmtId="0" fontId="23" fillId="0" borderId="16" xfId="55" applyFont="1" applyBorder="1" applyAlignment="1">
      <alignment horizontal="center"/>
    </xf>
    <xf numFmtId="0" fontId="23" fillId="0" borderId="37" xfId="55" applyFont="1" applyBorder="1" applyAlignment="1">
      <alignment horizontal="center"/>
    </xf>
    <xf numFmtId="0" fontId="23" fillId="0" borderId="47" xfId="55" applyFont="1" applyBorder="1" applyAlignment="1">
      <alignment horizontal="center"/>
    </xf>
    <xf numFmtId="0" fontId="23" fillId="0" borderId="28" xfId="55" applyFont="1" applyBorder="1" applyAlignment="1">
      <alignment horizontal="center"/>
    </xf>
    <xf numFmtId="3" fontId="82" fillId="0" borderId="49" xfId="55" applyNumberFormat="1" applyFont="1" applyBorder="1" applyAlignment="1">
      <alignment horizontal="center" wrapText="1"/>
    </xf>
    <xf numFmtId="3" fontId="82" fillId="0" borderId="109" xfId="55" applyNumberFormat="1" applyFont="1" applyBorder="1" applyAlignment="1">
      <alignment horizontal="center" wrapText="1"/>
    </xf>
    <xf numFmtId="3" fontId="82" fillId="0" borderId="103" xfId="55" applyNumberFormat="1" applyFont="1" applyBorder="1" applyAlignment="1">
      <alignment horizontal="center" wrapText="1"/>
    </xf>
    <xf numFmtId="0" fontId="76" fillId="0" borderId="0" xfId="55" applyFont="1" applyAlignment="1">
      <alignment horizontal="center" vertical="center" wrapText="1"/>
    </xf>
    <xf numFmtId="0" fontId="76" fillId="0" borderId="0" xfId="55" applyFont="1" applyAlignment="1">
      <alignment horizontal="center"/>
    </xf>
    <xf numFmtId="0" fontId="6" fillId="0" borderId="0" xfId="55" applyAlignment="1">
      <alignment horizontal="left" wrapText="1"/>
    </xf>
    <xf numFmtId="0" fontId="23" fillId="0" borderId="0" xfId="55" applyFont="1" applyAlignment="1">
      <alignment horizontal="left" vertical="center" wrapText="1"/>
    </xf>
    <xf numFmtId="3" fontId="24" fillId="0" borderId="26" xfId="42" applyNumberFormat="1" applyBorder="1" applyAlignment="1">
      <alignment horizontal="center" wrapText="1"/>
    </xf>
    <xf numFmtId="9" fontId="51" fillId="0" borderId="0" xfId="47" applyNumberFormat="1" applyFont="1" applyAlignment="1">
      <alignment horizontal="right" vertical="center"/>
    </xf>
    <xf numFmtId="0" fontId="51" fillId="0" borderId="0" xfId="50" applyFont="1" applyAlignment="1">
      <alignment horizontal="center"/>
    </xf>
    <xf numFmtId="0" fontId="51" fillId="0" borderId="0" xfId="50" applyFont="1" applyAlignment="1">
      <alignment horizontal="left" vertical="top" wrapText="1" shrinkToFit="1"/>
    </xf>
    <xf numFmtId="0" fontId="51" fillId="17" borderId="52" xfId="50" applyFont="1" applyFill="1" applyBorder="1" applyAlignment="1">
      <alignment horizontal="left" vertical="top" wrapText="1"/>
    </xf>
    <xf numFmtId="0" fontId="0" fillId="0" borderId="12" xfId="0" applyBorder="1" applyAlignment="1">
      <alignment wrapText="1"/>
    </xf>
    <xf numFmtId="49" fontId="66" fillId="0" borderId="26" xfId="50" applyNumberFormat="1" applyFont="1" applyBorder="1" applyAlignment="1">
      <alignment horizontal="left" vertical="center" wrapText="1" shrinkToFit="1"/>
    </xf>
    <xf numFmtId="0" fontId="0" fillId="0" borderId="38" xfId="0" applyBorder="1" applyAlignment="1">
      <alignment horizontal="left" vertical="center" wrapText="1" shrinkToFit="1"/>
    </xf>
    <xf numFmtId="49" fontId="66" fillId="32" borderId="26" xfId="50" applyNumberFormat="1" applyFont="1" applyFill="1" applyBorder="1" applyAlignment="1">
      <alignment horizontal="left" vertical="center" wrapText="1" shrinkToFit="1"/>
    </xf>
    <xf numFmtId="0" fontId="0" fillId="32" borderId="38" xfId="0" applyFill="1" applyBorder="1" applyAlignment="1">
      <alignment horizontal="left" vertical="center" wrapText="1" shrinkToFit="1"/>
    </xf>
    <xf numFmtId="49" fontId="51" fillId="0" borderId="26" xfId="50" applyNumberFormat="1" applyFont="1" applyBorder="1" applyAlignment="1">
      <alignment horizontal="left" vertical="center" wrapText="1" shrinkToFit="1"/>
    </xf>
    <xf numFmtId="49" fontId="51" fillId="0" borderId="38" xfId="50" applyNumberFormat="1" applyFont="1" applyBorder="1" applyAlignment="1">
      <alignment horizontal="left" vertical="center" wrapText="1" shrinkToFit="1"/>
    </xf>
    <xf numFmtId="9" fontId="67" fillId="0" borderId="0" xfId="47" applyNumberFormat="1" applyFont="1" applyAlignment="1">
      <alignment horizontal="right" vertical="center"/>
    </xf>
    <xf numFmtId="0" fontId="68" fillId="0" borderId="0" xfId="47" applyFont="1" applyAlignment="1">
      <alignment horizontal="center"/>
    </xf>
    <xf numFmtId="0" fontId="69" fillId="6" borderId="105" xfId="47" applyFont="1" applyFill="1" applyBorder="1" applyAlignment="1">
      <alignment horizontal="center" vertical="center" wrapText="1" shrinkToFit="1"/>
    </xf>
    <xf numFmtId="0" fontId="0" fillId="0" borderId="106" xfId="0" applyBorder="1"/>
    <xf numFmtId="0" fontId="51" fillId="0" borderId="56" xfId="47" applyFont="1" applyBorder="1" applyAlignment="1">
      <alignment horizontal="center"/>
    </xf>
    <xf numFmtId="0" fontId="51" fillId="0" borderId="110" xfId="47" applyFont="1" applyBorder="1" applyAlignment="1">
      <alignment horizontal="center"/>
    </xf>
    <xf numFmtId="0" fontId="51" fillId="0" borderId="63" xfId="47" applyFont="1" applyBorder="1" applyAlignment="1">
      <alignment horizontal="center"/>
    </xf>
    <xf numFmtId="0" fontId="85" fillId="39" borderId="18" xfId="53" applyFont="1" applyFill="1" applyBorder="1" applyAlignment="1" applyProtection="1">
      <alignment vertical="center" wrapText="1" readingOrder="1"/>
      <protection locked="0"/>
    </xf>
    <xf numFmtId="0" fontId="80" fillId="0" borderId="18" xfId="53" applyFont="1" applyBorder="1" applyAlignment="1" applyProtection="1">
      <alignment horizontal="center" vertical="center" wrapText="1" readingOrder="1"/>
      <protection locked="0"/>
    </xf>
    <xf numFmtId="0" fontId="85" fillId="28" borderId="18" xfId="53" applyFont="1" applyFill="1" applyBorder="1" applyAlignment="1" applyProtection="1">
      <alignment horizontal="center" vertical="center" wrapText="1" readingOrder="1"/>
      <protection locked="0"/>
    </xf>
    <xf numFmtId="0" fontId="24" fillId="0" borderId="18" xfId="53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85" fillId="42" borderId="26" xfId="53" applyFont="1" applyFill="1" applyBorder="1" applyAlignment="1" applyProtection="1">
      <alignment horizontal="center" wrapText="1" readingOrder="1"/>
      <protection locked="0"/>
    </xf>
    <xf numFmtId="0" fontId="85" fillId="42" borderId="43" xfId="53" applyFont="1" applyFill="1" applyBorder="1" applyAlignment="1" applyProtection="1">
      <alignment horizontal="center" wrapText="1" readingOrder="1"/>
      <protection locked="0"/>
    </xf>
    <xf numFmtId="0" fontId="85" fillId="42" borderId="38" xfId="53" applyFont="1" applyFill="1" applyBorder="1" applyAlignment="1" applyProtection="1">
      <alignment horizontal="center" wrapText="1" readingOrder="1"/>
      <protection locked="0"/>
    </xf>
    <xf numFmtId="49" fontId="80" fillId="0" borderId="26" xfId="53" applyNumberFormat="1" applyFont="1" applyBorder="1" applyAlignment="1" applyProtection="1">
      <alignment horizontal="center" vertical="center" wrapText="1" readingOrder="1"/>
      <protection locked="0"/>
    </xf>
    <xf numFmtId="49" fontId="80" fillId="0" borderId="38" xfId="53" applyNumberFormat="1" applyFont="1" applyBorder="1" applyAlignment="1" applyProtection="1">
      <alignment horizontal="center" vertical="center" wrapText="1" readingOrder="1"/>
      <protection locked="0"/>
    </xf>
    <xf numFmtId="0" fontId="80" fillId="0" borderId="26" xfId="53" applyFont="1" applyBorder="1" applyAlignment="1" applyProtection="1">
      <alignment horizontal="center" vertical="center" wrapText="1" readingOrder="1"/>
      <protection locked="0"/>
    </xf>
    <xf numFmtId="0" fontId="80" fillId="0" borderId="43" xfId="53" applyFont="1" applyBorder="1" applyAlignment="1" applyProtection="1">
      <alignment horizontal="center" vertical="center" wrapText="1" readingOrder="1"/>
      <protection locked="0"/>
    </xf>
    <xf numFmtId="0" fontId="24" fillId="0" borderId="18" xfId="0" applyFont="1" applyBorder="1" applyAlignment="1">
      <alignment horizontal="center" vertical="center" wrapText="1" readingOrder="1"/>
    </xf>
    <xf numFmtId="0" fontId="85" fillId="28" borderId="18" xfId="53" applyFont="1" applyFill="1" applyBorder="1" applyAlignment="1" applyProtection="1">
      <alignment vertical="center" wrapText="1" readingOrder="1"/>
      <protection locked="0"/>
    </xf>
    <xf numFmtId="0" fontId="24" fillId="0" borderId="18" xfId="53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80" fillId="0" borderId="38" xfId="53" applyFont="1" applyBorder="1" applyAlignment="1" applyProtection="1">
      <alignment horizontal="center" vertical="center" wrapText="1" readingOrder="1"/>
      <protection locked="0"/>
    </xf>
    <xf numFmtId="49" fontId="80" fillId="0" borderId="18" xfId="53" applyNumberFormat="1" applyFont="1" applyBorder="1" applyAlignment="1" applyProtection="1">
      <alignment horizontal="center" vertical="center" wrapText="1" readingOrder="1"/>
      <protection locked="0"/>
    </xf>
    <xf numFmtId="0" fontId="85" fillId="28" borderId="26" xfId="53" applyFont="1" applyFill="1" applyBorder="1" applyAlignment="1" applyProtection="1">
      <alignment horizontal="center" vertical="center" wrapText="1" readingOrder="1"/>
      <protection locked="0"/>
    </xf>
    <xf numFmtId="0" fontId="85" fillId="28" borderId="38" xfId="53" applyFont="1" applyFill="1" applyBorder="1" applyAlignment="1" applyProtection="1">
      <alignment horizontal="center" vertical="center" wrapText="1" readingOrder="1"/>
      <protection locked="0"/>
    </xf>
    <xf numFmtId="0" fontId="24" fillId="0" borderId="43" xfId="53" applyBorder="1" applyAlignment="1">
      <alignment horizontal="center"/>
    </xf>
    <xf numFmtId="0" fontId="24" fillId="0" borderId="38" xfId="53" applyBorder="1" applyAlignment="1">
      <alignment horizontal="center"/>
    </xf>
    <xf numFmtId="0" fontId="24" fillId="28" borderId="18" xfId="0" applyFont="1" applyFill="1" applyBorder="1" applyAlignment="1">
      <alignment horizontal="center" wrapText="1"/>
    </xf>
    <xf numFmtId="0" fontId="80" fillId="0" borderId="26" xfId="53" applyFont="1" applyBorder="1" applyAlignment="1" applyProtection="1">
      <alignment horizontal="center" wrapText="1" readingOrder="1"/>
      <protection locked="0"/>
    </xf>
    <xf numFmtId="0" fontId="80" fillId="0" borderId="38" xfId="53" applyFont="1" applyBorder="1" applyAlignment="1" applyProtection="1">
      <alignment horizontal="center" wrapText="1" readingOrder="1"/>
      <protection locked="0"/>
    </xf>
    <xf numFmtId="49" fontId="24" fillId="0" borderId="26" xfId="53" applyNumberFormat="1" applyBorder="1" applyAlignment="1">
      <alignment horizontal="center"/>
    </xf>
    <xf numFmtId="49" fontId="24" fillId="0" borderId="38" xfId="53" applyNumberFormat="1" applyBorder="1" applyAlignment="1">
      <alignment horizontal="center"/>
    </xf>
    <xf numFmtId="49" fontId="24" fillId="0" borderId="18" xfId="0" applyNumberFormat="1" applyFont="1" applyBorder="1" applyAlignment="1">
      <alignment horizontal="center" vertical="center" wrapText="1" readingOrder="1"/>
    </xf>
    <xf numFmtId="0" fontId="23" fillId="28" borderId="18" xfId="0" applyFont="1" applyFill="1" applyBorder="1" applyAlignment="1">
      <alignment horizontal="center" wrapText="1"/>
    </xf>
    <xf numFmtId="49" fontId="85" fillId="42" borderId="26" xfId="53" applyNumberFormat="1" applyFont="1" applyFill="1" applyBorder="1" applyAlignment="1" applyProtection="1">
      <alignment horizontal="center" wrapText="1" readingOrder="1"/>
      <protection locked="0"/>
    </xf>
    <xf numFmtId="49" fontId="85" fillId="42" borderId="43" xfId="53" applyNumberFormat="1" applyFont="1" applyFill="1" applyBorder="1" applyAlignment="1" applyProtection="1">
      <alignment horizontal="center" wrapText="1" readingOrder="1"/>
      <protection locked="0"/>
    </xf>
    <xf numFmtId="49" fontId="85" fillId="42" borderId="38" xfId="53" applyNumberFormat="1" applyFont="1" applyFill="1" applyBorder="1" applyAlignment="1" applyProtection="1">
      <alignment horizontal="center" wrapText="1" readingOrder="1"/>
      <protection locked="0"/>
    </xf>
    <xf numFmtId="0" fontId="23" fillId="42" borderId="26" xfId="53" applyFont="1" applyFill="1" applyBorder="1" applyAlignment="1">
      <alignment horizontal="center" wrapText="1"/>
    </xf>
    <xf numFmtId="0" fontId="23" fillId="42" borderId="43" xfId="53" applyFont="1" applyFill="1" applyBorder="1" applyAlignment="1">
      <alignment horizontal="center" wrapText="1"/>
    </xf>
    <xf numFmtId="0" fontId="23" fillId="42" borderId="38" xfId="53" applyFont="1" applyFill="1" applyBorder="1" applyAlignment="1">
      <alignment horizontal="center" wrapText="1"/>
    </xf>
    <xf numFmtId="166" fontId="43" fillId="0" borderId="0" xfId="43" applyNumberFormat="1" applyFont="1" applyAlignment="1">
      <alignment horizontal="right" vertical="center" wrapText="1"/>
    </xf>
    <xf numFmtId="0" fontId="85" fillId="0" borderId="0" xfId="53" applyFont="1" applyAlignment="1" applyProtection="1">
      <alignment horizontal="center" vertical="center" wrapText="1" readingOrder="1"/>
      <protection locked="0"/>
    </xf>
    <xf numFmtId="0" fontId="23" fillId="42" borderId="18" xfId="0" applyFont="1" applyFill="1" applyBorder="1" applyAlignment="1">
      <alignment horizontal="center" wrapText="1" readingOrder="1"/>
    </xf>
    <xf numFmtId="0" fontId="83" fillId="0" borderId="57" xfId="42" applyFont="1" applyBorder="1" applyAlignment="1">
      <alignment horizontal="center"/>
    </xf>
    <xf numFmtId="0" fontId="83" fillId="0" borderId="43" xfId="0" applyFont="1" applyBorder="1" applyAlignment="1">
      <alignment horizontal="center"/>
    </xf>
    <xf numFmtId="0" fontId="46" fillId="15" borderId="14" xfId="42" applyFont="1" applyFill="1" applyBorder="1" applyAlignment="1" applyProtection="1">
      <alignment vertical="center" wrapText="1" readingOrder="1"/>
      <protection locked="0"/>
    </xf>
    <xf numFmtId="0" fontId="24" fillId="15" borderId="18" xfId="42" applyFill="1" applyBorder="1" applyAlignment="1" applyProtection="1">
      <alignment vertical="top" wrapText="1"/>
      <protection locked="0"/>
    </xf>
    <xf numFmtId="0" fontId="83" fillId="0" borderId="57" xfId="53" applyFont="1" applyBorder="1" applyAlignment="1">
      <alignment horizontal="center"/>
    </xf>
    <xf numFmtId="0" fontId="83" fillId="0" borderId="38" xfId="53" applyFont="1" applyBorder="1" applyAlignment="1">
      <alignment horizontal="center"/>
    </xf>
    <xf numFmtId="0" fontId="42" fillId="0" borderId="57" xfId="42" applyFont="1" applyBorder="1" applyAlignment="1" applyProtection="1">
      <alignment horizontal="center" vertical="center" wrapText="1" readingOrder="1"/>
      <protection locked="0"/>
    </xf>
    <xf numFmtId="0" fontId="42" fillId="0" borderId="38" xfId="42" applyFont="1" applyBorder="1" applyAlignment="1" applyProtection="1">
      <alignment horizontal="center" vertical="center" wrapText="1" readingOrder="1"/>
      <protection locked="0"/>
    </xf>
    <xf numFmtId="0" fontId="41" fillId="0" borderId="57" xfId="42" applyFont="1" applyBorder="1" applyAlignment="1" applyProtection="1">
      <alignment horizontal="center" vertical="center" wrapText="1" readingOrder="1"/>
      <protection locked="0"/>
    </xf>
    <xf numFmtId="0" fontId="0" fillId="0" borderId="38" xfId="0" applyBorder="1" applyAlignment="1">
      <alignment horizontal="center" vertical="center" wrapText="1" readingOrder="1"/>
    </xf>
    <xf numFmtId="0" fontId="46" fillId="16" borderId="56" xfId="42" applyFont="1" applyFill="1" applyBorder="1" applyAlignment="1" applyProtection="1">
      <alignment wrapText="1" readingOrder="1"/>
      <protection locked="0"/>
    </xf>
    <xf numFmtId="0" fontId="24" fillId="16" borderId="110" xfId="42" applyFill="1" applyBorder="1" applyAlignment="1">
      <alignment readingOrder="1"/>
    </xf>
    <xf numFmtId="0" fontId="24" fillId="16" borderId="63" xfId="42" applyFill="1" applyBorder="1" applyAlignment="1">
      <alignment readingOrder="1"/>
    </xf>
    <xf numFmtId="0" fontId="83" fillId="0" borderId="26" xfId="53" applyFont="1" applyBorder="1" applyAlignment="1">
      <alignment horizontal="center"/>
    </xf>
    <xf numFmtId="0" fontId="83" fillId="0" borderId="38" xfId="0" applyFont="1" applyBorder="1" applyAlignment="1">
      <alignment horizontal="center"/>
    </xf>
    <xf numFmtId="0" fontId="46" fillId="16" borderId="111" xfId="42" applyFont="1" applyFill="1" applyBorder="1" applyAlignment="1" applyProtection="1">
      <alignment wrapText="1" readingOrder="1"/>
      <protection locked="0"/>
    </xf>
    <xf numFmtId="0" fontId="24" fillId="16" borderId="39" xfId="42" applyFill="1" applyBorder="1" applyAlignment="1">
      <alignment readingOrder="1"/>
    </xf>
    <xf numFmtId="0" fontId="24" fillId="16" borderId="64" xfId="42" applyFill="1" applyBorder="1" applyAlignment="1">
      <alignment readingOrder="1"/>
    </xf>
    <xf numFmtId="0" fontId="23" fillId="0" borderId="0" xfId="42" applyFont="1" applyAlignment="1">
      <alignment horizontal="center" wrapText="1"/>
    </xf>
    <xf numFmtId="0" fontId="24" fillId="0" borderId="0" xfId="42" applyAlignment="1">
      <alignment horizontal="center" wrapText="1"/>
    </xf>
    <xf numFmtId="0" fontId="46" fillId="23" borderId="68" xfId="51" applyFont="1" applyFill="1" applyBorder="1" applyAlignment="1" applyProtection="1">
      <alignment vertical="center" wrapText="1" readingOrder="1"/>
      <protection locked="0"/>
    </xf>
    <xf numFmtId="0" fontId="24" fillId="23" borderId="112" xfId="51" applyFill="1" applyBorder="1" applyAlignment="1" applyProtection="1">
      <alignment vertical="top" wrapText="1"/>
      <protection locked="0"/>
    </xf>
    <xf numFmtId="0" fontId="24" fillId="23" borderId="57" xfId="54" applyFill="1" applyBorder="1"/>
    <xf numFmtId="0" fontId="0" fillId="0" borderId="102" xfId="0" applyBorder="1"/>
    <xf numFmtId="0" fontId="24" fillId="15" borderId="85" xfId="54" applyFill="1" applyBorder="1"/>
    <xf numFmtId="0" fontId="0" fillId="0" borderId="103" xfId="0" applyBorder="1"/>
    <xf numFmtId="0" fontId="42" fillId="0" borderId="71" xfId="51" applyFont="1" applyBorder="1" applyAlignment="1" applyProtection="1">
      <alignment horizontal="center" vertical="center" wrapText="1" readingOrder="1"/>
      <protection locked="0"/>
    </xf>
    <xf numFmtId="0" fontId="42" fillId="0" borderId="96" xfId="51" applyFont="1" applyBorder="1" applyAlignment="1" applyProtection="1">
      <alignment horizontal="center" vertical="center" wrapText="1" readingOrder="1"/>
      <protection locked="0"/>
    </xf>
    <xf numFmtId="0" fontId="46" fillId="16" borderId="14" xfId="51" applyFont="1" applyFill="1" applyBorder="1" applyAlignment="1" applyProtection="1">
      <alignment wrapText="1" readingOrder="1"/>
      <protection locked="0"/>
    </xf>
    <xf numFmtId="0" fontId="0" fillId="0" borderId="18" xfId="0" applyBorder="1" applyAlignment="1">
      <alignment readingOrder="1"/>
    </xf>
    <xf numFmtId="0" fontId="0" fillId="0" borderId="26" xfId="0" applyBorder="1" applyAlignment="1">
      <alignment readingOrder="1"/>
    </xf>
    <xf numFmtId="0" fontId="0" fillId="0" borderId="19" xfId="0" applyBorder="1"/>
    <xf numFmtId="0" fontId="42" fillId="27" borderId="71" xfId="51" applyFont="1" applyFill="1" applyBorder="1" applyAlignment="1" applyProtection="1">
      <alignment horizontal="center" vertical="center" wrapText="1" readingOrder="1"/>
      <protection locked="0"/>
    </xf>
    <xf numFmtId="0" fontId="42" fillId="27" borderId="96" xfId="51" applyFont="1" applyFill="1" applyBorder="1" applyAlignment="1" applyProtection="1">
      <alignment horizontal="center" vertical="center" wrapText="1" readingOrder="1"/>
      <protection locked="0"/>
    </xf>
    <xf numFmtId="0" fontId="42" fillId="27" borderId="57" xfId="54" applyFont="1" applyFill="1" applyBorder="1" applyAlignment="1" applyProtection="1">
      <alignment horizontal="center" vertical="center" wrapText="1" readingOrder="1"/>
      <protection locked="0"/>
    </xf>
    <xf numFmtId="0" fontId="42" fillId="27" borderId="38" xfId="54" applyFont="1" applyFill="1" applyBorder="1" applyAlignment="1" applyProtection="1">
      <alignment horizontal="center" vertical="center" wrapText="1" readingOrder="1"/>
      <protection locked="0"/>
    </xf>
    <xf numFmtId="0" fontId="0" fillId="0" borderId="19" xfId="0" applyBorder="1" applyAlignment="1">
      <alignment readingOrder="1"/>
    </xf>
    <xf numFmtId="0" fontId="42" fillId="27" borderId="14" xfId="51" applyFont="1" applyFill="1" applyBorder="1" applyAlignment="1" applyProtection="1">
      <alignment horizontal="center" vertical="center" wrapText="1" readingOrder="1"/>
      <protection locked="0"/>
    </xf>
    <xf numFmtId="0" fontId="42" fillId="27" borderId="18" xfId="51" applyFont="1" applyFill="1" applyBorder="1" applyAlignment="1" applyProtection="1">
      <alignment horizontal="center" vertical="center" wrapText="1" readingOrder="1"/>
      <protection locked="0"/>
    </xf>
    <xf numFmtId="0" fontId="46" fillId="24" borderId="14" xfId="51" applyFont="1" applyFill="1" applyBorder="1" applyAlignment="1" applyProtection="1">
      <alignment vertical="center" wrapText="1" readingOrder="1"/>
      <protection locked="0"/>
    </xf>
    <xf numFmtId="0" fontId="24" fillId="24" borderId="18" xfId="51" applyFill="1" applyBorder="1" applyAlignment="1" applyProtection="1">
      <alignment vertical="top" wrapText="1"/>
      <protection locked="0"/>
    </xf>
    <xf numFmtId="0" fontId="42" fillId="0" borderId="14" xfId="51" applyFont="1" applyBorder="1" applyAlignment="1" applyProtection="1">
      <alignment horizontal="center" vertical="center" wrapText="1" readingOrder="1"/>
      <protection locked="0"/>
    </xf>
    <xf numFmtId="0" fontId="42" fillId="0" borderId="18" xfId="51" applyFont="1" applyBorder="1" applyAlignment="1" applyProtection="1">
      <alignment horizontal="center" vertical="center" wrapText="1" readingOrder="1"/>
      <protection locked="0"/>
    </xf>
    <xf numFmtId="0" fontId="46" fillId="15" borderId="14" xfId="51" applyFont="1" applyFill="1" applyBorder="1" applyAlignment="1" applyProtection="1">
      <alignment vertical="center" wrapText="1" readingOrder="1"/>
      <protection locked="0"/>
    </xf>
    <xf numFmtId="0" fontId="24" fillId="15" borderId="18" xfId="51" applyFill="1" applyBorder="1" applyAlignment="1" applyProtection="1">
      <alignment vertical="top" wrapText="1"/>
      <protection locked="0"/>
    </xf>
    <xf numFmtId="0" fontId="46" fillId="43" borderId="32" xfId="51" applyFont="1" applyFill="1" applyBorder="1" applyAlignment="1" applyProtection="1">
      <alignment wrapText="1" readingOrder="1"/>
      <protection locked="0"/>
    </xf>
    <xf numFmtId="0" fontId="0" fillId="43" borderId="52" xfId="0" applyFill="1" applyBorder="1" applyAlignment="1">
      <alignment readingOrder="1"/>
    </xf>
    <xf numFmtId="0" fontId="0" fillId="43" borderId="86" xfId="0" applyFill="1" applyBorder="1" applyAlignment="1">
      <alignment readingOrder="1"/>
    </xf>
    <xf numFmtId="0" fontId="0" fillId="43" borderId="53" xfId="0" applyFill="1" applyBorder="1"/>
    <xf numFmtId="0" fontId="42" fillId="0" borderId="76" xfId="51" applyFont="1" applyBorder="1" applyAlignment="1" applyProtection="1">
      <alignment horizontal="center" vertical="center" wrapText="1" readingOrder="1"/>
      <protection locked="0"/>
    </xf>
    <xf numFmtId="0" fontId="60" fillId="0" borderId="14" xfId="52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65" fillId="36" borderId="14" xfId="52" applyFont="1" applyFill="1" applyBorder="1" applyAlignment="1" applyProtection="1">
      <alignment vertical="center" wrapText="1" readingOrder="1"/>
      <protection locked="0"/>
    </xf>
    <xf numFmtId="0" fontId="65" fillId="36" borderId="18" xfId="52" applyFont="1" applyFill="1" applyBorder="1" applyAlignment="1" applyProtection="1">
      <alignment vertical="center" wrapText="1" readingOrder="1"/>
      <protection locked="0"/>
    </xf>
    <xf numFmtId="0" fontId="24" fillId="0" borderId="0" xfId="51" applyAlignment="1">
      <alignment horizontal="center" wrapText="1"/>
    </xf>
    <xf numFmtId="0" fontId="76" fillId="0" borderId="0" xfId="51" applyFont="1" applyAlignment="1">
      <alignment horizontal="left" wrapText="1"/>
    </xf>
    <xf numFmtId="0" fontId="48" fillId="34" borderId="56" xfId="51" applyFont="1" applyFill="1" applyBorder="1" applyAlignment="1" applyProtection="1">
      <alignment horizontal="center" wrapText="1" readingOrder="1"/>
      <protection locked="0"/>
    </xf>
    <xf numFmtId="0" fontId="24" fillId="34" borderId="110" xfId="0" applyFont="1" applyFill="1" applyBorder="1" applyAlignment="1">
      <alignment horizontal="center" readingOrder="1"/>
    </xf>
    <xf numFmtId="0" fontId="24" fillId="34" borderId="63" xfId="0" applyFont="1" applyFill="1" applyBorder="1" applyAlignment="1">
      <alignment horizontal="center" readingOrder="1"/>
    </xf>
    <xf numFmtId="0" fontId="46" fillId="43" borderId="14" xfId="51" applyFont="1" applyFill="1" applyBorder="1" applyAlignment="1" applyProtection="1">
      <alignment wrapText="1" readingOrder="1"/>
      <protection locked="0"/>
    </xf>
    <xf numFmtId="0" fontId="0" fillId="43" borderId="18" xfId="0" applyFill="1" applyBorder="1" applyAlignment="1">
      <alignment readingOrder="1"/>
    </xf>
    <xf numFmtId="0" fontId="0" fillId="43" borderId="26" xfId="0" applyFill="1" applyBorder="1" applyAlignment="1">
      <alignment readingOrder="1"/>
    </xf>
    <xf numFmtId="0" fontId="0" fillId="43" borderId="19" xfId="0" applyFill="1" applyBorder="1" applyAlignment="1">
      <alignment readingOrder="1"/>
    </xf>
    <xf numFmtId="49" fontId="42" fillId="0" borderId="14" xfId="51" applyNumberFormat="1" applyFont="1" applyBorder="1" applyAlignment="1" applyProtection="1">
      <alignment horizontal="center" vertical="center" wrapText="1" readingOrder="1"/>
      <protection locked="0"/>
    </xf>
    <xf numFmtId="49" fontId="42" fillId="0" borderId="18" xfId="51" applyNumberFormat="1" applyFont="1" applyBorder="1" applyAlignment="1" applyProtection="1">
      <alignment horizontal="center" vertical="center" wrapText="1" readingOrder="1"/>
      <protection locked="0"/>
    </xf>
    <xf numFmtId="0" fontId="85" fillId="25" borderId="18" xfId="54" applyFont="1" applyFill="1" applyBorder="1" applyAlignment="1" applyProtection="1">
      <alignment vertical="center" wrapText="1" readingOrder="1"/>
      <protection locked="0"/>
    </xf>
    <xf numFmtId="0" fontId="23" fillId="25" borderId="18" xfId="54" applyFont="1" applyFill="1" applyBorder="1"/>
    <xf numFmtId="0" fontId="85" fillId="15" borderId="18" xfId="54" applyFont="1" applyFill="1" applyBorder="1" applyAlignment="1" applyProtection="1">
      <alignment vertical="center" wrapText="1" readingOrder="1"/>
      <protection locked="0"/>
    </xf>
    <xf numFmtId="0" fontId="24" fillId="15" borderId="18" xfId="54" applyFill="1" applyBorder="1" applyAlignment="1" applyProtection="1">
      <alignment vertical="top" wrapText="1"/>
      <protection locked="0"/>
    </xf>
    <xf numFmtId="49" fontId="86" fillId="0" borderId="18" xfId="54" applyNumberFormat="1" applyFont="1" applyBorder="1" applyAlignment="1" applyProtection="1">
      <alignment horizontal="center" vertical="center" wrapText="1" readingOrder="1"/>
      <protection locked="0"/>
    </xf>
    <xf numFmtId="0" fontId="86" fillId="0" borderId="18" xfId="54" applyFont="1" applyBorder="1" applyAlignment="1" applyProtection="1">
      <alignment horizontal="center" vertical="center" wrapText="1" readingOrder="1"/>
      <protection locked="0"/>
    </xf>
    <xf numFmtId="0" fontId="85" fillId="23" borderId="18" xfId="54" applyFont="1" applyFill="1" applyBorder="1" applyAlignment="1" applyProtection="1">
      <alignment vertical="center" wrapText="1" readingOrder="1"/>
      <protection locked="0"/>
    </xf>
    <xf numFmtId="0" fontId="24" fillId="23" borderId="18" xfId="54" applyFill="1" applyBorder="1" applyAlignment="1" applyProtection="1">
      <alignment vertical="top" wrapText="1"/>
      <protection locked="0"/>
    </xf>
    <xf numFmtId="0" fontId="46" fillId="16" borderId="14" xfId="54" applyFont="1" applyFill="1" applyBorder="1" applyAlignment="1" applyProtection="1">
      <alignment wrapText="1" readingOrder="1"/>
      <protection locked="0"/>
    </xf>
    <xf numFmtId="0" fontId="46" fillId="16" borderId="18" xfId="54" applyFont="1" applyFill="1" applyBorder="1" applyAlignment="1" applyProtection="1">
      <alignment wrapText="1" readingOrder="1"/>
      <protection locked="0"/>
    </xf>
    <xf numFmtId="0" fontId="46" fillId="16" borderId="19" xfId="54" applyFont="1" applyFill="1" applyBorder="1" applyAlignment="1" applyProtection="1">
      <alignment wrapText="1" readingOrder="1"/>
      <protection locked="0"/>
    </xf>
    <xf numFmtId="166" fontId="84" fillId="0" borderId="0" xfId="43" applyNumberFormat="1" applyFont="1" applyAlignment="1">
      <alignment horizontal="right" vertical="center" wrapText="1"/>
    </xf>
    <xf numFmtId="0" fontId="47" fillId="0" borderId="20" xfId="54" applyFont="1" applyBorder="1" applyAlignment="1" applyProtection="1">
      <alignment horizontal="center" vertical="center" wrapText="1" readingOrder="1"/>
      <protection locked="0"/>
    </xf>
    <xf numFmtId="0" fontId="47" fillId="0" borderId="0" xfId="54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 vertical="center" wrapText="1" readingOrder="1"/>
    </xf>
    <xf numFmtId="0" fontId="65" fillId="26" borderId="17" xfId="45" applyFont="1" applyFill="1" applyBorder="1" applyAlignment="1" applyProtection="1">
      <alignment vertical="center" wrapText="1" readingOrder="1"/>
      <protection locked="0"/>
    </xf>
    <xf numFmtId="0" fontId="51" fillId="26" borderId="48" xfId="45" applyFont="1" applyFill="1" applyBorder="1" applyAlignment="1" applyProtection="1">
      <alignment vertical="top" wrapText="1"/>
      <protection locked="0"/>
    </xf>
    <xf numFmtId="0" fontId="42" fillId="0" borderId="57" xfId="45" applyFont="1" applyBorder="1" applyAlignment="1" applyProtection="1">
      <alignment horizontal="center" vertical="center" wrapText="1" readingOrder="1"/>
      <protection locked="0"/>
    </xf>
    <xf numFmtId="0" fontId="42" fillId="0" borderId="38" xfId="45" applyFont="1" applyBorder="1" applyAlignment="1" applyProtection="1">
      <alignment horizontal="center" vertical="center" wrapText="1" readingOrder="1"/>
      <protection locked="0"/>
    </xf>
    <xf numFmtId="0" fontId="65" fillId="15" borderId="14" xfId="45" applyFont="1" applyFill="1" applyBorder="1" applyAlignment="1" applyProtection="1">
      <alignment vertical="center" wrapText="1" readingOrder="1"/>
      <protection locked="0"/>
    </xf>
    <xf numFmtId="0" fontId="51" fillId="15" borderId="18" xfId="45" applyFont="1" applyFill="1" applyBorder="1" applyAlignment="1" applyProtection="1">
      <alignment vertical="top" wrapText="1"/>
      <protection locked="0"/>
    </xf>
    <xf numFmtId="0" fontId="46" fillId="24" borderId="94" xfId="45" applyFont="1" applyFill="1" applyBorder="1" applyAlignment="1" applyProtection="1">
      <alignment horizontal="left" wrapText="1" readingOrder="1"/>
      <protection locked="0"/>
    </xf>
    <xf numFmtId="0" fontId="46" fillId="24" borderId="95" xfId="45" applyFont="1" applyFill="1" applyBorder="1" applyAlignment="1" applyProtection="1">
      <alignment horizontal="left" wrapText="1" readingOrder="1"/>
      <protection locked="0"/>
    </xf>
    <xf numFmtId="0" fontId="0" fillId="0" borderId="95" xfId="0" applyBorder="1" applyAlignment="1">
      <alignment wrapText="1"/>
    </xf>
    <xf numFmtId="0" fontId="24" fillId="0" borderId="0" xfId="45" applyAlignment="1">
      <alignment horizontal="right"/>
    </xf>
    <xf numFmtId="0" fontId="46" fillId="24" borderId="20" xfId="45" applyFont="1" applyFill="1" applyBorder="1" applyAlignment="1" applyProtection="1">
      <alignment horizontal="left" wrapText="1" readingOrder="1"/>
      <protection locked="0"/>
    </xf>
    <xf numFmtId="0" fontId="46" fillId="24" borderId="0" xfId="45" applyFont="1" applyFill="1" applyBorder="1" applyAlignment="1" applyProtection="1">
      <alignment horizontal="left" wrapText="1" readingOrder="1"/>
      <protection locked="0"/>
    </xf>
  </cellXfs>
  <cellStyles count="6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Ezres 2" xfId="27"/>
    <cellStyle name="Ezres 3" xfId="28"/>
    <cellStyle name="Ezres 3 2" xfId="29"/>
    <cellStyle name="Ezres 4" xfId="30"/>
    <cellStyle name="Ezres 5" xfId="31"/>
    <cellStyle name="Figyelmeztetés" xfId="32" builtinId="11" customBuiltin="1"/>
    <cellStyle name="Hiperhivatkozás" xfId="33"/>
    <cellStyle name="Hivatkozott cella" xfId="34" builtinId="24" customBuiltin="1"/>
    <cellStyle name="Jegyzet" xfId="35" builtinId="10" customBuiltin="1"/>
    <cellStyle name="Jó" xfId="36" builtinId="26" customBuiltin="1"/>
    <cellStyle name="Kimenet" xfId="37" builtinId="21" customBuiltin="1"/>
    <cellStyle name="Magyarázó szöveg" xfId="38" builtinId="53" customBuiltin="1"/>
    <cellStyle name="Már látott hiperhivatkozás" xfId="39"/>
    <cellStyle name="Normál" xfId="0" builtinId="0"/>
    <cellStyle name="Normál 2" xfId="40"/>
    <cellStyle name="Normál 3" xfId="41"/>
    <cellStyle name="Normál 4" xfId="42"/>
    <cellStyle name="Normál 5" xfId="43"/>
    <cellStyle name="Normál 6" xfId="44"/>
    <cellStyle name="Normál 6_2015 Társulás Óvoda össz.2 vált költségvetés hat  tervezet" xfId="45"/>
    <cellStyle name="Normál 7" xfId="46"/>
    <cellStyle name="Normál_2014 beszámoló vagyon" xfId="47"/>
    <cellStyle name="Normál_5. sz, beruházás + felújításÚj költségvetéshez" xfId="48"/>
    <cellStyle name="Normál_8. mérleg KNY10  évi" xfId="49"/>
    <cellStyle name="Normál_beszámoló maradvány" xfId="50"/>
    <cellStyle name="Normál_cofogos_terv SB ÓVODA JÓ" xfId="51"/>
    <cellStyle name="Normál_cofogos_tervezés 2 vált.alap" xfId="52"/>
    <cellStyle name="Normál_cofogos_tervezés 2 vált.alap 2" xfId="53"/>
    <cellStyle name="Normál_cofogos_tervezés 2 vált.alap 3" xfId="54"/>
    <cellStyle name="Normál_Költségvetési terv 2015 Közös Hivatal" xfId="55"/>
    <cellStyle name="Normál_ktv cofogos_penzforgalmi_kimutatas 2016 hjoz 1. 2" xfId="56"/>
    <cellStyle name="Normál_ktv cofogos_penzforgalmi_kimutatas 2016 hjoz 1. 3" xfId="57"/>
    <cellStyle name="Normál_Másolat eredetije1421408089_9. sz mell tobbeves 2015  evi" xfId="58"/>
    <cellStyle name="Normál_SB költségvetés 2013 3.sz.mellékletei bevétel" xfId="59"/>
    <cellStyle name="Összesen" xfId="60" builtinId="25" customBuiltin="1"/>
    <cellStyle name="Pénznem 2" xfId="61"/>
    <cellStyle name="Pénznem 3" xfId="62"/>
    <cellStyle name="Pénznem 3 2" xfId="63"/>
    <cellStyle name="Pénznem 4" xfId="64"/>
    <cellStyle name="Rossz" xfId="65" builtinId="27" customBuiltin="1"/>
    <cellStyle name="Semleges" xfId="66" builtinId="28" customBuiltin="1"/>
    <cellStyle name="Számítás" xfId="67" builtinId="22" customBuiltin="1"/>
    <cellStyle name="Százalék" xfId="6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 macro="" textlink="">
      <xdr:nvSpPr>
        <xdr:cNvPr id="1885" name="Rajz 1">
          <a:extLst>
            <a:ext uri="{FF2B5EF4-FFF2-40B4-BE49-F238E27FC236}">
              <a16:creationId xmlns:a16="http://schemas.microsoft.com/office/drawing/2014/main" id="{9FEBED3F-F98D-4F12-AECF-E2949072FD4C}"/>
            </a:ext>
          </a:extLst>
        </xdr:cNvPr>
        <xdr:cNvSpPr>
          <a:spLocks/>
        </xdr:cNvSpPr>
      </xdr:nvSpPr>
      <xdr:spPr bwMode="auto">
        <a:xfrm>
          <a:off x="1114425" y="0"/>
          <a:ext cx="7620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2147483646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2147483646 w 16384"/>
            <a:gd name="T15" fmla="*/ 0 h 16384"/>
            <a:gd name="T16" fmla="*/ 2147483646 w 16384"/>
            <a:gd name="T17" fmla="*/ 0 h 16384"/>
            <a:gd name="T18" fmla="*/ 2147483646 w 16384"/>
            <a:gd name="T19" fmla="*/ 0 h 16384"/>
            <a:gd name="T20" fmla="*/ 2147483646 w 16384"/>
            <a:gd name="T21" fmla="*/ 0 h 16384"/>
            <a:gd name="T22" fmla="*/ 2147483646 w 16384"/>
            <a:gd name="T23" fmla="*/ 0 h 16384"/>
            <a:gd name="T24" fmla="*/ 2147483646 w 16384"/>
            <a:gd name="T25" fmla="*/ 0 h 16384"/>
            <a:gd name="T26" fmla="*/ 2147483646 w 16384"/>
            <a:gd name="T27" fmla="*/ 0 h 16384"/>
            <a:gd name="T28" fmla="*/ 2147483646 w 16384"/>
            <a:gd name="T29" fmla="*/ 0 h 16384"/>
            <a:gd name="T30" fmla="*/ 2147483646 w 16384"/>
            <a:gd name="T31" fmla="*/ 0 h 16384"/>
            <a:gd name="T32" fmla="*/ 2147483646 w 16384"/>
            <a:gd name="T33" fmla="*/ 0 h 16384"/>
            <a:gd name="T34" fmla="*/ 2147483646 w 16384"/>
            <a:gd name="T35" fmla="*/ 0 h 16384"/>
            <a:gd name="T36" fmla="*/ 2147483646 w 16384"/>
            <a:gd name="T37" fmla="*/ 0 h 16384"/>
            <a:gd name="T38" fmla="*/ 2147483646 w 16384"/>
            <a:gd name="T39" fmla="*/ 0 h 16384"/>
            <a:gd name="T40" fmla="*/ 2147483646 w 16384"/>
            <a:gd name="T41" fmla="*/ 0 h 16384"/>
            <a:gd name="T42" fmla="*/ 2147483646 w 16384"/>
            <a:gd name="T43" fmla="*/ 0 h 16384"/>
            <a:gd name="T44" fmla="*/ 2147483646 w 16384"/>
            <a:gd name="T45" fmla="*/ 0 h 16384"/>
            <a:gd name="T46" fmla="*/ 2147483646 w 16384"/>
            <a:gd name="T47" fmla="*/ 0 h 16384"/>
            <a:gd name="T48" fmla="*/ 2147483646 w 16384"/>
            <a:gd name="T49" fmla="*/ 0 h 16384"/>
            <a:gd name="T50" fmla="*/ 2147483646 w 16384"/>
            <a:gd name="T51" fmla="*/ 0 h 16384"/>
            <a:gd name="T52" fmla="*/ 2147483646 w 16384"/>
            <a:gd name="T53" fmla="*/ 0 h 16384"/>
            <a:gd name="T54" fmla="*/ 2147483646 w 16384"/>
            <a:gd name="T55" fmla="*/ 0 h 16384"/>
            <a:gd name="T56" fmla="*/ 2147483646 w 16384"/>
            <a:gd name="T57" fmla="*/ 0 h 16384"/>
            <a:gd name="T58" fmla="*/ 2147483646 w 16384"/>
            <a:gd name="T59" fmla="*/ 0 h 16384"/>
            <a:gd name="T60" fmla="*/ 2147483646 w 16384"/>
            <a:gd name="T61" fmla="*/ 0 h 16384"/>
            <a:gd name="T62" fmla="*/ 2147483646 w 16384"/>
            <a:gd name="T63" fmla="*/ 0 h 16384"/>
            <a:gd name="T64" fmla="*/ 2147483646 w 16384"/>
            <a:gd name="T65" fmla="*/ 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0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 macro="" textlink="">
      <xdr:nvSpPr>
        <xdr:cNvPr id="1886" name="Rajz 1">
          <a:extLst>
            <a:ext uri="{FF2B5EF4-FFF2-40B4-BE49-F238E27FC236}">
              <a16:creationId xmlns:a16="http://schemas.microsoft.com/office/drawing/2014/main" id="{9D105602-4381-49D3-9F5B-75CF70797FDF}"/>
            </a:ext>
          </a:extLst>
        </xdr:cNvPr>
        <xdr:cNvSpPr>
          <a:spLocks/>
        </xdr:cNvSpPr>
      </xdr:nvSpPr>
      <xdr:spPr bwMode="auto">
        <a:xfrm>
          <a:off x="1114425" y="0"/>
          <a:ext cx="7620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2147483646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2147483646 w 16384"/>
            <a:gd name="T15" fmla="*/ 0 h 16384"/>
            <a:gd name="T16" fmla="*/ 2147483646 w 16384"/>
            <a:gd name="T17" fmla="*/ 0 h 16384"/>
            <a:gd name="T18" fmla="*/ 2147483646 w 16384"/>
            <a:gd name="T19" fmla="*/ 0 h 16384"/>
            <a:gd name="T20" fmla="*/ 2147483646 w 16384"/>
            <a:gd name="T21" fmla="*/ 0 h 16384"/>
            <a:gd name="T22" fmla="*/ 2147483646 w 16384"/>
            <a:gd name="T23" fmla="*/ 0 h 16384"/>
            <a:gd name="T24" fmla="*/ 2147483646 w 16384"/>
            <a:gd name="T25" fmla="*/ 0 h 16384"/>
            <a:gd name="T26" fmla="*/ 2147483646 w 16384"/>
            <a:gd name="T27" fmla="*/ 0 h 16384"/>
            <a:gd name="T28" fmla="*/ 2147483646 w 16384"/>
            <a:gd name="T29" fmla="*/ 0 h 16384"/>
            <a:gd name="T30" fmla="*/ 2147483646 w 16384"/>
            <a:gd name="T31" fmla="*/ 0 h 16384"/>
            <a:gd name="T32" fmla="*/ 2147483646 w 16384"/>
            <a:gd name="T33" fmla="*/ 0 h 16384"/>
            <a:gd name="T34" fmla="*/ 2147483646 w 16384"/>
            <a:gd name="T35" fmla="*/ 0 h 16384"/>
            <a:gd name="T36" fmla="*/ 2147483646 w 16384"/>
            <a:gd name="T37" fmla="*/ 0 h 16384"/>
            <a:gd name="T38" fmla="*/ 2147483646 w 16384"/>
            <a:gd name="T39" fmla="*/ 0 h 16384"/>
            <a:gd name="T40" fmla="*/ 2147483646 w 16384"/>
            <a:gd name="T41" fmla="*/ 0 h 16384"/>
            <a:gd name="T42" fmla="*/ 2147483646 w 16384"/>
            <a:gd name="T43" fmla="*/ 0 h 16384"/>
            <a:gd name="T44" fmla="*/ 2147483646 w 16384"/>
            <a:gd name="T45" fmla="*/ 0 h 16384"/>
            <a:gd name="T46" fmla="*/ 2147483646 w 16384"/>
            <a:gd name="T47" fmla="*/ 0 h 16384"/>
            <a:gd name="T48" fmla="*/ 2147483646 w 16384"/>
            <a:gd name="T49" fmla="*/ 0 h 16384"/>
            <a:gd name="T50" fmla="*/ 2147483646 w 16384"/>
            <a:gd name="T51" fmla="*/ 0 h 16384"/>
            <a:gd name="T52" fmla="*/ 2147483646 w 16384"/>
            <a:gd name="T53" fmla="*/ 0 h 16384"/>
            <a:gd name="T54" fmla="*/ 2147483646 w 16384"/>
            <a:gd name="T55" fmla="*/ 0 h 16384"/>
            <a:gd name="T56" fmla="*/ 2147483646 w 16384"/>
            <a:gd name="T57" fmla="*/ 0 h 16384"/>
            <a:gd name="T58" fmla="*/ 2147483646 w 16384"/>
            <a:gd name="T59" fmla="*/ 0 h 16384"/>
            <a:gd name="T60" fmla="*/ 2147483646 w 16384"/>
            <a:gd name="T61" fmla="*/ 0 h 16384"/>
            <a:gd name="T62" fmla="*/ 2147483646 w 16384"/>
            <a:gd name="T63" fmla="*/ 0 h 16384"/>
            <a:gd name="T64" fmla="*/ 2147483646 w 16384"/>
            <a:gd name="T65" fmla="*/ 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0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 macro="" textlink="">
      <xdr:nvSpPr>
        <xdr:cNvPr id="1887" name="Rajz 1">
          <a:extLst>
            <a:ext uri="{FF2B5EF4-FFF2-40B4-BE49-F238E27FC236}">
              <a16:creationId xmlns:a16="http://schemas.microsoft.com/office/drawing/2014/main" id="{7132FA08-A418-493D-8A57-98BBD646B1C6}"/>
            </a:ext>
          </a:extLst>
        </xdr:cNvPr>
        <xdr:cNvSpPr>
          <a:spLocks/>
        </xdr:cNvSpPr>
      </xdr:nvSpPr>
      <xdr:spPr bwMode="auto">
        <a:xfrm>
          <a:off x="1114425" y="0"/>
          <a:ext cx="7620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2147483646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2147483646 w 16384"/>
            <a:gd name="T15" fmla="*/ 0 h 16384"/>
            <a:gd name="T16" fmla="*/ 2147483646 w 16384"/>
            <a:gd name="T17" fmla="*/ 0 h 16384"/>
            <a:gd name="T18" fmla="*/ 2147483646 w 16384"/>
            <a:gd name="T19" fmla="*/ 0 h 16384"/>
            <a:gd name="T20" fmla="*/ 2147483646 w 16384"/>
            <a:gd name="T21" fmla="*/ 0 h 16384"/>
            <a:gd name="T22" fmla="*/ 2147483646 w 16384"/>
            <a:gd name="T23" fmla="*/ 0 h 16384"/>
            <a:gd name="T24" fmla="*/ 2147483646 w 16384"/>
            <a:gd name="T25" fmla="*/ 0 h 16384"/>
            <a:gd name="T26" fmla="*/ 2147483646 w 16384"/>
            <a:gd name="T27" fmla="*/ 0 h 16384"/>
            <a:gd name="T28" fmla="*/ 2147483646 w 16384"/>
            <a:gd name="T29" fmla="*/ 0 h 16384"/>
            <a:gd name="T30" fmla="*/ 2147483646 w 16384"/>
            <a:gd name="T31" fmla="*/ 0 h 16384"/>
            <a:gd name="T32" fmla="*/ 2147483646 w 16384"/>
            <a:gd name="T33" fmla="*/ 0 h 16384"/>
            <a:gd name="T34" fmla="*/ 2147483646 w 16384"/>
            <a:gd name="T35" fmla="*/ 0 h 16384"/>
            <a:gd name="T36" fmla="*/ 2147483646 w 16384"/>
            <a:gd name="T37" fmla="*/ 0 h 16384"/>
            <a:gd name="T38" fmla="*/ 2147483646 w 16384"/>
            <a:gd name="T39" fmla="*/ 0 h 16384"/>
            <a:gd name="T40" fmla="*/ 2147483646 w 16384"/>
            <a:gd name="T41" fmla="*/ 0 h 16384"/>
            <a:gd name="T42" fmla="*/ 2147483646 w 16384"/>
            <a:gd name="T43" fmla="*/ 0 h 16384"/>
            <a:gd name="T44" fmla="*/ 2147483646 w 16384"/>
            <a:gd name="T45" fmla="*/ 0 h 16384"/>
            <a:gd name="T46" fmla="*/ 2147483646 w 16384"/>
            <a:gd name="T47" fmla="*/ 0 h 16384"/>
            <a:gd name="T48" fmla="*/ 2147483646 w 16384"/>
            <a:gd name="T49" fmla="*/ 0 h 16384"/>
            <a:gd name="T50" fmla="*/ 2147483646 w 16384"/>
            <a:gd name="T51" fmla="*/ 0 h 16384"/>
            <a:gd name="T52" fmla="*/ 2147483646 w 16384"/>
            <a:gd name="T53" fmla="*/ 0 h 16384"/>
            <a:gd name="T54" fmla="*/ 2147483646 w 16384"/>
            <a:gd name="T55" fmla="*/ 0 h 16384"/>
            <a:gd name="T56" fmla="*/ 2147483646 w 16384"/>
            <a:gd name="T57" fmla="*/ 0 h 16384"/>
            <a:gd name="T58" fmla="*/ 2147483646 w 16384"/>
            <a:gd name="T59" fmla="*/ 0 h 16384"/>
            <a:gd name="T60" fmla="*/ 2147483646 w 16384"/>
            <a:gd name="T61" fmla="*/ 0 h 16384"/>
            <a:gd name="T62" fmla="*/ 2147483646 w 16384"/>
            <a:gd name="T63" fmla="*/ 0 h 16384"/>
            <a:gd name="T64" fmla="*/ 2147483646 w 16384"/>
            <a:gd name="T65" fmla="*/ 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0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 macro="" textlink="">
      <xdr:nvSpPr>
        <xdr:cNvPr id="1888" name="Rajz 1">
          <a:extLst>
            <a:ext uri="{FF2B5EF4-FFF2-40B4-BE49-F238E27FC236}">
              <a16:creationId xmlns:a16="http://schemas.microsoft.com/office/drawing/2014/main" id="{694B5833-FF85-4087-8587-AD183090C742}"/>
            </a:ext>
          </a:extLst>
        </xdr:cNvPr>
        <xdr:cNvSpPr>
          <a:spLocks/>
        </xdr:cNvSpPr>
      </xdr:nvSpPr>
      <xdr:spPr bwMode="auto">
        <a:xfrm>
          <a:off x="1114425" y="0"/>
          <a:ext cx="7620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2147483646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2147483646 w 16384"/>
            <a:gd name="T15" fmla="*/ 0 h 16384"/>
            <a:gd name="T16" fmla="*/ 2147483646 w 16384"/>
            <a:gd name="T17" fmla="*/ 0 h 16384"/>
            <a:gd name="T18" fmla="*/ 2147483646 w 16384"/>
            <a:gd name="T19" fmla="*/ 0 h 16384"/>
            <a:gd name="T20" fmla="*/ 2147483646 w 16384"/>
            <a:gd name="T21" fmla="*/ 0 h 16384"/>
            <a:gd name="T22" fmla="*/ 2147483646 w 16384"/>
            <a:gd name="T23" fmla="*/ 0 h 16384"/>
            <a:gd name="T24" fmla="*/ 2147483646 w 16384"/>
            <a:gd name="T25" fmla="*/ 0 h 16384"/>
            <a:gd name="T26" fmla="*/ 2147483646 w 16384"/>
            <a:gd name="T27" fmla="*/ 0 h 16384"/>
            <a:gd name="T28" fmla="*/ 2147483646 w 16384"/>
            <a:gd name="T29" fmla="*/ 0 h 16384"/>
            <a:gd name="T30" fmla="*/ 2147483646 w 16384"/>
            <a:gd name="T31" fmla="*/ 0 h 16384"/>
            <a:gd name="T32" fmla="*/ 2147483646 w 16384"/>
            <a:gd name="T33" fmla="*/ 0 h 16384"/>
            <a:gd name="T34" fmla="*/ 2147483646 w 16384"/>
            <a:gd name="T35" fmla="*/ 0 h 16384"/>
            <a:gd name="T36" fmla="*/ 2147483646 w 16384"/>
            <a:gd name="T37" fmla="*/ 0 h 16384"/>
            <a:gd name="T38" fmla="*/ 2147483646 w 16384"/>
            <a:gd name="T39" fmla="*/ 0 h 16384"/>
            <a:gd name="T40" fmla="*/ 2147483646 w 16384"/>
            <a:gd name="T41" fmla="*/ 0 h 16384"/>
            <a:gd name="T42" fmla="*/ 2147483646 w 16384"/>
            <a:gd name="T43" fmla="*/ 0 h 16384"/>
            <a:gd name="T44" fmla="*/ 2147483646 w 16384"/>
            <a:gd name="T45" fmla="*/ 0 h 16384"/>
            <a:gd name="T46" fmla="*/ 2147483646 w 16384"/>
            <a:gd name="T47" fmla="*/ 0 h 16384"/>
            <a:gd name="T48" fmla="*/ 2147483646 w 16384"/>
            <a:gd name="T49" fmla="*/ 0 h 16384"/>
            <a:gd name="T50" fmla="*/ 2147483646 w 16384"/>
            <a:gd name="T51" fmla="*/ 0 h 16384"/>
            <a:gd name="T52" fmla="*/ 2147483646 w 16384"/>
            <a:gd name="T53" fmla="*/ 0 h 16384"/>
            <a:gd name="T54" fmla="*/ 2147483646 w 16384"/>
            <a:gd name="T55" fmla="*/ 0 h 16384"/>
            <a:gd name="T56" fmla="*/ 2147483646 w 16384"/>
            <a:gd name="T57" fmla="*/ 0 h 16384"/>
            <a:gd name="T58" fmla="*/ 2147483646 w 16384"/>
            <a:gd name="T59" fmla="*/ 0 h 16384"/>
            <a:gd name="T60" fmla="*/ 2147483646 w 16384"/>
            <a:gd name="T61" fmla="*/ 0 h 16384"/>
            <a:gd name="T62" fmla="*/ 2147483646 w 16384"/>
            <a:gd name="T63" fmla="*/ 0 h 16384"/>
            <a:gd name="T64" fmla="*/ 2147483646 w 16384"/>
            <a:gd name="T65" fmla="*/ 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0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V52"/>
  <sheetViews>
    <sheetView topLeftCell="B1" zoomScaleNormal="100" zoomScaleSheetLayoutView="100" workbookViewId="0">
      <selection activeCell="Q20" sqref="Q20"/>
    </sheetView>
  </sheetViews>
  <sheetFormatPr defaultRowHeight="13.5" customHeight="1" x14ac:dyDescent="0.2"/>
  <cols>
    <col min="1" max="1" width="0.85546875" style="248" hidden="1" customWidth="1"/>
    <col min="2" max="2" width="38.42578125" style="221" customWidth="1"/>
    <col min="3" max="3" width="11.28515625" style="248" bestFit="1" customWidth="1"/>
    <col min="4" max="4" width="11.28515625" style="248" hidden="1" customWidth="1"/>
    <col min="5" max="6" width="11.140625" style="248" customWidth="1"/>
    <col min="7" max="7" width="11.28515625" style="248" customWidth="1"/>
    <col min="8" max="8" width="6.85546875" style="266" customWidth="1"/>
    <col min="9" max="9" width="40.28515625" style="248" customWidth="1"/>
    <col min="10" max="10" width="13" style="248" customWidth="1"/>
    <col min="11" max="11" width="0.140625" style="248" customWidth="1"/>
    <col min="12" max="13" width="11.7109375" style="248" customWidth="1"/>
    <col min="14" max="14" width="11.7109375" style="248" bestFit="1" customWidth="1"/>
    <col min="15" max="15" width="6.7109375" style="279" customWidth="1"/>
    <col min="16" max="17" width="11.140625" style="1011" bestFit="1" customWidth="1"/>
    <col min="18" max="18" width="11.5703125" style="1011" customWidth="1"/>
    <col min="19" max="19" width="11.140625" style="1011" bestFit="1" customWidth="1"/>
    <col min="20" max="20" width="11" style="1011" customWidth="1"/>
    <col min="21" max="22" width="9.140625" style="1011"/>
    <col min="23" max="16384" width="9.140625" style="248"/>
  </cols>
  <sheetData>
    <row r="1" spans="1:22" ht="13.5" customHeight="1" x14ac:dyDescent="0.2">
      <c r="I1" s="1348" t="s">
        <v>1003</v>
      </c>
      <c r="J1" s="1349"/>
      <c r="K1" s="1349"/>
      <c r="L1" s="1349"/>
      <c r="M1" s="1349"/>
      <c r="N1" s="1349"/>
      <c r="O1" s="1349"/>
    </row>
    <row r="2" spans="1:22" ht="13.5" customHeight="1" x14ac:dyDescent="0.2">
      <c r="I2" s="1002"/>
      <c r="J2" s="1003"/>
      <c r="K2" s="1003"/>
      <c r="L2" s="1003"/>
      <c r="M2" s="1003"/>
      <c r="N2" s="1003"/>
      <c r="O2" s="1003"/>
    </row>
    <row r="3" spans="1:22" ht="13.5" customHeight="1" x14ac:dyDescent="0.2">
      <c r="A3" s="1350" t="s">
        <v>657</v>
      </c>
      <c r="B3" s="1350"/>
      <c r="C3" s="1350"/>
      <c r="D3" s="1350"/>
      <c r="E3" s="1350"/>
      <c r="F3" s="1350"/>
      <c r="G3" s="1350"/>
      <c r="H3" s="1350"/>
      <c r="I3" s="1350"/>
      <c r="J3" s="1349"/>
      <c r="K3" s="1349"/>
      <c r="L3" s="1349"/>
      <c r="M3" s="1349"/>
      <c r="N3" s="1349"/>
      <c r="O3" s="1349"/>
    </row>
    <row r="4" spans="1:22" ht="13.5" customHeight="1" thickBot="1" x14ac:dyDescent="0.25">
      <c r="J4" s="225"/>
      <c r="K4" s="225"/>
      <c r="L4" s="225"/>
      <c r="M4" s="225"/>
      <c r="N4" s="225"/>
      <c r="O4" s="280" t="s">
        <v>82</v>
      </c>
    </row>
    <row r="5" spans="1:22" ht="13.5" customHeight="1" thickBot="1" x14ac:dyDescent="0.25">
      <c r="A5" s="1346" t="s">
        <v>13</v>
      </c>
      <c r="B5" s="162" t="s">
        <v>14</v>
      </c>
      <c r="C5" s="161"/>
      <c r="D5" s="161"/>
      <c r="E5" s="161"/>
      <c r="F5" s="161"/>
      <c r="G5" s="161"/>
      <c r="H5" s="273"/>
      <c r="I5" s="162" t="s">
        <v>15</v>
      </c>
      <c r="J5" s="163"/>
      <c r="K5" s="163"/>
      <c r="L5" s="163"/>
      <c r="M5" s="163"/>
      <c r="N5" s="163"/>
      <c r="O5" s="281"/>
    </row>
    <row r="6" spans="1:22" s="164" customFormat="1" ht="40.5" customHeight="1" thickBot="1" x14ac:dyDescent="0.25">
      <c r="A6" s="1347"/>
      <c r="B6" s="162" t="s">
        <v>16</v>
      </c>
      <c r="C6" s="226" t="s">
        <v>269</v>
      </c>
      <c r="D6" s="226" t="s">
        <v>281</v>
      </c>
      <c r="E6" s="226" t="s">
        <v>282</v>
      </c>
      <c r="F6" s="226" t="s">
        <v>658</v>
      </c>
      <c r="G6" s="226" t="s">
        <v>659</v>
      </c>
      <c r="H6" s="267" t="s">
        <v>283</v>
      </c>
      <c r="I6" s="162" t="s">
        <v>16</v>
      </c>
      <c r="J6" s="226" t="s">
        <v>269</v>
      </c>
      <c r="K6" s="226" t="s">
        <v>281</v>
      </c>
      <c r="L6" s="226" t="s">
        <v>282</v>
      </c>
      <c r="M6" s="226" t="s">
        <v>658</v>
      </c>
      <c r="N6" s="226" t="s">
        <v>659</v>
      </c>
      <c r="O6" s="267" t="s">
        <v>283</v>
      </c>
      <c r="P6" s="1012"/>
      <c r="Q6" s="1012"/>
      <c r="R6" s="1012"/>
      <c r="S6" s="1012"/>
      <c r="T6" s="1012"/>
      <c r="U6" s="1012"/>
      <c r="V6" s="1012"/>
    </row>
    <row r="7" spans="1:22" ht="13.5" customHeight="1" thickBot="1" x14ac:dyDescent="0.25">
      <c r="A7" s="243" t="s">
        <v>129</v>
      </c>
      <c r="B7" s="323" t="s">
        <v>246</v>
      </c>
      <c r="C7" s="265">
        <v>115707126</v>
      </c>
      <c r="D7" s="265">
        <v>121878682</v>
      </c>
      <c r="E7" s="265">
        <v>127170612</v>
      </c>
      <c r="F7" s="265">
        <v>123278232</v>
      </c>
      <c r="G7" s="265">
        <v>123278232</v>
      </c>
      <c r="H7" s="268">
        <f>SUM(G7/F7)</f>
        <v>1</v>
      </c>
      <c r="I7" s="282" t="s">
        <v>17</v>
      </c>
      <c r="J7" s="1004">
        <v>24963000</v>
      </c>
      <c r="K7" s="1004">
        <v>32280468</v>
      </c>
      <c r="L7" s="1004">
        <v>31141967</v>
      </c>
      <c r="M7" s="1004">
        <v>31343167</v>
      </c>
      <c r="N7" s="1004">
        <v>27008810</v>
      </c>
      <c r="O7" s="317">
        <f>SUM(N7/M7)</f>
        <v>0.86171285754244298</v>
      </c>
    </row>
    <row r="8" spans="1:22" ht="13.5" customHeight="1" thickBot="1" x14ac:dyDescent="0.25">
      <c r="A8" s="243" t="s">
        <v>128</v>
      </c>
      <c r="B8" s="175" t="s">
        <v>18</v>
      </c>
      <c r="C8" s="56">
        <f>135154476-C7</f>
        <v>19447350</v>
      </c>
      <c r="D8" s="56">
        <f>141693587-D7</f>
        <v>19814905</v>
      </c>
      <c r="E8" s="56">
        <f>148408607-E7</f>
        <v>21237995</v>
      </c>
      <c r="F8" s="56">
        <f>146988344-F7</f>
        <v>23710112</v>
      </c>
      <c r="G8" s="56">
        <f>145834355-G7</f>
        <v>22556123</v>
      </c>
      <c r="H8" s="268">
        <f>SUM(G8/F8)</f>
        <v>0.95132924720051937</v>
      </c>
      <c r="I8" s="1005" t="s">
        <v>19</v>
      </c>
      <c r="J8" s="227">
        <v>3479000</v>
      </c>
      <c r="K8" s="227">
        <v>4171503</v>
      </c>
      <c r="L8" s="227">
        <v>4088186</v>
      </c>
      <c r="M8" s="227">
        <v>4088186</v>
      </c>
      <c r="N8" s="227">
        <v>3470098</v>
      </c>
      <c r="O8" s="317">
        <f t="shared" ref="O8:O13" si="0">SUM(N8/M8)</f>
        <v>0.8488111842269408</v>
      </c>
    </row>
    <row r="9" spans="1:22" ht="13.5" customHeight="1" thickBot="1" x14ac:dyDescent="0.25">
      <c r="A9" s="243" t="s">
        <v>127</v>
      </c>
      <c r="B9" s="175" t="s">
        <v>124</v>
      </c>
      <c r="C9" s="56">
        <v>48515000</v>
      </c>
      <c r="D9" s="56">
        <v>43545000</v>
      </c>
      <c r="E9" s="56">
        <v>48067788</v>
      </c>
      <c r="F9" s="56">
        <v>48067788</v>
      </c>
      <c r="G9" s="56">
        <v>47471844</v>
      </c>
      <c r="H9" s="268">
        <f>SUM(G9/F9)</f>
        <v>0.98760200906270124</v>
      </c>
      <c r="I9" s="175" t="s">
        <v>21</v>
      </c>
      <c r="J9" s="227">
        <v>58695000</v>
      </c>
      <c r="K9" s="227">
        <v>58905000</v>
      </c>
      <c r="L9" s="227">
        <v>62393048</v>
      </c>
      <c r="M9" s="227">
        <v>69464735</v>
      </c>
      <c r="N9" s="227">
        <v>52456947</v>
      </c>
      <c r="O9" s="317">
        <f t="shared" si="0"/>
        <v>0.75515939130840992</v>
      </c>
    </row>
    <row r="10" spans="1:22" ht="13.5" customHeight="1" thickBot="1" x14ac:dyDescent="0.25">
      <c r="A10" s="243" t="s">
        <v>126</v>
      </c>
      <c r="B10" s="244" t="s">
        <v>20</v>
      </c>
      <c r="C10" s="56">
        <v>17173000</v>
      </c>
      <c r="D10" s="56">
        <v>17193000</v>
      </c>
      <c r="E10" s="56">
        <v>18269495</v>
      </c>
      <c r="F10" s="56">
        <v>19637495</v>
      </c>
      <c r="G10" s="56">
        <v>15429616</v>
      </c>
      <c r="H10" s="268">
        <f>SUM(G10/F10)</f>
        <v>0.78572221151424859</v>
      </c>
      <c r="I10" s="175" t="s">
        <v>23</v>
      </c>
      <c r="J10" s="227">
        <v>2360000</v>
      </c>
      <c r="K10" s="227">
        <v>2360000</v>
      </c>
      <c r="L10" s="227">
        <v>2360000</v>
      </c>
      <c r="M10" s="227">
        <v>2360000</v>
      </c>
      <c r="N10" s="227">
        <v>1425095</v>
      </c>
      <c r="O10" s="317">
        <f t="shared" si="0"/>
        <v>0.60385381355932199</v>
      </c>
    </row>
    <row r="11" spans="1:22" ht="13.5" customHeight="1" thickBot="1" x14ac:dyDescent="0.25">
      <c r="A11" s="243" t="s">
        <v>125</v>
      </c>
      <c r="B11" s="175" t="s">
        <v>22</v>
      </c>
      <c r="C11" s="56">
        <v>2718000</v>
      </c>
      <c r="D11" s="56">
        <v>2340300</v>
      </c>
      <c r="E11" s="56">
        <v>2345300</v>
      </c>
      <c r="F11" s="56">
        <v>2345300</v>
      </c>
      <c r="G11" s="56">
        <v>2345298</v>
      </c>
      <c r="H11" s="268">
        <f>SUM(G11/F11)</f>
        <v>0.99999914723063144</v>
      </c>
      <c r="I11" s="175" t="s">
        <v>24</v>
      </c>
      <c r="J11" s="227">
        <f>92238715-J12-J13-J29</f>
        <v>14567000</v>
      </c>
      <c r="K11" s="227">
        <f>79771422-K12-K13-K29</f>
        <v>8858050</v>
      </c>
      <c r="L11" s="227">
        <f>85310993-L12-L13-L29</f>
        <v>8957042</v>
      </c>
      <c r="M11" s="227">
        <f>92463600-M12-M13-M29</f>
        <v>9920144</v>
      </c>
      <c r="N11" s="227">
        <f>59510892-N12-N13-N29</f>
        <v>9070590</v>
      </c>
      <c r="O11" s="317">
        <f t="shared" si="0"/>
        <v>0.91436071895730542</v>
      </c>
    </row>
    <row r="12" spans="1:22" ht="13.5" customHeight="1" thickBot="1" x14ac:dyDescent="0.25">
      <c r="A12" s="243" t="s">
        <v>130</v>
      </c>
      <c r="B12" s="245"/>
      <c r="C12" s="56"/>
      <c r="D12" s="56"/>
      <c r="E12" s="56"/>
      <c r="F12" s="56"/>
      <c r="G12" s="56"/>
      <c r="H12" s="268"/>
      <c r="I12" s="175" t="s">
        <v>84</v>
      </c>
      <c r="J12" s="227">
        <f>33146900+28733000+200000</f>
        <v>62079900</v>
      </c>
      <c r="K12" s="227">
        <f>33146900+28733000+200000-2559055</f>
        <v>59520845</v>
      </c>
      <c r="L12" s="227">
        <v>59520845</v>
      </c>
      <c r="M12" s="227">
        <v>59520843</v>
      </c>
      <c r="N12" s="227">
        <v>50440302</v>
      </c>
      <c r="O12" s="317">
        <f t="shared" si="0"/>
        <v>0.84743930794125344</v>
      </c>
    </row>
    <row r="13" spans="1:22" ht="13.5" customHeight="1" thickBot="1" x14ac:dyDescent="0.25">
      <c r="A13" s="243" t="s">
        <v>131</v>
      </c>
      <c r="B13" s="246"/>
      <c r="C13" s="56"/>
      <c r="D13" s="56"/>
      <c r="E13" s="56"/>
      <c r="F13" s="56"/>
      <c r="G13" s="56"/>
      <c r="H13" s="268"/>
      <c r="I13" s="202" t="s">
        <v>110</v>
      </c>
      <c r="J13" s="1006">
        <v>5964021</v>
      </c>
      <c r="K13" s="1006">
        <v>-2102514</v>
      </c>
      <c r="L13" s="1006">
        <f>16833106-L29</f>
        <v>3904203</v>
      </c>
      <c r="M13" s="1006">
        <f>23022613-M29</f>
        <v>7253561</v>
      </c>
      <c r="N13" s="1006">
        <v>0</v>
      </c>
      <c r="O13" s="317">
        <f t="shared" si="0"/>
        <v>0</v>
      </c>
    </row>
    <row r="14" spans="1:22" ht="13.5" customHeight="1" thickBot="1" x14ac:dyDescent="0.25">
      <c r="A14" s="243" t="s">
        <v>132</v>
      </c>
      <c r="B14" s="187" t="s">
        <v>247</v>
      </c>
      <c r="C14" s="241">
        <f>SUM(C7:C13)</f>
        <v>203560476</v>
      </c>
      <c r="D14" s="241">
        <f>SUM(D7:D13)</f>
        <v>204771887</v>
      </c>
      <c r="E14" s="241">
        <f>SUM(E7:E13)</f>
        <v>217091190</v>
      </c>
      <c r="F14" s="241">
        <f>SUM(F7:F13)</f>
        <v>217038927</v>
      </c>
      <c r="G14" s="241">
        <f>SUM(G7:G13)</f>
        <v>211081113</v>
      </c>
      <c r="H14" s="270">
        <f>SUM(G14/E14)</f>
        <v>0.97231542652652092</v>
      </c>
      <c r="I14" s="187" t="s">
        <v>248</v>
      </c>
      <c r="J14" s="229">
        <f>SUM(J7:J13)</f>
        <v>172107921</v>
      </c>
      <c r="K14" s="229">
        <f>SUM(K7:K13)</f>
        <v>163993352</v>
      </c>
      <c r="L14" s="229">
        <f>SUM(L7:L13)</f>
        <v>172365291</v>
      </c>
      <c r="M14" s="229">
        <f>SUM(M7:M13)</f>
        <v>183950636</v>
      </c>
      <c r="N14" s="229">
        <f>SUM(N7:N13)</f>
        <v>143871842</v>
      </c>
      <c r="O14" s="319">
        <f>SUM(N14/M14)</f>
        <v>0.7821220145169816</v>
      </c>
    </row>
    <row r="15" spans="1:22" ht="13.5" customHeight="1" thickBot="1" x14ac:dyDescent="0.25">
      <c r="A15" s="243" t="s">
        <v>5</v>
      </c>
      <c r="B15" s="249" t="s">
        <v>261</v>
      </c>
      <c r="C15" s="56"/>
      <c r="D15" s="56"/>
      <c r="E15" s="56"/>
      <c r="F15" s="56"/>
      <c r="G15" s="56"/>
      <c r="H15" s="269"/>
      <c r="I15" s="190" t="s">
        <v>32</v>
      </c>
      <c r="J15" s="227"/>
      <c r="K15" s="227"/>
      <c r="L15" s="227"/>
      <c r="M15" s="227"/>
      <c r="N15" s="227"/>
      <c r="O15" s="318"/>
    </row>
    <row r="16" spans="1:22" ht="13.5" customHeight="1" thickBot="1" x14ac:dyDescent="0.25">
      <c r="A16" s="243" t="s">
        <v>6</v>
      </c>
      <c r="B16" s="250" t="s">
        <v>33</v>
      </c>
      <c r="C16" s="56">
        <v>14784859</v>
      </c>
      <c r="D16" s="56">
        <f>14784859-4951733</f>
        <v>9833126</v>
      </c>
      <c r="E16" s="56">
        <v>9833126</v>
      </c>
      <c r="F16" s="56">
        <f>14784859+4326797</f>
        <v>19111656</v>
      </c>
      <c r="G16" s="56">
        <f>14784859+4326797</f>
        <v>19111656</v>
      </c>
      <c r="H16" s="269">
        <f>SUM(G16/F16)</f>
        <v>1</v>
      </c>
      <c r="I16" s="193" t="s">
        <v>285</v>
      </c>
      <c r="J16" s="227"/>
      <c r="K16" s="227"/>
      <c r="L16" s="227">
        <v>60000000</v>
      </c>
      <c r="M16" s="227">
        <v>60000000</v>
      </c>
      <c r="N16" s="227">
        <v>60000000</v>
      </c>
      <c r="O16" s="318">
        <f>SUM(N16/M16)</f>
        <v>1</v>
      </c>
    </row>
    <row r="17" spans="1:22" ht="13.5" customHeight="1" thickBot="1" x14ac:dyDescent="0.25">
      <c r="A17" s="243" t="s">
        <v>7</v>
      </c>
      <c r="B17" s="250" t="s">
        <v>35</v>
      </c>
      <c r="C17" s="56"/>
      <c r="D17" s="56"/>
      <c r="E17" s="56"/>
      <c r="F17" s="56"/>
      <c r="G17" s="56"/>
      <c r="H17" s="269"/>
      <c r="I17" s="193" t="s">
        <v>36</v>
      </c>
      <c r="J17" s="227"/>
      <c r="K17" s="227"/>
      <c r="L17" s="227"/>
      <c r="M17" s="227"/>
      <c r="N17" s="227"/>
      <c r="O17" s="318"/>
    </row>
    <row r="18" spans="1:22" ht="13.5" customHeight="1" thickBot="1" x14ac:dyDescent="0.25">
      <c r="A18" s="243" t="s">
        <v>8</v>
      </c>
      <c r="B18" s="249" t="s">
        <v>661</v>
      </c>
      <c r="C18" s="56"/>
      <c r="D18" s="56"/>
      <c r="E18" s="56"/>
      <c r="F18" s="56">
        <v>4792227</v>
      </c>
      <c r="G18" s="56">
        <v>4792227</v>
      </c>
      <c r="H18" s="269">
        <f>SUM(G18/F18)</f>
        <v>1</v>
      </c>
      <c r="I18" s="193" t="s">
        <v>38</v>
      </c>
      <c r="J18" s="227"/>
      <c r="K18" s="227"/>
      <c r="L18" s="227"/>
      <c r="M18" s="227"/>
      <c r="N18" s="227"/>
      <c r="O18" s="318"/>
    </row>
    <row r="19" spans="1:22" ht="13.5" customHeight="1" thickBot="1" x14ac:dyDescent="0.25">
      <c r="A19" s="243" t="s">
        <v>9</v>
      </c>
      <c r="B19" s="250" t="s">
        <v>39</v>
      </c>
      <c r="C19" s="56"/>
      <c r="D19" s="56"/>
      <c r="E19" s="56"/>
      <c r="F19" s="56"/>
      <c r="G19" s="56"/>
      <c r="H19" s="269"/>
      <c r="I19" s="249" t="s">
        <v>193</v>
      </c>
      <c r="J19" s="227">
        <v>4628285</v>
      </c>
      <c r="K19" s="227">
        <v>4628285</v>
      </c>
      <c r="L19" s="227">
        <v>4628285</v>
      </c>
      <c r="M19" s="227">
        <v>4628285</v>
      </c>
      <c r="N19" s="227">
        <v>4628285</v>
      </c>
      <c r="O19" s="318">
        <f>SUM(N19/M19)</f>
        <v>1</v>
      </c>
    </row>
    <row r="20" spans="1:22" ht="13.5" customHeight="1" thickBot="1" x14ac:dyDescent="0.25">
      <c r="A20" s="243" t="s">
        <v>10</v>
      </c>
      <c r="B20" s="193" t="s">
        <v>271</v>
      </c>
      <c r="C20" s="56">
        <f>5000000+58928098+1016000</f>
        <v>64944098</v>
      </c>
      <c r="D20" s="56">
        <f>5000000+58928098+1016000</f>
        <v>64944098</v>
      </c>
      <c r="E20" s="56">
        <f>5000000+58928098+1016000</f>
        <v>64944098</v>
      </c>
      <c r="F20" s="56">
        <f>5000000+58928098+1016000</f>
        <v>64944098</v>
      </c>
      <c r="G20" s="56">
        <v>58928098</v>
      </c>
      <c r="H20" s="269">
        <f>SUM(G20/F20)</f>
        <v>0.90736648617400151</v>
      </c>
      <c r="I20" s="193" t="s">
        <v>272</v>
      </c>
      <c r="J20" s="227">
        <v>58928098</v>
      </c>
      <c r="K20" s="227">
        <v>53928098</v>
      </c>
      <c r="L20" s="227">
        <v>0</v>
      </c>
      <c r="M20" s="227">
        <v>0</v>
      </c>
      <c r="N20" s="227">
        <v>0</v>
      </c>
      <c r="O20" s="318"/>
    </row>
    <row r="21" spans="1:22" ht="13.5" customHeight="1" thickBot="1" x14ac:dyDescent="0.25">
      <c r="A21" s="243" t="s">
        <v>42</v>
      </c>
      <c r="B21" s="251" t="s">
        <v>43</v>
      </c>
      <c r="C21" s="242"/>
      <c r="D21" s="242"/>
      <c r="E21" s="242"/>
      <c r="F21" s="242"/>
      <c r="G21" s="242"/>
      <c r="H21" s="271"/>
      <c r="I21" s="183" t="s">
        <v>26</v>
      </c>
      <c r="J21" s="228">
        <v>32152000</v>
      </c>
      <c r="K21" s="228">
        <v>38259000</v>
      </c>
      <c r="L21" s="228">
        <v>40635000</v>
      </c>
      <c r="M21" s="228">
        <v>41740000</v>
      </c>
      <c r="N21" s="228">
        <v>41740000</v>
      </c>
      <c r="O21" s="318">
        <f>SUM(N21/M21)</f>
        <v>1</v>
      </c>
    </row>
    <row r="22" spans="1:22" ht="18.75" customHeight="1" thickBot="1" x14ac:dyDescent="0.25">
      <c r="A22" s="243" t="s">
        <v>45</v>
      </c>
      <c r="B22" s="187" t="s">
        <v>662</v>
      </c>
      <c r="C22" s="241">
        <f>SUM(C15:C21)</f>
        <v>79728957</v>
      </c>
      <c r="D22" s="241">
        <f>SUM(D15:D21)</f>
        <v>74777224</v>
      </c>
      <c r="E22" s="241">
        <f>SUM(E15:E21)</f>
        <v>74777224</v>
      </c>
      <c r="F22" s="241">
        <f>SUM(F15:F21)</f>
        <v>88847981</v>
      </c>
      <c r="G22" s="241">
        <f>SUM(G15:G21)</f>
        <v>82831981</v>
      </c>
      <c r="H22" s="1007">
        <f t="shared" ref="H22:H27" si="1">SUM(G22/F22)</f>
        <v>0.93228883839239973</v>
      </c>
      <c r="I22" s="187" t="s">
        <v>249</v>
      </c>
      <c r="J22" s="229">
        <f>SUM(J15:J21)</f>
        <v>95708383</v>
      </c>
      <c r="K22" s="229">
        <f>SUM(K15:K21)</f>
        <v>96815383</v>
      </c>
      <c r="L22" s="229">
        <f>SUM(L15:L21)</f>
        <v>105263285</v>
      </c>
      <c r="M22" s="229">
        <f>SUM(M15:M21)</f>
        <v>106368285</v>
      </c>
      <c r="N22" s="229">
        <f>SUM(N15:N21)</f>
        <v>106368285</v>
      </c>
      <c r="O22" s="319">
        <f>SUM(N22/M22)</f>
        <v>1</v>
      </c>
    </row>
    <row r="23" spans="1:22" s="252" customFormat="1" ht="13.5" customHeight="1" thickBot="1" x14ac:dyDescent="0.25">
      <c r="A23" s="243" t="s">
        <v>46</v>
      </c>
      <c r="B23" s="274" t="s">
        <v>250</v>
      </c>
      <c r="C23" s="1008">
        <f>SUM(C22,C14)</f>
        <v>283289433</v>
      </c>
      <c r="D23" s="1008">
        <f>SUM(D22,D14)</f>
        <v>279549111</v>
      </c>
      <c r="E23" s="1008">
        <f>SUM(E22,E14)</f>
        <v>291868414</v>
      </c>
      <c r="F23" s="1008">
        <f>SUM(F22,F14)</f>
        <v>305886908</v>
      </c>
      <c r="G23" s="1008">
        <f>SUM(G22,G14)</f>
        <v>293913094</v>
      </c>
      <c r="H23" s="1007">
        <f t="shared" si="1"/>
        <v>0.96085542176914618</v>
      </c>
      <c r="I23" s="274" t="s">
        <v>251</v>
      </c>
      <c r="J23" s="275">
        <f>SUM(J22,J14)</f>
        <v>267816304</v>
      </c>
      <c r="K23" s="275">
        <f>SUM(K22,K14)</f>
        <v>260808735</v>
      </c>
      <c r="L23" s="275">
        <f>SUM(L22,L14)</f>
        <v>277628576</v>
      </c>
      <c r="M23" s="275">
        <f>SUM(M22,M14)</f>
        <v>290318921</v>
      </c>
      <c r="N23" s="275">
        <f>SUM(N22,N14)</f>
        <v>250240127</v>
      </c>
      <c r="O23" s="321">
        <f>SUM(N23/M23)</f>
        <v>0.86194908047347008</v>
      </c>
      <c r="P23" s="1013"/>
      <c r="Q23" s="1013"/>
      <c r="R23" s="1013"/>
      <c r="S23" s="1013"/>
      <c r="T23" s="1013"/>
      <c r="U23" s="1013"/>
      <c r="V23" s="1013"/>
    </row>
    <row r="24" spans="1:22" ht="22.5" customHeight="1" thickBot="1" x14ac:dyDescent="0.25">
      <c r="A24" s="243" t="s">
        <v>48</v>
      </c>
      <c r="B24" s="190" t="s">
        <v>51</v>
      </c>
      <c r="C24" s="56">
        <f>9534000</f>
        <v>9534000</v>
      </c>
      <c r="D24" s="56">
        <f>9534000</f>
        <v>9534000</v>
      </c>
      <c r="E24" s="56">
        <f>9534000</f>
        <v>9534000</v>
      </c>
      <c r="F24" s="56">
        <f>9534000</f>
        <v>9534000</v>
      </c>
      <c r="G24" s="56">
        <v>3982992</v>
      </c>
      <c r="H24" s="269">
        <f t="shared" si="1"/>
        <v>0.41776714915040908</v>
      </c>
      <c r="I24" s="190" t="s">
        <v>12</v>
      </c>
      <c r="J24" s="227">
        <v>21654000</v>
      </c>
      <c r="K24" s="227">
        <v>37679000</v>
      </c>
      <c r="L24" s="227">
        <v>39406000</v>
      </c>
      <c r="M24" s="227">
        <v>37419000</v>
      </c>
      <c r="N24" s="227">
        <v>31191803</v>
      </c>
      <c r="O24" s="318">
        <f>SUM(N24/M24)</f>
        <v>0.83358195034608085</v>
      </c>
    </row>
    <row r="25" spans="1:22" ht="13.5" customHeight="1" thickBot="1" x14ac:dyDescent="0.25">
      <c r="A25" s="243" t="s">
        <v>50</v>
      </c>
      <c r="B25" s="253" t="s">
        <v>145</v>
      </c>
      <c r="C25" s="56">
        <v>5305000</v>
      </c>
      <c r="D25" s="56">
        <v>5305000</v>
      </c>
      <c r="E25" s="56">
        <v>5305000</v>
      </c>
      <c r="F25" s="56">
        <v>5305000</v>
      </c>
      <c r="G25" s="56">
        <v>3499998</v>
      </c>
      <c r="H25" s="269">
        <f t="shared" si="1"/>
        <v>0.65975457115928371</v>
      </c>
      <c r="I25" s="253" t="s">
        <v>143</v>
      </c>
      <c r="J25" s="227">
        <v>7240000</v>
      </c>
      <c r="K25" s="227">
        <f>7240000+16025000</f>
        <v>23265000</v>
      </c>
      <c r="L25" s="227">
        <v>21510000</v>
      </c>
      <c r="M25" s="227">
        <v>21510000</v>
      </c>
      <c r="N25" s="227">
        <f>13110217+4086300+4310047</f>
        <v>21506564</v>
      </c>
      <c r="O25" s="318">
        <f t="shared" ref="O25:O30" si="2">SUM(N25/M25)</f>
        <v>0.99984026034402607</v>
      </c>
    </row>
    <row r="26" spans="1:22" ht="13.5" customHeight="1" thickBot="1" x14ac:dyDescent="0.25">
      <c r="A26" s="243" t="s">
        <v>52</v>
      </c>
      <c r="B26" s="175" t="s">
        <v>54</v>
      </c>
      <c r="C26" s="56"/>
      <c r="D26" s="56">
        <v>600000</v>
      </c>
      <c r="E26" s="56">
        <v>600000</v>
      </c>
      <c r="F26" s="56">
        <v>600000</v>
      </c>
      <c r="G26" s="56">
        <v>600000</v>
      </c>
      <c r="H26" s="269">
        <f t="shared" si="1"/>
        <v>1</v>
      </c>
      <c r="I26" s="193" t="s">
        <v>11</v>
      </c>
      <c r="J26" s="227">
        <f>24705000+1016000</f>
        <v>25721000</v>
      </c>
      <c r="K26" s="227">
        <v>9696000</v>
      </c>
      <c r="L26" s="227">
        <v>4034600</v>
      </c>
      <c r="M26" s="227">
        <v>4309600</v>
      </c>
      <c r="N26" s="227">
        <v>1446481</v>
      </c>
      <c r="O26" s="318">
        <f t="shared" si="2"/>
        <v>0.33564159086690182</v>
      </c>
    </row>
    <row r="27" spans="1:22" ht="13.5" customHeight="1" thickBot="1" x14ac:dyDescent="0.25">
      <c r="A27" s="243" t="s">
        <v>53</v>
      </c>
      <c r="B27" s="175" t="s">
        <v>136</v>
      </c>
      <c r="C27" s="56">
        <v>5155000</v>
      </c>
      <c r="D27" s="56">
        <v>5155000</v>
      </c>
      <c r="E27" s="56">
        <v>5155000</v>
      </c>
      <c r="F27" s="56">
        <v>5155000</v>
      </c>
      <c r="G27" s="56">
        <v>3199998</v>
      </c>
      <c r="H27" s="269">
        <f t="shared" si="1"/>
        <v>0.62075615906886517</v>
      </c>
      <c r="I27" s="253" t="s">
        <v>144</v>
      </c>
      <c r="J27" s="227">
        <v>16025000</v>
      </c>
      <c r="K27" s="227">
        <v>0</v>
      </c>
      <c r="L27" s="227">
        <v>1400000</v>
      </c>
      <c r="M27" s="227">
        <v>1400000</v>
      </c>
      <c r="N27" s="227">
        <v>1308480</v>
      </c>
      <c r="O27" s="318">
        <f t="shared" si="2"/>
        <v>0.93462857142857148</v>
      </c>
    </row>
    <row r="28" spans="1:22" ht="13.5" customHeight="1" thickBot="1" x14ac:dyDescent="0.25">
      <c r="A28" s="243" t="s">
        <v>55</v>
      </c>
      <c r="B28" s="253" t="s">
        <v>140</v>
      </c>
      <c r="C28" s="56"/>
      <c r="D28" s="56"/>
      <c r="E28" s="56"/>
      <c r="F28" s="56"/>
      <c r="G28" s="56"/>
      <c r="H28" s="269"/>
      <c r="I28" s="193" t="s">
        <v>223</v>
      </c>
      <c r="J28" s="227">
        <v>0</v>
      </c>
      <c r="K28" s="227">
        <v>0</v>
      </c>
      <c r="L28" s="227">
        <v>0</v>
      </c>
      <c r="M28" s="227"/>
      <c r="N28" s="227">
        <v>0</v>
      </c>
      <c r="O28" s="318"/>
    </row>
    <row r="29" spans="1:22" ht="13.5" customHeight="1" thickBot="1" x14ac:dyDescent="0.25">
      <c r="A29" s="243" t="s">
        <v>56</v>
      </c>
      <c r="B29" s="209"/>
      <c r="C29" s="240"/>
      <c r="D29" s="240"/>
      <c r="E29" s="240"/>
      <c r="F29" s="240"/>
      <c r="G29" s="240"/>
      <c r="H29" s="272"/>
      <c r="I29" s="175" t="s">
        <v>142</v>
      </c>
      <c r="J29" s="227">
        <v>9627794</v>
      </c>
      <c r="K29" s="227">
        <v>13495041</v>
      </c>
      <c r="L29" s="227">
        <v>12928903</v>
      </c>
      <c r="M29" s="227">
        <v>15769052</v>
      </c>
      <c r="N29" s="227">
        <v>0</v>
      </c>
      <c r="O29" s="318">
        <f t="shared" si="2"/>
        <v>0</v>
      </c>
    </row>
    <row r="30" spans="1:22" ht="13.5" customHeight="1" thickBot="1" x14ac:dyDescent="0.25">
      <c r="A30" s="243" t="s">
        <v>57</v>
      </c>
      <c r="B30" s="254" t="s">
        <v>58</v>
      </c>
      <c r="C30" s="242">
        <v>0</v>
      </c>
      <c r="D30" s="242">
        <v>0</v>
      </c>
      <c r="E30" s="242">
        <v>0</v>
      </c>
      <c r="F30" s="242"/>
      <c r="G30" s="242">
        <v>0</v>
      </c>
      <c r="H30" s="271"/>
      <c r="I30" s="247" t="s">
        <v>141</v>
      </c>
      <c r="J30" s="230">
        <v>3502000</v>
      </c>
      <c r="K30" s="230">
        <v>3502000</v>
      </c>
      <c r="L30" s="230">
        <v>3502000</v>
      </c>
      <c r="M30" s="230">
        <v>3702000</v>
      </c>
      <c r="N30" s="230">
        <v>1773986</v>
      </c>
      <c r="O30" s="318">
        <f t="shared" si="2"/>
        <v>0.47919665045921123</v>
      </c>
    </row>
    <row r="31" spans="1:22" ht="13.5" customHeight="1" thickBot="1" x14ac:dyDescent="0.25">
      <c r="A31" s="243" t="s">
        <v>59</v>
      </c>
      <c r="B31" s="187" t="s">
        <v>252</v>
      </c>
      <c r="C31" s="241">
        <f>SUM(C24+C26+C27+C30)</f>
        <v>14689000</v>
      </c>
      <c r="D31" s="241">
        <f>SUM(D24+D26+D27+D30)</f>
        <v>15289000</v>
      </c>
      <c r="E31" s="241">
        <f>SUM(E24+E26+E27+E30)</f>
        <v>15289000</v>
      </c>
      <c r="F31" s="241">
        <f>SUM(F24+F26+F27+F30)</f>
        <v>15289000</v>
      </c>
      <c r="G31" s="241">
        <f>SUM(G24+G26+G27+G30)</f>
        <v>7782990</v>
      </c>
      <c r="H31" s="270">
        <f>SUM(G31/F31)</f>
        <v>0.50905814637975011</v>
      </c>
      <c r="I31" s="187" t="s">
        <v>253</v>
      </c>
      <c r="J31" s="229">
        <f>SUM(J24+J26+J29+J30+J28)</f>
        <v>60504794</v>
      </c>
      <c r="K31" s="229">
        <f>SUM(K24+K26+K29+K30+K28)</f>
        <v>64372041</v>
      </c>
      <c r="L31" s="229">
        <f>SUM(L24+L26+L29+L30+L28)</f>
        <v>59871503</v>
      </c>
      <c r="M31" s="229">
        <f>SUM(M24+M26+M29+M30+M28)</f>
        <v>61199652</v>
      </c>
      <c r="N31" s="229">
        <f>SUM(N24+N26+N29+N30+N28)</f>
        <v>34412270</v>
      </c>
      <c r="O31" s="319">
        <f>SUM(N31/M31)</f>
        <v>0.56229519082886292</v>
      </c>
    </row>
    <row r="32" spans="1:22" ht="13.5" customHeight="1" thickBot="1" x14ac:dyDescent="0.25">
      <c r="A32" s="243" t="s">
        <v>60</v>
      </c>
      <c r="B32" s="249" t="s">
        <v>260</v>
      </c>
      <c r="C32" s="56"/>
      <c r="D32" s="56"/>
      <c r="E32" s="56"/>
      <c r="F32" s="56"/>
      <c r="G32" s="56"/>
      <c r="H32" s="269"/>
      <c r="I32" s="190" t="s">
        <v>36</v>
      </c>
      <c r="J32" s="227"/>
      <c r="K32" s="227"/>
      <c r="L32" s="227"/>
      <c r="M32" s="227"/>
      <c r="N32" s="227"/>
      <c r="O32" s="318"/>
    </row>
    <row r="33" spans="1:17" ht="13.5" customHeight="1" thickBot="1" x14ac:dyDescent="0.25">
      <c r="A33" s="243" t="s">
        <v>62</v>
      </c>
      <c r="B33" s="255" t="s">
        <v>63</v>
      </c>
      <c r="C33" s="56">
        <f>7500000+4996430+16207794+1638441</f>
        <v>30342665</v>
      </c>
      <c r="D33" s="56">
        <f>7500000+4996430+16207794+1638441</f>
        <v>30342665</v>
      </c>
      <c r="E33" s="56">
        <v>30342665</v>
      </c>
      <c r="F33" s="56">
        <v>30342665</v>
      </c>
      <c r="G33" s="56">
        <f>7500000+4996430+16207794+1638441</f>
        <v>30342665</v>
      </c>
      <c r="H33" s="269">
        <f>SUM(G33/F33)</f>
        <v>1</v>
      </c>
      <c r="I33" s="190" t="s">
        <v>44</v>
      </c>
      <c r="J33" s="227"/>
      <c r="K33" s="227"/>
      <c r="L33" s="227"/>
      <c r="M33" s="227"/>
      <c r="N33" s="227"/>
      <c r="O33" s="318"/>
    </row>
    <row r="34" spans="1:17" ht="13.5" customHeight="1" thickBot="1" x14ac:dyDescent="0.25">
      <c r="A34" s="243" t="s">
        <v>64</v>
      </c>
      <c r="B34" s="255" t="s">
        <v>65</v>
      </c>
      <c r="C34" s="56"/>
      <c r="D34" s="56"/>
      <c r="E34" s="56"/>
      <c r="F34" s="56"/>
      <c r="G34" s="56"/>
      <c r="H34" s="269"/>
      <c r="I34" s="193" t="s">
        <v>66</v>
      </c>
      <c r="J34" s="227"/>
      <c r="K34" s="227"/>
      <c r="L34" s="227"/>
      <c r="M34" s="227"/>
      <c r="N34" s="227"/>
      <c r="O34" s="318"/>
    </row>
    <row r="35" spans="1:17" ht="13.5" customHeight="1" thickBot="1" x14ac:dyDescent="0.25">
      <c r="A35" s="243" t="s">
        <v>67</v>
      </c>
      <c r="B35" s="193" t="s">
        <v>259</v>
      </c>
      <c r="C35" s="56"/>
      <c r="D35" s="56"/>
      <c r="E35" s="56"/>
      <c r="F35" s="56"/>
      <c r="G35" s="56"/>
      <c r="H35" s="269"/>
      <c r="I35" s="209"/>
      <c r="J35" s="227"/>
      <c r="K35" s="227"/>
      <c r="L35" s="227"/>
      <c r="M35" s="227"/>
      <c r="N35" s="227"/>
      <c r="O35" s="318"/>
    </row>
    <row r="36" spans="1:17" ht="13.5" customHeight="1" thickBot="1" x14ac:dyDescent="0.25">
      <c r="A36" s="243" t="s">
        <v>119</v>
      </c>
      <c r="B36" s="256" t="s">
        <v>120</v>
      </c>
      <c r="C36" s="242"/>
      <c r="D36" s="242"/>
      <c r="E36" s="242"/>
      <c r="F36" s="242"/>
      <c r="G36" s="242"/>
      <c r="H36" s="271"/>
      <c r="I36" s="212"/>
      <c r="J36" s="228"/>
      <c r="K36" s="228"/>
      <c r="L36" s="228"/>
      <c r="M36" s="228"/>
      <c r="N36" s="228"/>
      <c r="O36" s="320"/>
    </row>
    <row r="37" spans="1:17" ht="22.5" customHeight="1" thickBot="1" x14ac:dyDescent="0.25">
      <c r="A37" s="243" t="s">
        <v>121</v>
      </c>
      <c r="B37" s="187" t="s">
        <v>254</v>
      </c>
      <c r="C37" s="241">
        <f>SUM(C32:C36)</f>
        <v>30342665</v>
      </c>
      <c r="D37" s="241">
        <f>SUM(D32:D36)</f>
        <v>30342665</v>
      </c>
      <c r="E37" s="241">
        <f>SUM(E32:E36)</f>
        <v>30342665</v>
      </c>
      <c r="F37" s="241">
        <f>SUM(F32:F36)</f>
        <v>30342665</v>
      </c>
      <c r="G37" s="241">
        <f>SUM(G32:G36)</f>
        <v>30342665</v>
      </c>
      <c r="H37" s="295">
        <f>SUM(G37/F37)</f>
        <v>1</v>
      </c>
      <c r="I37" s="187" t="s">
        <v>225</v>
      </c>
      <c r="J37" s="296">
        <f>SUM(J32:J36)</f>
        <v>0</v>
      </c>
      <c r="K37" s="296">
        <f>SUM(K32:K36)</f>
        <v>0</v>
      </c>
      <c r="L37" s="296">
        <f>SUM(L32:L36)</f>
        <v>0</v>
      </c>
      <c r="M37" s="296">
        <f>SUM(M32:M36)</f>
        <v>0</v>
      </c>
      <c r="N37" s="296">
        <f>SUM(N32:N36)</f>
        <v>0</v>
      </c>
      <c r="O37" s="319"/>
    </row>
    <row r="38" spans="1:17" ht="18" customHeight="1" thickBot="1" x14ac:dyDescent="0.25">
      <c r="A38" s="243" t="s">
        <v>122</v>
      </c>
      <c r="B38" s="274" t="s">
        <v>257</v>
      </c>
      <c r="C38" s="276">
        <f>SUM(C37,C31)</f>
        <v>45031665</v>
      </c>
      <c r="D38" s="276">
        <f>SUM(D37,D31)</f>
        <v>45631665</v>
      </c>
      <c r="E38" s="276">
        <f>SUM(E37,E31)</f>
        <v>45631665</v>
      </c>
      <c r="F38" s="276">
        <f>SUM(F37,F31)</f>
        <v>45631665</v>
      </c>
      <c r="G38" s="276">
        <f>SUM(G37,G31)</f>
        <v>38125655</v>
      </c>
      <c r="H38" s="295">
        <f>SUM(G38/F38)</f>
        <v>0.83550874157232702</v>
      </c>
      <c r="I38" s="283" t="s">
        <v>258</v>
      </c>
      <c r="J38" s="277">
        <f>SUM(J31+J37)</f>
        <v>60504794</v>
      </c>
      <c r="K38" s="277">
        <f>SUM(K31+K37)</f>
        <v>64372041</v>
      </c>
      <c r="L38" s="277">
        <f>SUM(L31+L37)</f>
        <v>59871503</v>
      </c>
      <c r="M38" s="277">
        <f>SUM(M31+M37)</f>
        <v>61199652</v>
      </c>
      <c r="N38" s="277">
        <f>SUM(N31+N37)</f>
        <v>34412270</v>
      </c>
      <c r="O38" s="319">
        <f>SUM(N38/M38)</f>
        <v>0.56229519082886292</v>
      </c>
    </row>
    <row r="39" spans="1:17" ht="20.25" customHeight="1" thickBot="1" x14ac:dyDescent="0.25">
      <c r="A39" s="257" t="s">
        <v>123</v>
      </c>
      <c r="B39" s="297" t="s">
        <v>255</v>
      </c>
      <c r="C39" s="1009">
        <f>SUM(C23+C38)</f>
        <v>328321098</v>
      </c>
      <c r="D39" s="1009">
        <f>SUM(D23+D38)</f>
        <v>325180776</v>
      </c>
      <c r="E39" s="1009">
        <f>SUM(E23+E38)</f>
        <v>337500079</v>
      </c>
      <c r="F39" s="1009">
        <f>SUM(F23+F38)</f>
        <v>351518573</v>
      </c>
      <c r="G39" s="1009">
        <f>SUM(G23+G38)</f>
        <v>332038749</v>
      </c>
      <c r="H39" s="295">
        <f>SUM(G39/F39)</f>
        <v>0.94458379870585107</v>
      </c>
      <c r="I39" s="284" t="s">
        <v>256</v>
      </c>
      <c r="J39" s="278">
        <f>J38+J23</f>
        <v>328321098</v>
      </c>
      <c r="K39" s="278">
        <f>K38+K23</f>
        <v>325180776</v>
      </c>
      <c r="L39" s="278">
        <f>L38+L23</f>
        <v>337500079</v>
      </c>
      <c r="M39" s="278">
        <f>M38+M23</f>
        <v>351518573</v>
      </c>
      <c r="N39" s="278">
        <f>N38+N23</f>
        <v>284652397</v>
      </c>
      <c r="O39" s="319">
        <f>SUM(N39/M39)</f>
        <v>0.80977910945263198</v>
      </c>
    </row>
    <row r="40" spans="1:17" ht="6" customHeight="1" x14ac:dyDescent="0.2">
      <c r="A40" s="259"/>
      <c r="B40" s="285"/>
      <c r="C40" s="286"/>
      <c r="D40" s="286"/>
      <c r="E40" s="286"/>
      <c r="F40" s="286"/>
      <c r="G40" s="286"/>
      <c r="H40" s="287"/>
      <c r="I40" s="285"/>
      <c r="J40" s="288"/>
      <c r="K40" s="288"/>
      <c r="L40" s="288"/>
      <c r="M40" s="288"/>
      <c r="N40" s="288"/>
      <c r="O40" s="322"/>
      <c r="P40" s="1010"/>
    </row>
    <row r="41" spans="1:17" ht="13.5" customHeight="1" x14ac:dyDescent="0.2">
      <c r="A41" s="259"/>
      <c r="B41" s="289" t="s">
        <v>80</v>
      </c>
      <c r="C41" s="290">
        <f>SUM(C14+C31)</f>
        <v>218249476</v>
      </c>
      <c r="D41" s="290">
        <f>SUM(D14+D31)</f>
        <v>220060887</v>
      </c>
      <c r="E41" s="290">
        <f>SUM(E14+E31)</f>
        <v>232380190</v>
      </c>
      <c r="F41" s="290">
        <f>SUM(F14+F31)</f>
        <v>232327927</v>
      </c>
      <c r="G41" s="290">
        <f>SUM(G14+G31)</f>
        <v>218864103</v>
      </c>
      <c r="H41" s="291">
        <f>SUM(G41/F41)</f>
        <v>0.94204818949725322</v>
      </c>
      <c r="I41" s="292" t="s">
        <v>660</v>
      </c>
      <c r="J41" s="288">
        <v>27777830</v>
      </c>
      <c r="K41" s="288"/>
      <c r="L41" s="288"/>
      <c r="M41" s="288"/>
      <c r="N41" s="288">
        <f>48551617-N44</f>
        <v>32709447</v>
      </c>
      <c r="O41" s="322">
        <f>SUM(N41/J41)</f>
        <v>1.1775378782287889</v>
      </c>
      <c r="P41" s="1010"/>
    </row>
    <row r="42" spans="1:17" ht="13.5" customHeight="1" x14ac:dyDescent="0.2">
      <c r="A42" s="259"/>
      <c r="B42" s="289"/>
      <c r="C42" s="290"/>
      <c r="D42" s="290"/>
      <c r="E42" s="290"/>
      <c r="F42" s="290"/>
      <c r="G42" s="290"/>
      <c r="H42" s="291"/>
      <c r="I42" s="551" t="s">
        <v>287</v>
      </c>
      <c r="J42" s="288">
        <v>58928098</v>
      </c>
      <c r="K42" s="288"/>
      <c r="L42" s="288"/>
      <c r="M42" s="288"/>
      <c r="N42" s="288">
        <v>60000000</v>
      </c>
      <c r="O42" s="322">
        <f>SUM(N42/J42)</f>
        <v>1.0181899982585556</v>
      </c>
      <c r="P42" s="1010"/>
    </row>
    <row r="43" spans="1:17" ht="24" customHeight="1" x14ac:dyDescent="0.2">
      <c r="A43" s="259"/>
      <c r="B43" s="289" t="s">
        <v>81</v>
      </c>
      <c r="C43" s="290">
        <f>SUM(C22+C37)</f>
        <v>110071622</v>
      </c>
      <c r="D43" s="290">
        <f>SUM(D22+D37)</f>
        <v>105119889</v>
      </c>
      <c r="E43" s="290">
        <f>SUM(E22+E37)</f>
        <v>105119889</v>
      </c>
      <c r="F43" s="290">
        <f>SUM(F22+F37)</f>
        <v>119190646</v>
      </c>
      <c r="G43" s="290">
        <f>SUM(G22+G37)</f>
        <v>113174646</v>
      </c>
      <c r="H43" s="291">
        <f>SUM(G43/F43)</f>
        <v>0.94952624050716194</v>
      </c>
      <c r="I43" s="288" t="s">
        <v>245</v>
      </c>
      <c r="J43" s="288">
        <f>SUM(J41:J42)</f>
        <v>86705928</v>
      </c>
      <c r="K43" s="288"/>
      <c r="L43" s="288"/>
      <c r="M43" s="288"/>
      <c r="N43" s="288">
        <f>SUM(N41:N42)</f>
        <v>92709447</v>
      </c>
      <c r="O43" s="322">
        <f>SUM(N43/J43)</f>
        <v>1.0692400062888434</v>
      </c>
      <c r="P43" s="1010"/>
    </row>
    <row r="44" spans="1:17" ht="23.25" customHeight="1" x14ac:dyDescent="0.2">
      <c r="B44" s="289"/>
      <c r="C44" s="288">
        <f>SUM(C41:C43)</f>
        <v>328321098</v>
      </c>
      <c r="D44" s="288">
        <f>SUM(D41:D43)</f>
        <v>325180776</v>
      </c>
      <c r="E44" s="288">
        <f>SUM(E41:E43)</f>
        <v>337500079</v>
      </c>
      <c r="F44" s="288">
        <f>SUM(F41:F43)</f>
        <v>351518573</v>
      </c>
      <c r="G44" s="288">
        <f>SUM(G41:G43)</f>
        <v>332038749</v>
      </c>
      <c r="H44" s="291">
        <f>SUM(G44/F44)</f>
        <v>0.94458379870585107</v>
      </c>
      <c r="I44" s="288" t="s">
        <v>1001</v>
      </c>
      <c r="J44" s="288">
        <f>16207794+1638441+750000+4996430</f>
        <v>23592665</v>
      </c>
      <c r="K44" s="288"/>
      <c r="L44" s="288"/>
      <c r="M44" s="288"/>
      <c r="N44" s="288">
        <f>15769052+73118</f>
        <v>15842170</v>
      </c>
      <c r="O44" s="322">
        <f>SUM(N44/J44)</f>
        <v>0.671487091432867</v>
      </c>
      <c r="P44" s="1010"/>
      <c r="Q44" s="1010"/>
    </row>
    <row r="45" spans="1:17" ht="13.5" customHeight="1" x14ac:dyDescent="0.2">
      <c r="B45" s="289"/>
      <c r="C45" s="288"/>
      <c r="D45" s="288"/>
      <c r="E45" s="288"/>
      <c r="F45" s="288"/>
      <c r="G45" s="288"/>
      <c r="H45" s="293"/>
      <c r="I45" s="288" t="s">
        <v>244</v>
      </c>
      <c r="J45" s="294">
        <f>SUM(J43+J44)</f>
        <v>110298593</v>
      </c>
      <c r="K45" s="294"/>
      <c r="L45" s="294"/>
      <c r="M45" s="294"/>
      <c r="N45" s="294">
        <f>SUM(N43+N44)</f>
        <v>108551617</v>
      </c>
      <c r="O45" s="322">
        <f>SUM(N45/J45)</f>
        <v>0.98416139360907351</v>
      </c>
      <c r="P45" s="1010"/>
    </row>
    <row r="46" spans="1:17" ht="13.5" customHeight="1" x14ac:dyDescent="0.2">
      <c r="I46" s="248" t="s">
        <v>286</v>
      </c>
      <c r="N46" s="248">
        <f>SUM(G39-N39)</f>
        <v>47386352</v>
      </c>
      <c r="O46" s="266"/>
    </row>
    <row r="52" spans="13:13" ht="13.5" customHeight="1" x14ac:dyDescent="0.2">
      <c r="M52" s="248">
        <f>SUM(M39-L39)</f>
        <v>14018494</v>
      </c>
    </row>
  </sheetData>
  <mergeCells count="3">
    <mergeCell ref="A5:A6"/>
    <mergeCell ref="I1:O1"/>
    <mergeCell ref="A3:O3"/>
  </mergeCells>
  <phoneticPr fontId="3" type="noConversion"/>
  <printOptions horizontalCentered="1"/>
  <pageMargins left="0.19685039370078741" right="0.19685039370078741" top="0.39370078740157483" bottom="0.31496062992125984" header="0.6692913385826772" footer="0.27559055118110237"/>
  <pageSetup paperSize="9" scale="79" orientation="landscape" verticalDpi="300" r:id="rId1"/>
  <headerFooter alignWithMargins="0">
    <oddHeader xml:space="preserve">&amp;C&amp;P&amp;R&amp;"Times New Roman CE,Félkövér dőlt"&amp;11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4"/>
  <sheetViews>
    <sheetView zoomScaleNormal="100" workbookViewId="0">
      <selection activeCell="N22" sqref="N22"/>
    </sheetView>
  </sheetViews>
  <sheetFormatPr defaultRowHeight="12.75" x14ac:dyDescent="0.2"/>
  <cols>
    <col min="1" max="1" width="4" style="682" customWidth="1"/>
    <col min="2" max="2" width="12.140625" style="682" customWidth="1"/>
    <col min="3" max="3" width="10.7109375" style="682" bestFit="1" customWidth="1"/>
    <col min="4" max="4" width="13.85546875" style="682" customWidth="1"/>
    <col min="5" max="5" width="12" style="682" customWidth="1"/>
    <col min="6" max="6" width="10.5703125" style="682" customWidth="1"/>
    <col min="7" max="7" width="10.7109375" style="682" bestFit="1" customWidth="1"/>
    <col min="8" max="8" width="10.7109375" style="682" customWidth="1"/>
    <col min="9" max="9" width="9.140625" style="682" customWidth="1"/>
    <col min="10" max="10" width="19.140625" style="682" customWidth="1"/>
    <col min="11" max="11" width="7.140625" style="682" customWidth="1"/>
    <col min="12" max="12" width="9.42578125" style="682" customWidth="1"/>
    <col min="13" max="16384" width="9.140625" style="683"/>
  </cols>
  <sheetData>
    <row r="1" spans="1:12" x14ac:dyDescent="0.2">
      <c r="H1" s="1482"/>
      <c r="I1" s="1482"/>
      <c r="J1" s="1482"/>
      <c r="K1" s="1482"/>
      <c r="L1" s="1482"/>
    </row>
    <row r="2" spans="1:12" x14ac:dyDescent="0.2">
      <c r="F2" s="1353" t="s">
        <v>1011</v>
      </c>
      <c r="G2" s="1353"/>
      <c r="H2" s="1353"/>
      <c r="I2" s="1353"/>
      <c r="J2" s="1371"/>
      <c r="K2" s="1371"/>
    </row>
    <row r="3" spans="1:12" x14ac:dyDescent="0.2">
      <c r="F3" s="1483"/>
      <c r="G3" s="1484"/>
      <c r="H3" s="1484"/>
      <c r="I3" s="1484"/>
      <c r="J3" s="1484"/>
    </row>
    <row r="5" spans="1:12" x14ac:dyDescent="0.2">
      <c r="A5" s="1485" t="s">
        <v>428</v>
      </c>
      <c r="B5" s="1485"/>
      <c r="C5" s="1485"/>
      <c r="D5" s="1485"/>
      <c r="E5" s="1485"/>
      <c r="F5" s="1485"/>
      <c r="G5" s="1485"/>
      <c r="H5" s="1485"/>
      <c r="I5" s="1485"/>
      <c r="J5" s="1485"/>
      <c r="K5" s="1485"/>
      <c r="L5" s="685"/>
    </row>
    <row r="6" spans="1:12" ht="15" x14ac:dyDescent="0.2">
      <c r="A6" s="1449" t="s">
        <v>429</v>
      </c>
      <c r="B6" s="1449"/>
      <c r="C6" s="1449"/>
      <c r="D6" s="1449"/>
      <c r="E6" s="1449"/>
      <c r="F6" s="1449"/>
      <c r="G6" s="1449"/>
      <c r="H6" s="1449"/>
      <c r="I6" s="1449"/>
      <c r="J6" s="1449"/>
      <c r="K6" s="1449"/>
      <c r="L6" s="687"/>
    </row>
    <row r="7" spans="1:12" x14ac:dyDescent="0.2">
      <c r="A7" s="688"/>
      <c r="B7" s="688"/>
      <c r="C7" s="688"/>
      <c r="D7" s="688"/>
      <c r="E7" s="688"/>
      <c r="F7" s="688"/>
      <c r="G7" s="688"/>
      <c r="H7" s="688"/>
      <c r="I7" s="688"/>
      <c r="J7" s="688"/>
      <c r="K7" s="688"/>
      <c r="L7" s="688"/>
    </row>
    <row r="8" spans="1:12" x14ac:dyDescent="0.2">
      <c r="A8" s="688"/>
      <c r="B8" s="688"/>
      <c r="C8" s="688"/>
      <c r="D8" s="688"/>
      <c r="E8" s="688"/>
      <c r="F8" s="688"/>
      <c r="G8" s="688"/>
      <c r="H8" s="688"/>
      <c r="I8" s="688"/>
      <c r="J8" s="688"/>
      <c r="K8" s="688"/>
      <c r="L8" s="688"/>
    </row>
    <row r="9" spans="1:12" x14ac:dyDescent="0.2">
      <c r="A9" s="688"/>
      <c r="B9" s="688"/>
      <c r="C9" s="688"/>
      <c r="D9" s="688"/>
      <c r="E9" s="688"/>
      <c r="F9" s="688"/>
      <c r="G9" s="688"/>
      <c r="H9" s="688"/>
      <c r="I9" s="688"/>
      <c r="J9" s="688"/>
      <c r="K9" s="688"/>
      <c r="L9" s="688"/>
    </row>
    <row r="10" spans="1:12" x14ac:dyDescent="0.2">
      <c r="J10" s="689" t="s">
        <v>430</v>
      </c>
    </row>
    <row r="11" spans="1:12" ht="13.5" thickBot="1" x14ac:dyDescent="0.25">
      <c r="L11" s="685"/>
    </row>
    <row r="12" spans="1:12" x14ac:dyDescent="0.2">
      <c r="A12" s="1437" t="s">
        <v>431</v>
      </c>
      <c r="B12" s="1438"/>
      <c r="C12" s="1438" t="s">
        <v>432</v>
      </c>
      <c r="D12" s="1438"/>
      <c r="E12" s="1438" t="s">
        <v>433</v>
      </c>
      <c r="F12" s="1438" t="s">
        <v>434</v>
      </c>
      <c r="G12" s="1438" t="s">
        <v>435</v>
      </c>
      <c r="H12" s="1438">
        <v>2020</v>
      </c>
      <c r="I12" s="1441"/>
      <c r="J12" s="1438">
        <v>2021</v>
      </c>
      <c r="K12" s="1441"/>
      <c r="L12" s="683"/>
    </row>
    <row r="13" spans="1:12" x14ac:dyDescent="0.2">
      <c r="A13" s="1439"/>
      <c r="B13" s="1440"/>
      <c r="C13" s="1440"/>
      <c r="D13" s="1440"/>
      <c r="E13" s="1440"/>
      <c r="F13" s="1440"/>
      <c r="G13" s="1440"/>
      <c r="H13" s="1440"/>
      <c r="I13" s="1442"/>
      <c r="J13" s="1440"/>
      <c r="K13" s="1442"/>
      <c r="L13" s="683"/>
    </row>
    <row r="14" spans="1:12" x14ac:dyDescent="0.2">
      <c r="A14" s="1439"/>
      <c r="B14" s="1440"/>
      <c r="C14" s="1440" t="s">
        <v>436</v>
      </c>
      <c r="D14" s="1440" t="s">
        <v>437</v>
      </c>
      <c r="E14" s="1440"/>
      <c r="F14" s="1440"/>
      <c r="G14" s="1440"/>
      <c r="H14" s="1440" t="s">
        <v>438</v>
      </c>
      <c r="I14" s="1440" t="s">
        <v>439</v>
      </c>
      <c r="J14" s="1440" t="s">
        <v>438</v>
      </c>
      <c r="K14" s="1442" t="s">
        <v>439</v>
      </c>
      <c r="L14" s="683"/>
    </row>
    <row r="15" spans="1:12" ht="13.5" thickBot="1" x14ac:dyDescent="0.25">
      <c r="A15" s="1486"/>
      <c r="B15" s="1480"/>
      <c r="C15" s="1480"/>
      <c r="D15" s="1480"/>
      <c r="E15" s="1480"/>
      <c r="F15" s="1480"/>
      <c r="G15" s="1480"/>
      <c r="H15" s="1480"/>
      <c r="I15" s="1480"/>
      <c r="J15" s="1480"/>
      <c r="K15" s="1481"/>
      <c r="L15" s="683"/>
    </row>
    <row r="16" spans="1:12" x14ac:dyDescent="0.2">
      <c r="A16" s="1468" t="s">
        <v>129</v>
      </c>
      <c r="B16" s="1470"/>
      <c r="C16" s="1472"/>
      <c r="D16" s="1474"/>
      <c r="E16" s="1476"/>
      <c r="F16" s="1478"/>
      <c r="G16" s="1450"/>
      <c r="H16" s="1452"/>
      <c r="I16" s="1452"/>
      <c r="J16" s="1454"/>
      <c r="K16" s="1456"/>
      <c r="L16" s="683"/>
    </row>
    <row r="17" spans="1:12" x14ac:dyDescent="0.2">
      <c r="A17" s="1468"/>
      <c r="B17" s="1470"/>
      <c r="C17" s="1472"/>
      <c r="D17" s="1474"/>
      <c r="E17" s="1450"/>
      <c r="F17" s="1478"/>
      <c r="G17" s="1450"/>
      <c r="H17" s="1452"/>
      <c r="I17" s="1452"/>
      <c r="J17" s="1454"/>
      <c r="K17" s="1456"/>
      <c r="L17" s="683"/>
    </row>
    <row r="18" spans="1:12" ht="33.75" customHeight="1" thickBot="1" x14ac:dyDescent="0.25">
      <c r="A18" s="1469"/>
      <c r="B18" s="1471"/>
      <c r="C18" s="1473"/>
      <c r="D18" s="1475"/>
      <c r="E18" s="1477"/>
      <c r="F18" s="1479"/>
      <c r="G18" s="1451"/>
      <c r="H18" s="1453"/>
      <c r="I18" s="1453"/>
      <c r="J18" s="1455"/>
      <c r="K18" s="1457"/>
      <c r="L18" s="683"/>
    </row>
    <row r="19" spans="1:12" x14ac:dyDescent="0.2">
      <c r="A19" s="1458" t="s">
        <v>440</v>
      </c>
      <c r="B19" s="1459"/>
      <c r="C19" s="1460"/>
      <c r="D19" s="1443">
        <f>SUM(D16:D18)</f>
        <v>0</v>
      </c>
      <c r="E19" s="1464"/>
      <c r="F19" s="1443"/>
      <c r="G19" s="1466"/>
      <c r="H19" s="1443">
        <f>SUM(H16:H18)</f>
        <v>0</v>
      </c>
      <c r="I19" s="1444">
        <f>SUM(I16:I18)</f>
        <v>0</v>
      </c>
      <c r="J19" s="1443">
        <f>SUM(J16:J18)</f>
        <v>0</v>
      </c>
      <c r="K19" s="1446">
        <f>SUM(K16:K18)</f>
        <v>0</v>
      </c>
      <c r="L19" s="683"/>
    </row>
    <row r="20" spans="1:12" ht="13.5" thickBot="1" x14ac:dyDescent="0.25">
      <c r="A20" s="1461"/>
      <c r="B20" s="1462"/>
      <c r="C20" s="1463"/>
      <c r="D20" s="1422"/>
      <c r="E20" s="1465"/>
      <c r="F20" s="1422"/>
      <c r="G20" s="1467"/>
      <c r="H20" s="1422"/>
      <c r="I20" s="1445"/>
      <c r="J20" s="1422"/>
      <c r="K20" s="1447"/>
      <c r="L20" s="683"/>
    </row>
    <row r="22" spans="1:12" ht="33" customHeight="1" x14ac:dyDescent="0.2">
      <c r="A22" s="1448" t="s">
        <v>845</v>
      </c>
      <c r="B22" s="1360"/>
      <c r="C22" s="1360"/>
      <c r="D22" s="1360"/>
      <c r="E22" s="1360"/>
      <c r="F22" s="1360"/>
      <c r="G22" s="1360"/>
      <c r="H22" s="1360"/>
      <c r="I22" s="1360"/>
      <c r="J22" s="1360"/>
      <c r="K22" s="1360"/>
    </row>
    <row r="26" spans="1:12" ht="15" x14ac:dyDescent="0.2">
      <c r="A26" s="1449" t="s">
        <v>846</v>
      </c>
      <c r="B26" s="1449"/>
      <c r="C26" s="1449"/>
      <c r="D26" s="1449"/>
      <c r="E26" s="1449"/>
      <c r="F26" s="1449"/>
      <c r="G26" s="1449"/>
      <c r="H26" s="1449"/>
      <c r="I26" s="1449"/>
      <c r="J26" s="1449"/>
      <c r="K26" s="1449"/>
    </row>
    <row r="27" spans="1:12" ht="15" x14ac:dyDescent="0.2">
      <c r="B27" s="686"/>
      <c r="C27" s="686"/>
      <c r="D27" s="686"/>
      <c r="E27" s="686"/>
      <c r="F27" s="686"/>
      <c r="G27" s="686"/>
      <c r="H27" s="686"/>
      <c r="I27" s="686"/>
      <c r="J27" s="686"/>
      <c r="K27" s="686"/>
    </row>
    <row r="28" spans="1:12" ht="13.5" thickBot="1" x14ac:dyDescent="0.25"/>
    <row r="29" spans="1:12" x14ac:dyDescent="0.2">
      <c r="A29" s="1437" t="s">
        <v>441</v>
      </c>
      <c r="B29" s="1438"/>
      <c r="C29" s="1438" t="s">
        <v>432</v>
      </c>
      <c r="D29" s="1438"/>
      <c r="E29" s="1438"/>
      <c r="F29" s="1438" t="s">
        <v>442</v>
      </c>
      <c r="G29" s="1438" t="s">
        <v>435</v>
      </c>
      <c r="H29" s="1438">
        <v>2020</v>
      </c>
      <c r="I29" s="1441"/>
    </row>
    <row r="30" spans="1:12" x14ac:dyDescent="0.2">
      <c r="A30" s="1439"/>
      <c r="B30" s="1440"/>
      <c r="C30" s="1440"/>
      <c r="D30" s="1440"/>
      <c r="E30" s="1440"/>
      <c r="F30" s="1440"/>
      <c r="G30" s="1440"/>
      <c r="H30" s="1440"/>
      <c r="I30" s="1442"/>
    </row>
    <row r="31" spans="1:12" x14ac:dyDescent="0.2">
      <c r="A31" s="1439"/>
      <c r="B31" s="1440"/>
      <c r="C31" s="1440" t="s">
        <v>436</v>
      </c>
      <c r="D31" s="1440" t="s">
        <v>443</v>
      </c>
      <c r="E31" s="1440"/>
      <c r="F31" s="1440"/>
      <c r="G31" s="1440"/>
      <c r="H31" s="1440" t="s">
        <v>438</v>
      </c>
      <c r="I31" s="1442" t="s">
        <v>439</v>
      </c>
      <c r="J31" s="1436"/>
      <c r="K31" s="1436"/>
    </row>
    <row r="32" spans="1:12" x14ac:dyDescent="0.2">
      <c r="A32" s="1439"/>
      <c r="B32" s="1440"/>
      <c r="C32" s="1440"/>
      <c r="D32" s="1440"/>
      <c r="E32" s="1440"/>
      <c r="F32" s="1440"/>
      <c r="G32" s="1440"/>
      <c r="H32" s="1440"/>
      <c r="I32" s="1442"/>
      <c r="J32" s="1436"/>
      <c r="K32" s="1436"/>
    </row>
    <row r="33" spans="1:11" ht="12.75" customHeight="1" x14ac:dyDescent="0.2">
      <c r="A33" s="1410" t="s">
        <v>926</v>
      </c>
      <c r="B33" s="1411"/>
      <c r="C33" s="1414"/>
      <c r="D33" s="1416">
        <v>58964428</v>
      </c>
      <c r="E33" s="1419" t="s">
        <v>444</v>
      </c>
      <c r="F33" s="1421"/>
      <c r="G33" s="1423"/>
      <c r="H33" s="1408">
        <v>58964</v>
      </c>
      <c r="I33" s="1405"/>
      <c r="J33" s="1407"/>
      <c r="K33" s="1407"/>
    </row>
    <row r="34" spans="1:11" x14ac:dyDescent="0.2">
      <c r="A34" s="1410"/>
      <c r="B34" s="1411"/>
      <c r="C34" s="1414"/>
      <c r="D34" s="1417"/>
      <c r="E34" s="1419"/>
      <c r="F34" s="1421"/>
      <c r="G34" s="1423"/>
      <c r="H34" s="1408"/>
      <c r="I34" s="1405"/>
      <c r="J34" s="1407"/>
      <c r="K34" s="1407"/>
    </row>
    <row r="35" spans="1:11" ht="33.75" customHeight="1" x14ac:dyDescent="0.2">
      <c r="A35" s="1410"/>
      <c r="B35" s="1411"/>
      <c r="C35" s="1414"/>
      <c r="D35" s="1417"/>
      <c r="E35" s="1419"/>
      <c r="F35" s="1421"/>
      <c r="G35" s="1423"/>
      <c r="H35" s="1408"/>
      <c r="I35" s="1405"/>
      <c r="J35" s="1407"/>
      <c r="K35" s="1407"/>
    </row>
    <row r="36" spans="1:11" ht="12.75" customHeight="1" x14ac:dyDescent="0.2">
      <c r="A36" s="1426" t="s">
        <v>129</v>
      </c>
      <c r="B36" s="1427" t="s">
        <v>445</v>
      </c>
      <c r="C36" s="1428">
        <v>44035</v>
      </c>
      <c r="D36" s="1429">
        <v>-58964428</v>
      </c>
      <c r="E36" s="1431" t="s">
        <v>444</v>
      </c>
      <c r="F36" s="1432" t="s">
        <v>446</v>
      </c>
      <c r="G36" s="1433" t="s">
        <v>446</v>
      </c>
      <c r="H36" s="1434">
        <v>58964</v>
      </c>
      <c r="I36" s="1435">
        <f>60307-H36</f>
        <v>1343</v>
      </c>
      <c r="J36" s="1425"/>
      <c r="K36" s="1425"/>
    </row>
    <row r="37" spans="1:11" x14ac:dyDescent="0.2">
      <c r="A37" s="1426"/>
      <c r="B37" s="1427"/>
      <c r="C37" s="1428"/>
      <c r="D37" s="1430"/>
      <c r="E37" s="1431"/>
      <c r="F37" s="1432"/>
      <c r="G37" s="1433"/>
      <c r="H37" s="1434"/>
      <c r="I37" s="1435"/>
      <c r="J37" s="1425"/>
      <c r="K37" s="1425"/>
    </row>
    <row r="38" spans="1:11" ht="36.75" customHeight="1" x14ac:dyDescent="0.2">
      <c r="A38" s="1426"/>
      <c r="B38" s="1427"/>
      <c r="C38" s="1428"/>
      <c r="D38" s="1430"/>
      <c r="E38" s="1431"/>
      <c r="F38" s="1432"/>
      <c r="G38" s="1433"/>
      <c r="H38" s="1434"/>
      <c r="I38" s="1435"/>
      <c r="J38" s="1425"/>
      <c r="K38" s="1425"/>
    </row>
    <row r="39" spans="1:11" ht="12.75" customHeight="1" x14ac:dyDescent="0.2">
      <c r="A39" s="1426" t="s">
        <v>127</v>
      </c>
      <c r="B39" s="1427" t="s">
        <v>447</v>
      </c>
      <c r="C39" s="1428">
        <v>44047</v>
      </c>
      <c r="D39" s="1429">
        <v>60000000</v>
      </c>
      <c r="E39" s="1431" t="s">
        <v>444</v>
      </c>
      <c r="F39" s="1432">
        <v>0</v>
      </c>
      <c r="G39" s="1433" t="s">
        <v>446</v>
      </c>
      <c r="H39" s="1434">
        <v>60000</v>
      </c>
      <c r="I39" s="1435">
        <v>0</v>
      </c>
      <c r="J39" s="1425"/>
      <c r="K39" s="1425"/>
    </row>
    <row r="40" spans="1:11" x14ac:dyDescent="0.2">
      <c r="A40" s="1426"/>
      <c r="B40" s="1427"/>
      <c r="C40" s="1428"/>
      <c r="D40" s="1430"/>
      <c r="E40" s="1431"/>
      <c r="F40" s="1432"/>
      <c r="G40" s="1433"/>
      <c r="H40" s="1434"/>
      <c r="I40" s="1435"/>
      <c r="J40" s="1425"/>
      <c r="K40" s="1425"/>
    </row>
    <row r="41" spans="1:11" ht="31.5" customHeight="1" x14ac:dyDescent="0.2">
      <c r="A41" s="1426"/>
      <c r="B41" s="1427"/>
      <c r="C41" s="1428"/>
      <c r="D41" s="1430"/>
      <c r="E41" s="1431"/>
      <c r="F41" s="1432"/>
      <c r="G41" s="1433"/>
      <c r="H41" s="1434"/>
      <c r="I41" s="1435"/>
      <c r="J41" s="1425"/>
      <c r="K41" s="1425"/>
    </row>
    <row r="42" spans="1:11" x14ac:dyDescent="0.2">
      <c r="A42" s="1410" t="s">
        <v>927</v>
      </c>
      <c r="B42" s="1411"/>
      <c r="C42" s="1414"/>
      <c r="D42" s="1416">
        <f>SUM(D33:D41)</f>
        <v>60000000</v>
      </c>
      <c r="E42" s="1419" t="s">
        <v>444</v>
      </c>
      <c r="F42" s="1421"/>
      <c r="G42" s="1423"/>
      <c r="H42" s="1408">
        <f>H33-H36+H39</f>
        <v>60000</v>
      </c>
      <c r="I42" s="1405"/>
      <c r="J42" s="1407"/>
      <c r="K42" s="1407"/>
    </row>
    <row r="43" spans="1:11" x14ac:dyDescent="0.2">
      <c r="A43" s="1410"/>
      <c r="B43" s="1411"/>
      <c r="C43" s="1414"/>
      <c r="D43" s="1417"/>
      <c r="E43" s="1419"/>
      <c r="F43" s="1421"/>
      <c r="G43" s="1423"/>
      <c r="H43" s="1408"/>
      <c r="I43" s="1405"/>
      <c r="J43" s="1407"/>
      <c r="K43" s="1407"/>
    </row>
    <row r="44" spans="1:11" ht="13.5" thickBot="1" x14ac:dyDescent="0.25">
      <c r="A44" s="1412"/>
      <c r="B44" s="1413"/>
      <c r="C44" s="1415"/>
      <c r="D44" s="1418"/>
      <c r="E44" s="1420"/>
      <c r="F44" s="1422"/>
      <c r="G44" s="1424"/>
      <c r="H44" s="1409"/>
      <c r="I44" s="1406"/>
      <c r="J44" s="1407"/>
      <c r="K44" s="1407"/>
    </row>
  </sheetData>
  <mergeCells count="94">
    <mergeCell ref="H1:L1"/>
    <mergeCell ref="F2:K2"/>
    <mergeCell ref="F3:J3"/>
    <mergeCell ref="A5:K5"/>
    <mergeCell ref="A6:K6"/>
    <mergeCell ref="A12:B15"/>
    <mergeCell ref="C12:D13"/>
    <mergeCell ref="E12:E15"/>
    <mergeCell ref="F12:F15"/>
    <mergeCell ref="G12:G15"/>
    <mergeCell ref="H12:I13"/>
    <mergeCell ref="J12:K13"/>
    <mergeCell ref="C14:C15"/>
    <mergeCell ref="D14:D15"/>
    <mergeCell ref="H14:H15"/>
    <mergeCell ref="I14:I15"/>
    <mergeCell ref="J14:J15"/>
    <mergeCell ref="K14:K15"/>
    <mergeCell ref="A16:A18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A19:C20"/>
    <mergeCell ref="D19:D20"/>
    <mergeCell ref="E19:E20"/>
    <mergeCell ref="F19:F20"/>
    <mergeCell ref="G19:G20"/>
    <mergeCell ref="H19:H20"/>
    <mergeCell ref="I19:I20"/>
    <mergeCell ref="J19:J20"/>
    <mergeCell ref="K19:K20"/>
    <mergeCell ref="A22:K22"/>
    <mergeCell ref="A26:K26"/>
    <mergeCell ref="E29:E32"/>
    <mergeCell ref="F29:F32"/>
    <mergeCell ref="G29:G32"/>
    <mergeCell ref="H29:I30"/>
    <mergeCell ref="C31:C32"/>
    <mergeCell ref="D31:D32"/>
    <mergeCell ref="H31:H32"/>
    <mergeCell ref="I31:I32"/>
    <mergeCell ref="J31:J32"/>
    <mergeCell ref="K31:K32"/>
    <mergeCell ref="A33:B35"/>
    <mergeCell ref="C33:C35"/>
    <mergeCell ref="D33:D35"/>
    <mergeCell ref="E33:E35"/>
    <mergeCell ref="F33:F35"/>
    <mergeCell ref="G33:G35"/>
    <mergeCell ref="A29:B32"/>
    <mergeCell ref="C29:D30"/>
    <mergeCell ref="J39:J41"/>
    <mergeCell ref="A36:A38"/>
    <mergeCell ref="B36:B38"/>
    <mergeCell ref="C36:C38"/>
    <mergeCell ref="D36:D38"/>
    <mergeCell ref="E36:E38"/>
    <mergeCell ref="F36:F38"/>
    <mergeCell ref="G36:G38"/>
    <mergeCell ref="H36:H38"/>
    <mergeCell ref="I36:I38"/>
    <mergeCell ref="J36:J38"/>
    <mergeCell ref="K36:K38"/>
    <mergeCell ref="J33:J35"/>
    <mergeCell ref="K33:K35"/>
    <mergeCell ref="H33:H35"/>
    <mergeCell ref="I33:I35"/>
    <mergeCell ref="K39:K41"/>
    <mergeCell ref="A39:A41"/>
    <mergeCell ref="B39:B41"/>
    <mergeCell ref="C39:C41"/>
    <mergeCell ref="D39:D41"/>
    <mergeCell ref="E39:E41"/>
    <mergeCell ref="F39:F41"/>
    <mergeCell ref="G39:G41"/>
    <mergeCell ref="H39:H41"/>
    <mergeCell ref="I39:I41"/>
    <mergeCell ref="I42:I44"/>
    <mergeCell ref="J42:J44"/>
    <mergeCell ref="K42:K44"/>
    <mergeCell ref="H42:H44"/>
    <mergeCell ref="A42:B44"/>
    <mergeCell ref="C42:C44"/>
    <mergeCell ref="D42:D44"/>
    <mergeCell ref="E42:E44"/>
    <mergeCell ref="F42:F44"/>
    <mergeCell ref="G42:G44"/>
  </mergeCells>
  <pageMargins left="1.0236220472440944" right="0.23622047244094491" top="0.74803149606299213" bottom="0.74803149606299213" header="0.31496062992125984" footer="0.31496062992125984"/>
  <pageSetup paperSize="9" scale="7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3"/>
  <sheetViews>
    <sheetView zoomScaleNormal="100" workbookViewId="0">
      <selection sqref="A1:H1"/>
    </sheetView>
  </sheetViews>
  <sheetFormatPr defaultRowHeight="12.75" x14ac:dyDescent="0.2"/>
  <cols>
    <col min="1" max="1" width="31.85546875" style="690" customWidth="1"/>
    <col min="2" max="2" width="9.7109375" style="690" customWidth="1"/>
    <col min="3" max="4" width="8.85546875" style="690" bestFit="1" customWidth="1"/>
    <col min="5" max="5" width="8.42578125" style="690" bestFit="1" customWidth="1"/>
    <col min="6" max="6" width="9.140625" style="690"/>
    <col min="7" max="7" width="9.7109375" style="690" customWidth="1"/>
    <col min="8" max="8" width="8.42578125" style="690" customWidth="1"/>
    <col min="9" max="16384" width="9.140625" style="690"/>
  </cols>
  <sheetData>
    <row r="1" spans="1:8" x14ac:dyDescent="0.2">
      <c r="A1" s="1353" t="s">
        <v>1012</v>
      </c>
      <c r="B1" s="1487"/>
      <c r="C1" s="1487"/>
      <c r="D1" s="1487"/>
      <c r="E1" s="1487"/>
      <c r="F1" s="1354"/>
      <c r="G1" s="1354"/>
      <c r="H1" s="1352"/>
    </row>
    <row r="2" spans="1:8" x14ac:dyDescent="0.2">
      <c r="D2" s="1488"/>
      <c r="E2" s="1488"/>
    </row>
    <row r="3" spans="1:8" ht="13.5" customHeight="1" x14ac:dyDescent="0.2">
      <c r="A3" s="1489" t="s">
        <v>448</v>
      </c>
      <c r="B3" s="1489"/>
      <c r="C3" s="1489"/>
      <c r="D3" s="1489"/>
      <c r="E3" s="1489"/>
    </row>
    <row r="4" spans="1:8" ht="15" customHeight="1" x14ac:dyDescent="0.2">
      <c r="A4" s="691"/>
      <c r="B4" s="691"/>
      <c r="C4" s="691"/>
    </row>
    <row r="5" spans="1:8" ht="15" customHeight="1" x14ac:dyDescent="0.2">
      <c r="A5" s="691"/>
      <c r="B5" s="691"/>
      <c r="C5" s="691"/>
    </row>
    <row r="6" spans="1:8" x14ac:dyDescent="0.2">
      <c r="A6" s="1490" t="s">
        <v>449</v>
      </c>
      <c r="B6" s="1490"/>
      <c r="C6" s="1490"/>
      <c r="D6" s="1490"/>
      <c r="E6" s="1490"/>
      <c r="F6" s="1360"/>
      <c r="G6" s="1360"/>
      <c r="H6" s="1491"/>
    </row>
    <row r="7" spans="1:8" ht="14.25" customHeight="1" x14ac:dyDescent="0.2">
      <c r="A7" s="1360"/>
      <c r="B7" s="1360"/>
      <c r="C7" s="1360"/>
      <c r="D7" s="1360"/>
      <c r="E7" s="1360"/>
      <c r="F7" s="1360"/>
      <c r="G7" s="1360"/>
      <c r="H7" s="1491"/>
    </row>
    <row r="8" spans="1:8" ht="14.25" customHeight="1" x14ac:dyDescent="0.2">
      <c r="A8" s="691"/>
      <c r="B8" s="691"/>
      <c r="C8" s="691"/>
      <c r="D8" s="691"/>
      <c r="E8" s="691"/>
    </row>
    <row r="9" spans="1:8" ht="12" customHeight="1" thickBot="1" x14ac:dyDescent="0.25">
      <c r="H9" s="692" t="s">
        <v>450</v>
      </c>
    </row>
    <row r="10" spans="1:8" ht="13.5" thickBot="1" x14ac:dyDescent="0.25">
      <c r="A10" s="1492" t="s">
        <v>451</v>
      </c>
      <c r="B10" s="1494" t="s">
        <v>452</v>
      </c>
      <c r="C10" s="1495"/>
      <c r="D10" s="1495"/>
      <c r="E10" s="1495"/>
      <c r="F10" s="1496"/>
      <c r="G10" s="693" t="s">
        <v>453</v>
      </c>
      <c r="H10" s="693" t="s">
        <v>454</v>
      </c>
    </row>
    <row r="11" spans="1:8" ht="13.5" thickBot="1" x14ac:dyDescent="0.25">
      <c r="A11" s="1493"/>
      <c r="B11" s="694">
        <v>2020</v>
      </c>
      <c r="C11" s="694">
        <v>2021</v>
      </c>
      <c r="D11" s="694">
        <v>2022</v>
      </c>
      <c r="E11" s="694">
        <v>2023</v>
      </c>
      <c r="F11" s="694">
        <v>2024</v>
      </c>
      <c r="G11" s="694">
        <v>2020</v>
      </c>
      <c r="H11" s="694">
        <v>2020</v>
      </c>
    </row>
    <row r="12" spans="1:8" x14ac:dyDescent="0.2">
      <c r="A12" s="695" t="s">
        <v>455</v>
      </c>
      <c r="B12" s="696"/>
      <c r="C12" s="696"/>
      <c r="D12" s="696"/>
      <c r="E12" s="696"/>
      <c r="F12" s="696"/>
      <c r="G12" s="696"/>
      <c r="H12" s="696"/>
    </row>
    <row r="13" spans="1:8" x14ac:dyDescent="0.2">
      <c r="A13" s="697" t="s">
        <v>456</v>
      </c>
      <c r="B13" s="698">
        <v>1500</v>
      </c>
      <c r="C13" s="698">
        <v>1500</v>
      </c>
      <c r="D13" s="698">
        <v>1500</v>
      </c>
      <c r="E13" s="698">
        <v>1500</v>
      </c>
      <c r="F13" s="698">
        <v>1500</v>
      </c>
      <c r="G13" s="698">
        <v>1500</v>
      </c>
      <c r="H13" s="698">
        <v>1200</v>
      </c>
    </row>
    <row r="14" spans="1:8" ht="26.25" thickBot="1" x14ac:dyDescent="0.25">
      <c r="A14" s="699" t="s">
        <v>457</v>
      </c>
      <c r="B14" s="700"/>
      <c r="C14" s="700">
        <v>0</v>
      </c>
      <c r="D14" s="700">
        <v>0</v>
      </c>
      <c r="E14" s="700">
        <v>0</v>
      </c>
      <c r="F14" s="700">
        <v>0</v>
      </c>
      <c r="G14" s="700"/>
      <c r="H14" s="700"/>
    </row>
    <row r="15" spans="1:8" ht="54.75" customHeight="1" thickBot="1" x14ac:dyDescent="0.25">
      <c r="A15" s="701" t="s">
        <v>458</v>
      </c>
      <c r="B15" s="702">
        <f t="shared" ref="B15:H15" si="0">SUM(B13:B13)</f>
        <v>1500</v>
      </c>
      <c r="C15" s="702">
        <f t="shared" si="0"/>
        <v>1500</v>
      </c>
      <c r="D15" s="702">
        <f t="shared" si="0"/>
        <v>1500</v>
      </c>
      <c r="E15" s="702">
        <f t="shared" si="0"/>
        <v>1500</v>
      </c>
      <c r="F15" s="702">
        <f t="shared" si="0"/>
        <v>1500</v>
      </c>
      <c r="G15" s="702">
        <f t="shared" si="0"/>
        <v>1500</v>
      </c>
      <c r="H15" s="702">
        <f t="shared" si="0"/>
        <v>1200</v>
      </c>
    </row>
    <row r="16" spans="1:8" x14ac:dyDescent="0.2">
      <c r="A16" s="703"/>
      <c r="B16" s="704"/>
      <c r="C16" s="704"/>
      <c r="D16" s="704"/>
      <c r="E16" s="704"/>
      <c r="F16" s="704"/>
      <c r="G16" s="704"/>
      <c r="H16" s="704"/>
    </row>
    <row r="17" spans="1:8" x14ac:dyDescent="0.2">
      <c r="A17" s="695" t="s">
        <v>54</v>
      </c>
      <c r="B17" s="705"/>
      <c r="C17" s="705"/>
      <c r="D17" s="705"/>
      <c r="E17" s="705"/>
      <c r="F17" s="705"/>
      <c r="G17" s="705"/>
      <c r="H17" s="705"/>
    </row>
    <row r="18" spans="1:8" ht="25.5" customHeight="1" x14ac:dyDescent="0.2">
      <c r="A18" s="699" t="s">
        <v>459</v>
      </c>
      <c r="B18" s="698">
        <v>415</v>
      </c>
      <c r="C18" s="698">
        <f>40000*12</f>
        <v>480000</v>
      </c>
      <c r="D18" s="698">
        <v>0</v>
      </c>
      <c r="E18" s="698">
        <v>0</v>
      </c>
      <c r="F18" s="698">
        <v>0</v>
      </c>
      <c r="G18" s="698">
        <v>800</v>
      </c>
      <c r="H18" s="698">
        <v>800</v>
      </c>
    </row>
    <row r="19" spans="1:8" ht="13.5" thickBot="1" x14ac:dyDescent="0.25">
      <c r="A19" s="706"/>
      <c r="B19" s="707"/>
      <c r="C19" s="707"/>
      <c r="D19" s="707"/>
      <c r="E19" s="707"/>
      <c r="F19" s="707"/>
      <c r="G19" s="707"/>
      <c r="H19" s="707"/>
    </row>
    <row r="20" spans="1:8" ht="13.5" thickBot="1" x14ac:dyDescent="0.25">
      <c r="A20" s="701" t="s">
        <v>460</v>
      </c>
      <c r="B20" s="708">
        <f t="shared" ref="B20:H20" si="1">SUM(B18:B18)</f>
        <v>415</v>
      </c>
      <c r="C20" s="708">
        <f t="shared" si="1"/>
        <v>480000</v>
      </c>
      <c r="D20" s="708">
        <f t="shared" si="1"/>
        <v>0</v>
      </c>
      <c r="E20" s="708">
        <f t="shared" si="1"/>
        <v>0</v>
      </c>
      <c r="F20" s="708">
        <f t="shared" si="1"/>
        <v>0</v>
      </c>
      <c r="G20" s="708">
        <f t="shared" si="1"/>
        <v>800</v>
      </c>
      <c r="H20" s="708">
        <f t="shared" si="1"/>
        <v>800</v>
      </c>
    </row>
    <row r="21" spans="1:8" x14ac:dyDescent="0.2">
      <c r="A21" s="703"/>
      <c r="B21" s="709"/>
      <c r="C21" s="709"/>
      <c r="D21" s="709"/>
      <c r="E21" s="709"/>
      <c r="F21" s="709"/>
      <c r="G21" s="709"/>
      <c r="H21" s="709"/>
    </row>
    <row r="22" spans="1:8" x14ac:dyDescent="0.2">
      <c r="A22" s="695" t="s">
        <v>461</v>
      </c>
      <c r="B22" s="705">
        <v>0</v>
      </c>
      <c r="C22" s="705">
        <v>0</v>
      </c>
      <c r="D22" s="705">
        <v>0</v>
      </c>
      <c r="E22" s="705">
        <v>0</v>
      </c>
      <c r="F22" s="705">
        <v>0</v>
      </c>
      <c r="G22" s="705">
        <v>0</v>
      </c>
      <c r="H22" s="705">
        <v>0</v>
      </c>
    </row>
    <row r="23" spans="1:8" ht="13.5" thickBot="1" x14ac:dyDescent="0.25">
      <c r="A23" s="710"/>
      <c r="B23" s="711"/>
      <c r="C23" s="711"/>
      <c r="D23" s="711"/>
      <c r="E23" s="711"/>
      <c r="F23" s="711"/>
      <c r="G23" s="711"/>
      <c r="H23" s="711"/>
    </row>
    <row r="24" spans="1:8" ht="13.5" thickBot="1" x14ac:dyDescent="0.25">
      <c r="A24" s="712" t="s">
        <v>462</v>
      </c>
      <c r="B24" s="702">
        <f t="shared" ref="B24:H24" si="2">SUM(B23)</f>
        <v>0</v>
      </c>
      <c r="C24" s="702">
        <f t="shared" si="2"/>
        <v>0</v>
      </c>
      <c r="D24" s="702">
        <f t="shared" si="2"/>
        <v>0</v>
      </c>
      <c r="E24" s="702">
        <f t="shared" si="2"/>
        <v>0</v>
      </c>
      <c r="F24" s="702">
        <f t="shared" si="2"/>
        <v>0</v>
      </c>
      <c r="G24" s="702">
        <f t="shared" si="2"/>
        <v>0</v>
      </c>
      <c r="H24" s="702">
        <f t="shared" si="2"/>
        <v>0</v>
      </c>
    </row>
    <row r="25" spans="1:8" x14ac:dyDescent="0.2">
      <c r="A25" s="713"/>
      <c r="B25" s="704"/>
      <c r="C25" s="704"/>
      <c r="D25" s="704"/>
      <c r="E25" s="704"/>
      <c r="F25" s="704"/>
      <c r="G25" s="704"/>
      <c r="H25" s="704"/>
    </row>
    <row r="26" spans="1:8" x14ac:dyDescent="0.2">
      <c r="A26" s="695" t="s">
        <v>463</v>
      </c>
      <c r="B26" s="705">
        <v>0</v>
      </c>
      <c r="C26" s="705">
        <v>0</v>
      </c>
      <c r="D26" s="705">
        <v>0</v>
      </c>
      <c r="E26" s="705">
        <v>0</v>
      </c>
      <c r="F26" s="705">
        <v>0</v>
      </c>
      <c r="G26" s="705">
        <v>0</v>
      </c>
      <c r="H26" s="705">
        <v>0</v>
      </c>
    </row>
    <row r="27" spans="1:8" ht="13.5" thickBot="1" x14ac:dyDescent="0.25">
      <c r="A27" s="714"/>
      <c r="B27" s="707"/>
      <c r="C27" s="707"/>
      <c r="D27" s="707"/>
      <c r="E27" s="707"/>
      <c r="F27" s="707"/>
      <c r="G27" s="707"/>
      <c r="H27" s="707"/>
    </row>
    <row r="28" spans="1:8" ht="13.5" thickBot="1" x14ac:dyDescent="0.25">
      <c r="A28" s="715" t="s">
        <v>464</v>
      </c>
      <c r="B28" s="716"/>
      <c r="C28" s="716"/>
      <c r="D28" s="716"/>
      <c r="E28" s="716"/>
      <c r="F28" s="716"/>
      <c r="G28" s="716"/>
      <c r="H28" s="716"/>
    </row>
    <row r="29" spans="1:8" x14ac:dyDescent="0.2">
      <c r="A29" s="717"/>
    </row>
    <row r="32" spans="1:8" x14ac:dyDescent="0.2">
      <c r="A32" s="684"/>
      <c r="B32" s="684"/>
      <c r="C32" s="684"/>
      <c r="D32" s="684"/>
      <c r="E32" s="684"/>
      <c r="F32" s="684"/>
      <c r="G32" s="684"/>
    </row>
    <row r="33" ht="29.25" customHeight="1" x14ac:dyDescent="0.2"/>
    <row r="35" ht="24.75" customHeight="1" x14ac:dyDescent="0.2"/>
    <row r="43" ht="27.75" customHeight="1" x14ac:dyDescent="0.2"/>
  </sheetData>
  <mergeCells count="6">
    <mergeCell ref="A1:H1"/>
    <mergeCell ref="D2:E2"/>
    <mergeCell ref="A3:E3"/>
    <mergeCell ref="A6:H7"/>
    <mergeCell ref="A10:A11"/>
    <mergeCell ref="B10:F10"/>
  </mergeCells>
  <printOptions horizontalCentered="1" verticalCentered="1"/>
  <pageMargins left="0.19685039370078741" right="0.15748031496062992" top="0.23622047244094491" bottom="3.3070866141732287" header="0.15748031496062992" footer="0.19685039370078741"/>
  <pageSetup paperSize="9" scale="84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1"/>
  <sheetViews>
    <sheetView zoomScaleNormal="100" workbookViewId="0">
      <selection activeCell="P20" sqref="P20"/>
    </sheetView>
  </sheetViews>
  <sheetFormatPr defaultRowHeight="12.75" x14ac:dyDescent="0.2"/>
  <cols>
    <col min="1" max="1" width="35.140625" style="683" customWidth="1"/>
    <col min="2" max="2" width="11.5703125" style="683" customWidth="1"/>
    <col min="3" max="3" width="10.42578125" style="683" customWidth="1"/>
    <col min="4" max="5" width="10" style="683" customWidth="1"/>
    <col min="6" max="6" width="11.42578125" style="683" customWidth="1"/>
    <col min="7" max="7" width="10.5703125" style="683" customWidth="1"/>
    <col min="8" max="8" width="10.28515625" style="683" customWidth="1"/>
    <col min="9" max="9" width="10.7109375" style="683" customWidth="1"/>
    <col min="10" max="10" width="11.28515625" style="683" customWidth="1"/>
    <col min="11" max="11" width="10" style="683" customWidth="1"/>
    <col min="12" max="12" width="9.85546875" style="683" customWidth="1"/>
    <col min="13" max="13" width="10" style="683" customWidth="1"/>
    <col min="14" max="16384" width="9.140625" style="683"/>
  </cols>
  <sheetData>
    <row r="1" spans="1:16" x14ac:dyDescent="0.2">
      <c r="D1" s="718"/>
    </row>
    <row r="2" spans="1:16" ht="12.75" customHeight="1" x14ac:dyDescent="0.2">
      <c r="I2" s="1497" t="s">
        <v>1013</v>
      </c>
      <c r="J2" s="1498"/>
      <c r="K2" s="1498"/>
      <c r="L2" s="1498"/>
      <c r="M2" s="1498"/>
    </row>
    <row r="3" spans="1:16" x14ac:dyDescent="0.2">
      <c r="D3" s="718"/>
    </row>
    <row r="5" spans="1:16" x14ac:dyDescent="0.2">
      <c r="A5" s="1499" t="s">
        <v>847</v>
      </c>
      <c r="B5" s="1500"/>
      <c r="C5" s="1500"/>
      <c r="D5" s="1500"/>
      <c r="E5" s="1500"/>
      <c r="F5" s="1352"/>
      <c r="G5" s="1352"/>
      <c r="H5" s="1352"/>
      <c r="I5" s="1352"/>
      <c r="J5" s="1352"/>
      <c r="K5" s="1352"/>
      <c r="L5" s="1352"/>
      <c r="M5" s="1352"/>
    </row>
    <row r="6" spans="1:16" x14ac:dyDescent="0.2">
      <c r="A6" s="719"/>
      <c r="B6" s="721"/>
      <c r="C6" s="721"/>
      <c r="D6" s="721"/>
      <c r="E6" s="721"/>
    </row>
    <row r="7" spans="1:16" x14ac:dyDescent="0.2">
      <c r="A7" s="722"/>
      <c r="B7" s="1501"/>
      <c r="C7" s="1501"/>
      <c r="D7" s="724"/>
      <c r="E7" s="724"/>
    </row>
    <row r="8" spans="1:16" ht="13.5" thickBot="1" x14ac:dyDescent="0.25">
      <c r="A8" s="722"/>
      <c r="B8" s="722"/>
      <c r="D8" s="722"/>
    </row>
    <row r="9" spans="1:16" ht="12.75" customHeight="1" x14ac:dyDescent="0.2">
      <c r="A9" s="1502" t="s">
        <v>465</v>
      </c>
      <c r="B9" s="1504" t="s">
        <v>466</v>
      </c>
      <c r="C9" s="1505"/>
      <c r="D9" s="1505"/>
      <c r="E9" s="1506" t="s">
        <v>467</v>
      </c>
      <c r="F9" s="1504" t="s">
        <v>466</v>
      </c>
      <c r="G9" s="1505"/>
      <c r="H9" s="1505"/>
      <c r="I9" s="1506" t="s">
        <v>468</v>
      </c>
      <c r="J9" s="1504" t="s">
        <v>466</v>
      </c>
      <c r="K9" s="1505"/>
      <c r="L9" s="1505"/>
      <c r="M9" s="1506" t="s">
        <v>469</v>
      </c>
    </row>
    <row r="10" spans="1:16" s="723" customFormat="1" ht="25.5" x14ac:dyDescent="0.2">
      <c r="A10" s="1503"/>
      <c r="B10" s="725" t="s">
        <v>470</v>
      </c>
      <c r="C10" s="726" t="s">
        <v>471</v>
      </c>
      <c r="D10" s="727" t="s">
        <v>472</v>
      </c>
      <c r="E10" s="1507"/>
      <c r="F10" s="725" t="s">
        <v>470</v>
      </c>
      <c r="G10" s="726" t="s">
        <v>471</v>
      </c>
      <c r="H10" s="727" t="s">
        <v>472</v>
      </c>
      <c r="I10" s="1507"/>
      <c r="J10" s="725" t="s">
        <v>470</v>
      </c>
      <c r="K10" s="726" t="s">
        <v>471</v>
      </c>
      <c r="L10" s="727" t="s">
        <v>472</v>
      </c>
      <c r="M10" s="1507"/>
    </row>
    <row r="11" spans="1:16" x14ac:dyDescent="0.2">
      <c r="A11" s="728" t="s">
        <v>473</v>
      </c>
      <c r="B11" s="729">
        <f>7*14000</f>
        <v>98000</v>
      </c>
      <c r="C11" s="730">
        <v>0</v>
      </c>
      <c r="D11" s="730"/>
      <c r="E11" s="731">
        <f t="shared" ref="E11:E18" si="0">C11+B11+D11</f>
        <v>98000</v>
      </c>
      <c r="F11" s="729">
        <f>50*14000</f>
        <v>700000</v>
      </c>
      <c r="G11" s="730">
        <v>0</v>
      </c>
      <c r="H11" s="730"/>
      <c r="I11" s="731">
        <f t="shared" ref="I11:I18" si="1">G11+F11+H11</f>
        <v>700000</v>
      </c>
      <c r="J11" s="729">
        <f>50*14000</f>
        <v>700000</v>
      </c>
      <c r="K11" s="730">
        <v>0</v>
      </c>
      <c r="L11" s="730"/>
      <c r="M11" s="731">
        <f t="shared" ref="M11:M18" si="2">K11+J11+L11</f>
        <v>700000</v>
      </c>
    </row>
    <row r="12" spans="1:16" x14ac:dyDescent="0.2">
      <c r="A12" s="728" t="s">
        <v>222</v>
      </c>
      <c r="B12" s="729">
        <v>0</v>
      </c>
      <c r="C12" s="730">
        <v>0</v>
      </c>
      <c r="D12" s="730">
        <v>0</v>
      </c>
      <c r="E12" s="731">
        <f t="shared" si="0"/>
        <v>0</v>
      </c>
      <c r="F12" s="729">
        <v>0</v>
      </c>
      <c r="G12" s="730">
        <v>0</v>
      </c>
      <c r="H12" s="730">
        <v>0</v>
      </c>
      <c r="I12" s="731">
        <f t="shared" si="1"/>
        <v>0</v>
      </c>
      <c r="J12" s="729">
        <v>0</v>
      </c>
      <c r="K12" s="730">
        <v>0</v>
      </c>
      <c r="L12" s="730">
        <v>0</v>
      </c>
      <c r="M12" s="731">
        <f t="shared" si="2"/>
        <v>0</v>
      </c>
    </row>
    <row r="13" spans="1:16" x14ac:dyDescent="0.2">
      <c r="A13" s="728" t="s">
        <v>474</v>
      </c>
      <c r="B13" s="729">
        <v>0</v>
      </c>
      <c r="C13" s="730">
        <v>0</v>
      </c>
      <c r="D13" s="730">
        <v>0</v>
      </c>
      <c r="E13" s="731">
        <f t="shared" si="0"/>
        <v>0</v>
      </c>
      <c r="F13" s="729">
        <v>0</v>
      </c>
      <c r="G13" s="730">
        <v>0</v>
      </c>
      <c r="H13" s="730">
        <v>0</v>
      </c>
      <c r="I13" s="731">
        <f t="shared" si="1"/>
        <v>0</v>
      </c>
      <c r="J13" s="729">
        <v>0</v>
      </c>
      <c r="K13" s="730">
        <v>0</v>
      </c>
      <c r="L13" s="730">
        <v>0</v>
      </c>
      <c r="M13" s="731">
        <f t="shared" si="2"/>
        <v>0</v>
      </c>
    </row>
    <row r="14" spans="1:16" x14ac:dyDescent="0.2">
      <c r="A14" s="728" t="s">
        <v>475</v>
      </c>
      <c r="B14" s="729">
        <v>0</v>
      </c>
      <c r="C14" s="730">
        <f>3*7500</f>
        <v>22500</v>
      </c>
      <c r="D14" s="730">
        <v>0</v>
      </c>
      <c r="E14" s="731">
        <f t="shared" si="0"/>
        <v>22500</v>
      </c>
      <c r="F14" s="729">
        <v>1055303</v>
      </c>
      <c r="G14" s="730">
        <v>172955</v>
      </c>
      <c r="H14" s="730">
        <v>0</v>
      </c>
      <c r="I14" s="731">
        <f t="shared" si="1"/>
        <v>1228258</v>
      </c>
      <c r="J14" s="729">
        <v>1055303</v>
      </c>
      <c r="K14" s="730">
        <v>172955</v>
      </c>
      <c r="L14" s="730">
        <v>0</v>
      </c>
      <c r="M14" s="731">
        <f t="shared" si="2"/>
        <v>1228258</v>
      </c>
      <c r="P14" s="683" t="s">
        <v>999</v>
      </c>
    </row>
    <row r="15" spans="1:16" x14ac:dyDescent="0.2">
      <c r="A15" s="728" t="s">
        <v>476</v>
      </c>
      <c r="B15" s="729">
        <v>0</v>
      </c>
      <c r="C15" s="730">
        <v>0</v>
      </c>
      <c r="D15" s="730">
        <v>0</v>
      </c>
      <c r="E15" s="731">
        <f t="shared" si="0"/>
        <v>0</v>
      </c>
      <c r="F15" s="729">
        <v>0</v>
      </c>
      <c r="G15" s="730">
        <v>0</v>
      </c>
      <c r="H15" s="730">
        <v>0</v>
      </c>
      <c r="I15" s="731">
        <f t="shared" si="1"/>
        <v>0</v>
      </c>
      <c r="J15" s="729">
        <v>0</v>
      </c>
      <c r="K15" s="730">
        <v>0</v>
      </c>
      <c r="L15" s="730">
        <v>0</v>
      </c>
      <c r="M15" s="731">
        <f t="shared" si="2"/>
        <v>0</v>
      </c>
      <c r="P15" s="683" t="s">
        <v>1000</v>
      </c>
    </row>
    <row r="16" spans="1:16" x14ac:dyDescent="0.2">
      <c r="A16" s="728" t="s">
        <v>477</v>
      </c>
      <c r="B16" s="729">
        <v>0</v>
      </c>
      <c r="C16" s="730">
        <v>0</v>
      </c>
      <c r="D16" s="730">
        <v>0</v>
      </c>
      <c r="E16" s="731">
        <f t="shared" si="0"/>
        <v>0</v>
      </c>
      <c r="F16" s="729">
        <v>0</v>
      </c>
      <c r="G16" s="730">
        <v>0</v>
      </c>
      <c r="H16" s="730">
        <v>0</v>
      </c>
      <c r="I16" s="731">
        <f t="shared" si="1"/>
        <v>0</v>
      </c>
      <c r="J16" s="729">
        <v>0</v>
      </c>
      <c r="K16" s="730">
        <v>0</v>
      </c>
      <c r="L16" s="730">
        <v>0</v>
      </c>
      <c r="M16" s="731">
        <f t="shared" si="2"/>
        <v>0</v>
      </c>
    </row>
    <row r="17" spans="1:13" x14ac:dyDescent="0.2">
      <c r="A17" s="732" t="s">
        <v>478</v>
      </c>
      <c r="B17" s="729">
        <v>0</v>
      </c>
      <c r="C17" s="730">
        <v>0</v>
      </c>
      <c r="D17" s="730">
        <v>0</v>
      </c>
      <c r="E17" s="731">
        <f t="shared" si="0"/>
        <v>0</v>
      </c>
      <c r="F17" s="729">
        <v>0</v>
      </c>
      <c r="G17" s="730">
        <v>0</v>
      </c>
      <c r="H17" s="730">
        <v>0</v>
      </c>
      <c r="I17" s="731">
        <f t="shared" si="1"/>
        <v>0</v>
      </c>
      <c r="J17" s="729">
        <v>0</v>
      </c>
      <c r="K17" s="730">
        <v>0</v>
      </c>
      <c r="L17" s="730">
        <v>0</v>
      </c>
      <c r="M17" s="731">
        <f t="shared" si="2"/>
        <v>0</v>
      </c>
    </row>
    <row r="18" spans="1:13" x14ac:dyDescent="0.2">
      <c r="A18" s="732" t="s">
        <v>479</v>
      </c>
      <c r="B18" s="729">
        <f>SUM(B11:B17)</f>
        <v>98000</v>
      </c>
      <c r="C18" s="730">
        <f>SUM(C11:C17)</f>
        <v>22500</v>
      </c>
      <c r="D18" s="730">
        <f>SUM(D11:D17)</f>
        <v>0</v>
      </c>
      <c r="E18" s="731">
        <f t="shared" si="0"/>
        <v>120500</v>
      </c>
      <c r="F18" s="729">
        <f>SUM(F11:F17)</f>
        <v>1755303</v>
      </c>
      <c r="G18" s="730">
        <f>SUM(G11:G17)</f>
        <v>172955</v>
      </c>
      <c r="H18" s="730">
        <f>SUM(H11:H17)</f>
        <v>0</v>
      </c>
      <c r="I18" s="731">
        <f t="shared" si="1"/>
        <v>1928258</v>
      </c>
      <c r="J18" s="729">
        <f>SUM(J11:J17)</f>
        <v>1755303</v>
      </c>
      <c r="K18" s="730">
        <f>SUM(K11:K17)</f>
        <v>172955</v>
      </c>
      <c r="L18" s="730">
        <f>SUM(L11:L17)</f>
        <v>0</v>
      </c>
      <c r="M18" s="731">
        <f t="shared" si="2"/>
        <v>1928258</v>
      </c>
    </row>
    <row r="19" spans="1:13" ht="25.5" x14ac:dyDescent="0.2">
      <c r="A19" s="732" t="s">
        <v>480</v>
      </c>
      <c r="B19" s="729"/>
      <c r="C19" s="730"/>
      <c r="D19" s="730">
        <v>0</v>
      </c>
      <c r="E19" s="731">
        <v>0</v>
      </c>
      <c r="F19" s="729"/>
      <c r="G19" s="730"/>
      <c r="H19" s="730">
        <v>0</v>
      </c>
      <c r="I19" s="731">
        <v>0</v>
      </c>
      <c r="J19" s="729"/>
      <c r="K19" s="730"/>
      <c r="L19" s="730">
        <v>0</v>
      </c>
      <c r="M19" s="731">
        <v>0</v>
      </c>
    </row>
    <row r="20" spans="1:13" ht="60.75" customHeight="1" x14ac:dyDescent="0.2">
      <c r="A20" s="732" t="s">
        <v>481</v>
      </c>
      <c r="B20" s="733">
        <v>0</v>
      </c>
      <c r="C20" s="734">
        <v>0</v>
      </c>
      <c r="D20" s="734">
        <v>1500000</v>
      </c>
      <c r="E20" s="731">
        <f>C20+B20+D20</f>
        <v>1500000</v>
      </c>
      <c r="F20" s="733">
        <v>0</v>
      </c>
      <c r="G20" s="734">
        <v>0</v>
      </c>
      <c r="H20" s="734">
        <v>1500000</v>
      </c>
      <c r="I20" s="731">
        <f>G20+F20+H20</f>
        <v>1500000</v>
      </c>
      <c r="J20" s="733">
        <v>0</v>
      </c>
      <c r="K20" s="734">
        <v>0</v>
      </c>
      <c r="L20" s="734">
        <v>1200000</v>
      </c>
      <c r="M20" s="731">
        <f>K20+J20+L20</f>
        <v>1200000</v>
      </c>
    </row>
    <row r="21" spans="1:13" ht="25.5" x14ac:dyDescent="0.2">
      <c r="A21" s="732" t="s">
        <v>482</v>
      </c>
      <c r="B21" s="733">
        <v>0</v>
      </c>
      <c r="C21" s="734">
        <v>0</v>
      </c>
      <c r="D21" s="734">
        <f>850000*15</f>
        <v>12750000</v>
      </c>
      <c r="E21" s="731">
        <f>C21+B21+D21</f>
        <v>12750000</v>
      </c>
      <c r="F21" s="733">
        <v>0</v>
      </c>
      <c r="G21" s="734">
        <v>0</v>
      </c>
      <c r="H21" s="734">
        <f>850000*15</f>
        <v>12750000</v>
      </c>
      <c r="I21" s="731">
        <f>G21+F21+H21</f>
        <v>12750000</v>
      </c>
      <c r="J21" s="733">
        <v>0</v>
      </c>
      <c r="K21" s="734">
        <v>0</v>
      </c>
      <c r="L21" s="734">
        <v>8016548</v>
      </c>
      <c r="M21" s="731">
        <f>K21+J21+L21</f>
        <v>8016548</v>
      </c>
    </row>
    <row r="22" spans="1:13" ht="50.25" customHeight="1" x14ac:dyDescent="0.2">
      <c r="A22" s="732" t="s">
        <v>483</v>
      </c>
      <c r="B22" s="733">
        <v>0</v>
      </c>
      <c r="C22" s="734">
        <v>0</v>
      </c>
      <c r="D22" s="734">
        <v>0</v>
      </c>
      <c r="E22" s="731">
        <f>C22+B22</f>
        <v>0</v>
      </c>
      <c r="F22" s="733">
        <v>0</v>
      </c>
      <c r="G22" s="734">
        <v>0</v>
      </c>
      <c r="H22" s="734">
        <v>0</v>
      </c>
      <c r="I22" s="731">
        <f>G22+F22</f>
        <v>0</v>
      </c>
      <c r="J22" s="733">
        <v>0</v>
      </c>
      <c r="K22" s="734">
        <v>0</v>
      </c>
      <c r="L22" s="734">
        <v>0</v>
      </c>
      <c r="M22" s="731">
        <f>K22+J22</f>
        <v>0</v>
      </c>
    </row>
    <row r="23" spans="1:13" ht="30.75" customHeight="1" x14ac:dyDescent="0.2">
      <c r="A23" s="732" t="s">
        <v>484</v>
      </c>
      <c r="B23" s="733">
        <v>0</v>
      </c>
      <c r="C23" s="734">
        <v>0</v>
      </c>
      <c r="D23" s="734">
        <v>0</v>
      </c>
      <c r="E23" s="731">
        <f>C23+B23</f>
        <v>0</v>
      </c>
      <c r="F23" s="733">
        <v>0</v>
      </c>
      <c r="G23" s="734">
        <v>0</v>
      </c>
      <c r="H23" s="734">
        <v>0</v>
      </c>
      <c r="I23" s="731">
        <f>G23+F23</f>
        <v>0</v>
      </c>
      <c r="J23" s="733">
        <v>0</v>
      </c>
      <c r="K23" s="734">
        <v>0</v>
      </c>
      <c r="L23" s="734">
        <v>0</v>
      </c>
      <c r="M23" s="731">
        <f>K23+J23</f>
        <v>0</v>
      </c>
    </row>
    <row r="24" spans="1:13" ht="48.75" customHeight="1" thickBot="1" x14ac:dyDescent="0.25">
      <c r="A24" s="735" t="s">
        <v>485</v>
      </c>
      <c r="B24" s="736">
        <f>B18+B19+B20+B22+B23</f>
        <v>98000</v>
      </c>
      <c r="C24" s="737">
        <f>C18+C19+C20+C22+C23</f>
        <v>22500</v>
      </c>
      <c r="D24" s="737">
        <f>D18+D19+D20+D22+D23+D21</f>
        <v>14250000</v>
      </c>
      <c r="E24" s="738">
        <f>E18+E19+E20+E22+E23+E21</f>
        <v>14370500</v>
      </c>
      <c r="F24" s="736">
        <f>F18+F19+F20+F22+F23</f>
        <v>1755303</v>
      </c>
      <c r="G24" s="737">
        <f>G18+G19+G20+G22+G23</f>
        <v>172955</v>
      </c>
      <c r="H24" s="737">
        <f>H18+H19+H20+H22+H23+H21</f>
        <v>14250000</v>
      </c>
      <c r="I24" s="738">
        <f>I18+I19+I20+I22+I23+I21</f>
        <v>16178258</v>
      </c>
      <c r="J24" s="736">
        <f>J18+J19+J20+J22+J23</f>
        <v>1755303</v>
      </c>
      <c r="K24" s="737">
        <f>K18+K19+K20+K22+K23</f>
        <v>172955</v>
      </c>
      <c r="L24" s="737">
        <f>L18+L19+L20+L22+L23+L21</f>
        <v>9216548</v>
      </c>
      <c r="M24" s="738">
        <f>M18+M19+M20+M22+M23+M21</f>
        <v>11144806</v>
      </c>
    </row>
    <row r="41" spans="5:5" x14ac:dyDescent="0.2">
      <c r="E41" s="720"/>
    </row>
  </sheetData>
  <mergeCells count="10">
    <mergeCell ref="I2:M2"/>
    <mergeCell ref="A5:M5"/>
    <mergeCell ref="B7:C7"/>
    <mergeCell ref="A9:A10"/>
    <mergeCell ref="B9:D9"/>
    <mergeCell ref="E9:E10"/>
    <mergeCell ref="F9:H9"/>
    <mergeCell ref="I9:I10"/>
    <mergeCell ref="J9:L9"/>
    <mergeCell ref="M9:M10"/>
  </mergeCells>
  <pageMargins left="0.52" right="0.19685039370078741" top="0.98425196850393704" bottom="0.98425196850393704" header="0.55118110236220474" footer="0.51181102362204722"/>
  <pageSetup paperSize="9" scale="85" orientation="landscape" r:id="rId1"/>
  <headerFooter alignWithMargins="0"/>
  <rowBreaks count="1" manualBreakCount="1">
    <brk id="28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80"/>
  <sheetViews>
    <sheetView zoomScaleNormal="100" workbookViewId="0">
      <selection activeCell="K18" sqref="K18"/>
    </sheetView>
  </sheetViews>
  <sheetFormatPr defaultRowHeight="15" x14ac:dyDescent="0.25"/>
  <cols>
    <col min="1" max="1" width="41.85546875" style="739" customWidth="1"/>
    <col min="2" max="2" width="17.140625" style="740" customWidth="1"/>
    <col min="3" max="4" width="18.7109375" style="739" customWidth="1"/>
    <col min="5" max="5" width="16" style="739" customWidth="1"/>
    <col min="6" max="6" width="9.140625" style="739"/>
    <col min="7" max="7" width="10.85546875" style="739" bestFit="1" customWidth="1"/>
    <col min="8" max="16384" width="9.140625" style="739"/>
  </cols>
  <sheetData>
    <row r="1" spans="1:7" x14ac:dyDescent="0.25">
      <c r="A1" s="1353" t="s">
        <v>1014</v>
      </c>
      <c r="B1" s="1371"/>
      <c r="C1" s="1371"/>
      <c r="D1" s="1371"/>
      <c r="E1" s="1371"/>
      <c r="F1" s="634"/>
    </row>
    <row r="3" spans="1:7" ht="36" customHeight="1" x14ac:dyDescent="0.25">
      <c r="A3" s="1524" t="s">
        <v>955</v>
      </c>
      <c r="B3" s="1524"/>
      <c r="C3" s="1524"/>
      <c r="D3" s="1524"/>
      <c r="E3" s="1524"/>
    </row>
    <row r="4" spans="1:7" x14ac:dyDescent="0.25">
      <c r="A4" s="741"/>
      <c r="B4" s="741"/>
      <c r="C4" s="741"/>
      <c r="D4" s="741"/>
      <c r="E4" s="741"/>
    </row>
    <row r="5" spans="1:7" x14ac:dyDescent="0.25">
      <c r="A5" s="1525"/>
      <c r="B5" s="1525"/>
      <c r="C5" s="1525"/>
      <c r="D5" s="741"/>
    </row>
    <row r="6" spans="1:7" ht="9" customHeight="1" thickBot="1" x14ac:dyDescent="0.3"/>
    <row r="7" spans="1:7" x14ac:dyDescent="0.25">
      <c r="A7" s="1517" t="s">
        <v>486</v>
      </c>
      <c r="B7" s="1518"/>
      <c r="C7" s="1518"/>
      <c r="D7" s="1519"/>
      <c r="E7" s="1520"/>
    </row>
    <row r="8" spans="1:7" ht="18" customHeight="1" x14ac:dyDescent="0.25">
      <c r="A8" s="1246"/>
      <c r="E8" s="742" t="s">
        <v>487</v>
      </c>
    </row>
    <row r="9" spans="1:7" ht="90" x14ac:dyDescent="0.25">
      <c r="A9" s="1254"/>
      <c r="B9" s="744" t="s">
        <v>382</v>
      </c>
      <c r="C9" s="745" t="s">
        <v>488</v>
      </c>
      <c r="D9" s="746" t="s">
        <v>489</v>
      </c>
      <c r="E9" s="747" t="s">
        <v>490</v>
      </c>
    </row>
    <row r="10" spans="1:7" x14ac:dyDescent="0.25">
      <c r="A10" s="1254" t="s">
        <v>491</v>
      </c>
      <c r="B10" s="744" t="s">
        <v>954</v>
      </c>
      <c r="C10" s="745">
        <v>1466</v>
      </c>
      <c r="D10" s="748"/>
      <c r="E10" s="747">
        <v>386</v>
      </c>
      <c r="F10" s="739">
        <f t="shared" ref="F10:F19" si="0">SUM(C10:E10)</f>
        <v>1852</v>
      </c>
    </row>
    <row r="11" spans="1:7" x14ac:dyDescent="0.25">
      <c r="A11" s="1254" t="s">
        <v>928</v>
      </c>
      <c r="B11" s="744">
        <v>42269541</v>
      </c>
      <c r="C11" s="749">
        <f>SUM(B11)/F10*C10</f>
        <v>33459582.67062635</v>
      </c>
      <c r="D11" s="750"/>
      <c r="E11" s="751">
        <f>SUM(B11/F10*E10)</f>
        <v>8809958.3293736503</v>
      </c>
      <c r="F11" s="752">
        <f t="shared" si="0"/>
        <v>42269541</v>
      </c>
    </row>
    <row r="12" spans="1:7" ht="27" customHeight="1" x14ac:dyDescent="0.25">
      <c r="A12" s="743" t="s">
        <v>930</v>
      </c>
      <c r="B12" s="753">
        <f>32152000+6107000</f>
        <v>38259000</v>
      </c>
      <c r="C12" s="753">
        <f>SUM(B12/F10*C10)</f>
        <v>30284931.965442766</v>
      </c>
      <c r="D12" s="754"/>
      <c r="E12" s="755">
        <f>SUM(B12/F10*E10)</f>
        <v>7974068.0345572354</v>
      </c>
      <c r="F12" s="752">
        <f t="shared" si="0"/>
        <v>38259000</v>
      </c>
    </row>
    <row r="13" spans="1:7" hidden="1" x14ac:dyDescent="0.25">
      <c r="A13" s="1254" t="s">
        <v>953</v>
      </c>
      <c r="B13" s="753">
        <f>C13+E13</f>
        <v>0</v>
      </c>
      <c r="C13" s="753"/>
      <c r="D13" s="754"/>
      <c r="E13" s="755"/>
      <c r="F13" s="752">
        <f t="shared" si="0"/>
        <v>0</v>
      </c>
      <c r="G13" s="739">
        <f>28352-5118</f>
        <v>23234</v>
      </c>
    </row>
    <row r="14" spans="1:7" hidden="1" x14ac:dyDescent="0.25">
      <c r="A14" s="1253" t="s">
        <v>952</v>
      </c>
      <c r="B14" s="753">
        <f ca="1">C14+E14</f>
        <v>0</v>
      </c>
      <c r="C14" s="1252" t="e">
        <f ca="1">1636/(1636+425)*B14</f>
        <v>#REF!</v>
      </c>
      <c r="D14" s="1251"/>
      <c r="E14" s="1250" t="e">
        <f ca="1">425/(1636+425)*B14</f>
        <v>#REF!</v>
      </c>
      <c r="F14" s="752">
        <f t="shared" ca="1" si="0"/>
        <v>32332</v>
      </c>
    </row>
    <row r="15" spans="1:7" x14ac:dyDescent="0.25">
      <c r="A15" s="1249" t="s">
        <v>929</v>
      </c>
      <c r="B15" s="753">
        <v>1805169</v>
      </c>
      <c r="C15" s="756">
        <f>SUM(B15/F10)*C10</f>
        <v>1428929.6727861771</v>
      </c>
      <c r="D15" s="757"/>
      <c r="E15" s="758">
        <f>SUM(B15/F10*E10)</f>
        <v>376239.32721382286</v>
      </c>
      <c r="F15" s="752">
        <f t="shared" si="0"/>
        <v>1805169</v>
      </c>
    </row>
    <row r="16" spans="1:7" x14ac:dyDescent="0.25">
      <c r="A16" s="1249" t="s">
        <v>951</v>
      </c>
      <c r="B16" s="753">
        <f>5000+39934</f>
        <v>44934</v>
      </c>
      <c r="C16" s="756">
        <f>SUM(B16/F10)*C10</f>
        <v>35568.70626349892</v>
      </c>
      <c r="D16" s="757"/>
      <c r="E16" s="758">
        <f>SUM(B16/F10*E10)</f>
        <v>9365.2937365010803</v>
      </c>
      <c r="F16" s="752">
        <f t="shared" si="0"/>
        <v>44934</v>
      </c>
    </row>
    <row r="17" spans="1:9" x14ac:dyDescent="0.25">
      <c r="A17" s="1248" t="s">
        <v>215</v>
      </c>
      <c r="B17" s="759">
        <v>864339</v>
      </c>
      <c r="C17" s="756">
        <f>SUM(B17/F12)*C12</f>
        <v>684190.590712743</v>
      </c>
      <c r="D17" s="760"/>
      <c r="E17" s="758">
        <f>SUM(B17/F10*E10)</f>
        <v>180148.40928725703</v>
      </c>
      <c r="F17" s="752">
        <f t="shared" si="0"/>
        <v>864339</v>
      </c>
    </row>
    <row r="18" spans="1:9" x14ac:dyDescent="0.25">
      <c r="A18" s="1248" t="s">
        <v>492</v>
      </c>
      <c r="B18" s="759">
        <v>1296099</v>
      </c>
      <c r="C18" s="756">
        <f>SUM(B18/F10)*C10</f>
        <v>1025961.7354211664</v>
      </c>
      <c r="D18" s="760"/>
      <c r="E18" s="758">
        <f>SUM(B18/F10*E10)</f>
        <v>270137.26457883371</v>
      </c>
      <c r="F18" s="752">
        <f t="shared" si="0"/>
        <v>1296099</v>
      </c>
    </row>
    <row r="19" spans="1:9" ht="30.75" thickBot="1" x14ac:dyDescent="0.3">
      <c r="A19" s="1247" t="s">
        <v>950</v>
      </c>
      <c r="B19" s="761">
        <f>SUM(B11-B12-B15-B16-B17-B18)</f>
        <v>0</v>
      </c>
      <c r="C19" s="761">
        <f>SUM(C11-C12-C15-C16-C17-C18)</f>
        <v>-1.1641532182693481E-9</v>
      </c>
      <c r="D19" s="761">
        <f>SUM(D11-D12-D15-D16-D17-D18)</f>
        <v>0</v>
      </c>
      <c r="E19" s="761">
        <f>SUM(E11-E12-E15-E16-E17-E18)</f>
        <v>1.1641532182693481E-10</v>
      </c>
      <c r="F19" s="752">
        <f t="shared" si="0"/>
        <v>-1.0477378964424133E-9</v>
      </c>
    </row>
    <row r="20" spans="1:9" x14ac:dyDescent="0.25">
      <c r="A20" s="1235"/>
      <c r="C20" s="762"/>
      <c r="D20" s="762"/>
      <c r="E20" s="762"/>
    </row>
    <row r="21" spans="1:9" ht="15.75" thickBot="1" x14ac:dyDescent="0.3">
      <c r="A21" s="1235"/>
      <c r="C21" s="762"/>
      <c r="D21" s="762"/>
      <c r="E21" s="762"/>
    </row>
    <row r="22" spans="1:9" x14ac:dyDescent="0.25">
      <c r="A22" s="1517" t="s">
        <v>493</v>
      </c>
      <c r="B22" s="1518"/>
      <c r="C22" s="1518"/>
      <c r="D22" s="1519"/>
      <c r="E22" s="1520"/>
    </row>
    <row r="23" spans="1:9" x14ac:dyDescent="0.25">
      <c r="A23" s="1246"/>
      <c r="E23" s="1245"/>
    </row>
    <row r="24" spans="1:9" ht="45" x14ac:dyDescent="0.25">
      <c r="A24" s="1244"/>
      <c r="B24" s="744" t="s">
        <v>494</v>
      </c>
      <c r="C24" s="763" t="s">
        <v>495</v>
      </c>
      <c r="D24" s="746" t="s">
        <v>496</v>
      </c>
      <c r="E24" s="747" t="s">
        <v>497</v>
      </c>
    </row>
    <row r="25" spans="1:9" x14ac:dyDescent="0.25">
      <c r="A25" s="1234" t="s">
        <v>198</v>
      </c>
      <c r="B25" s="744">
        <v>33920513</v>
      </c>
      <c r="C25" s="764">
        <f>18585602+2566025</f>
        <v>21151627</v>
      </c>
      <c r="D25" s="765">
        <v>13686648</v>
      </c>
      <c r="E25" s="751">
        <f>SUM(B25-C25-D25)</f>
        <v>-917762</v>
      </c>
      <c r="G25" s="739">
        <f>SUM(C25:E25)</f>
        <v>33920513</v>
      </c>
      <c r="I25" s="747">
        <f>6403676+7309000+1536000+8142000+1952000+148600+203500</f>
        <v>25694776</v>
      </c>
    </row>
    <row r="26" spans="1:9" x14ac:dyDescent="0.25">
      <c r="A26" s="1234" t="s">
        <v>949</v>
      </c>
      <c r="B26" s="744">
        <v>32093290</v>
      </c>
      <c r="C26" s="764">
        <v>31813220</v>
      </c>
      <c r="D26" s="765">
        <v>2672</v>
      </c>
      <c r="E26" s="751">
        <f>SUM(B26-C26-D26)</f>
        <v>277398</v>
      </c>
      <c r="G26" s="739" t="s">
        <v>498</v>
      </c>
      <c r="H26" s="740"/>
    </row>
    <row r="27" spans="1:9" x14ac:dyDescent="0.25">
      <c r="A27" s="1234" t="s">
        <v>499</v>
      </c>
      <c r="B27" s="744">
        <v>125630</v>
      </c>
      <c r="C27" s="764">
        <v>0</v>
      </c>
      <c r="D27" s="765">
        <v>0</v>
      </c>
      <c r="E27" s="751">
        <f>SUM(B27-C27-D27)</f>
        <v>125630</v>
      </c>
      <c r="H27" s="740"/>
    </row>
    <row r="28" spans="1:9" x14ac:dyDescent="0.25">
      <c r="A28" s="1233" t="s">
        <v>500</v>
      </c>
      <c r="B28" s="766">
        <v>0</v>
      </c>
      <c r="C28" s="763">
        <v>0</v>
      </c>
      <c r="D28" s="746"/>
      <c r="E28" s="751">
        <f>SUM(B28-C28-D28)</f>
        <v>0</v>
      </c>
      <c r="H28" s="740"/>
    </row>
    <row r="29" spans="1:9" x14ac:dyDescent="0.25">
      <c r="A29" s="1233"/>
      <c r="B29" s="766"/>
      <c r="C29" s="767"/>
      <c r="D29" s="768"/>
      <c r="E29" s="769"/>
      <c r="H29" s="740"/>
    </row>
    <row r="30" spans="1:9" ht="15.75" thickBot="1" x14ac:dyDescent="0.3">
      <c r="A30" s="1243" t="s">
        <v>501</v>
      </c>
      <c r="B30" s="770">
        <f>SUM(B25:B29)</f>
        <v>66139433</v>
      </c>
      <c r="C30" s="770">
        <f>SUM(C25:C29)</f>
        <v>52964847</v>
      </c>
      <c r="D30" s="770">
        <f>SUM(D25:D29)</f>
        <v>13689320</v>
      </c>
      <c r="E30" s="770">
        <f>SUM(E25:E29)</f>
        <v>-514734</v>
      </c>
      <c r="G30" s="740">
        <f>SUM(C30:E30)</f>
        <v>66139433</v>
      </c>
    </row>
    <row r="31" spans="1:9" x14ac:dyDescent="0.25">
      <c r="A31" s="1235"/>
      <c r="C31" s="762"/>
      <c r="D31" s="762"/>
      <c r="E31" s="762"/>
    </row>
    <row r="32" spans="1:9" hidden="1" x14ac:dyDescent="0.25"/>
    <row r="33" spans="1:5" hidden="1" x14ac:dyDescent="0.25">
      <c r="A33" s="1508" t="s">
        <v>948</v>
      </c>
      <c r="B33" s="1508"/>
      <c r="C33" s="1508"/>
      <c r="D33" s="1508"/>
      <c r="E33" s="1508"/>
    </row>
    <row r="34" spans="1:5" hidden="1" x14ac:dyDescent="0.25"/>
    <row r="35" spans="1:5" ht="75" hidden="1" x14ac:dyDescent="0.25">
      <c r="C35" s="1242" t="s">
        <v>947</v>
      </c>
      <c r="D35" s="1242"/>
      <c r="E35" s="1242" t="s">
        <v>946</v>
      </c>
    </row>
    <row r="36" spans="1:5" hidden="1" x14ac:dyDescent="0.25">
      <c r="C36" s="1509" t="s">
        <v>945</v>
      </c>
      <c r="D36" s="1509"/>
      <c r="E36" s="1509"/>
    </row>
    <row r="37" spans="1:5" hidden="1" x14ac:dyDescent="0.25">
      <c r="C37" s="1241">
        <v>0.81830000000000003</v>
      </c>
      <c r="D37" s="1241"/>
      <c r="E37" s="1241">
        <v>0.1817</v>
      </c>
    </row>
    <row r="38" spans="1:5" hidden="1" x14ac:dyDescent="0.25">
      <c r="A38" s="739" t="s">
        <v>937</v>
      </c>
    </row>
    <row r="39" spans="1:5" hidden="1" x14ac:dyDescent="0.25">
      <c r="A39" s="739" t="s">
        <v>944</v>
      </c>
    </row>
    <row r="40" spans="1:5" hidden="1" x14ac:dyDescent="0.25">
      <c r="A40" s="1236" t="s">
        <v>943</v>
      </c>
      <c r="B40" s="1237"/>
      <c r="C40" s="1236"/>
      <c r="D40" s="1236"/>
      <c r="E40" s="1236"/>
    </row>
    <row r="41" spans="1:5" hidden="1" x14ac:dyDescent="0.25">
      <c r="A41" s="1235" t="s">
        <v>942</v>
      </c>
      <c r="B41" s="762">
        <f>B38-B39-B40</f>
        <v>0</v>
      </c>
      <c r="C41" s="762">
        <f>C37*B41</f>
        <v>0</v>
      </c>
      <c r="D41" s="762"/>
      <c r="E41" s="762">
        <f>E37*B41</f>
        <v>0</v>
      </c>
    </row>
    <row r="42" spans="1:5" hidden="1" x14ac:dyDescent="0.25"/>
    <row r="43" spans="1:5" hidden="1" x14ac:dyDescent="0.25"/>
    <row r="44" spans="1:5" hidden="1" x14ac:dyDescent="0.25">
      <c r="A44" s="1510" t="s">
        <v>941</v>
      </c>
      <c r="B44" s="1510"/>
      <c r="C44" s="1510"/>
      <c r="D44" s="1240"/>
      <c r="E44" s="762" t="e">
        <f>E41+#REF!</f>
        <v>#REF!</v>
      </c>
    </row>
    <row r="45" spans="1:5" hidden="1" x14ac:dyDescent="0.25"/>
    <row r="46" spans="1:5" hidden="1" x14ac:dyDescent="0.25">
      <c r="A46" s="1526" t="s">
        <v>940</v>
      </c>
      <c r="B46" s="1526"/>
      <c r="C46" s="1526"/>
      <c r="D46" s="1239"/>
    </row>
    <row r="47" spans="1:5" hidden="1" x14ac:dyDescent="0.25"/>
    <row r="48" spans="1:5" hidden="1" x14ac:dyDescent="0.25">
      <c r="A48" s="1527" t="s">
        <v>939</v>
      </c>
      <c r="B48" s="1527"/>
      <c r="C48" s="1527"/>
      <c r="D48" s="1238"/>
      <c r="E48" s="1516" t="e">
        <f>E44-E46</f>
        <v>#REF!</v>
      </c>
    </row>
    <row r="49" spans="1:5" hidden="1" x14ac:dyDescent="0.25">
      <c r="A49" s="1527"/>
      <c r="B49" s="1527"/>
      <c r="C49" s="1527"/>
      <c r="D49" s="1238"/>
      <c r="E49" s="1516"/>
    </row>
    <row r="50" spans="1:5" hidden="1" x14ac:dyDescent="0.25"/>
    <row r="51" spans="1:5" hidden="1" x14ac:dyDescent="0.25">
      <c r="A51" s="1508" t="s">
        <v>938</v>
      </c>
      <c r="B51" s="1508"/>
      <c r="C51" s="1508"/>
      <c r="D51" s="1508"/>
      <c r="E51" s="1508"/>
    </row>
    <row r="52" spans="1:5" hidden="1" x14ac:dyDescent="0.25"/>
    <row r="53" spans="1:5" hidden="1" x14ac:dyDescent="0.25">
      <c r="A53" s="739" t="s">
        <v>937</v>
      </c>
    </row>
    <row r="54" spans="1:5" hidden="1" x14ac:dyDescent="0.25">
      <c r="A54" s="1236" t="s">
        <v>936</v>
      </c>
      <c r="B54" s="1237"/>
      <c r="C54" s="1236"/>
      <c r="D54" s="1236"/>
      <c r="E54" s="1236"/>
    </row>
    <row r="55" spans="1:5" hidden="1" x14ac:dyDescent="0.25">
      <c r="A55" s="1235" t="s">
        <v>935</v>
      </c>
      <c r="E55" s="1235">
        <f>E53-E54</f>
        <v>0</v>
      </c>
    </row>
    <row r="56" spans="1:5" hidden="1" x14ac:dyDescent="0.25"/>
    <row r="57" spans="1:5" hidden="1" x14ac:dyDescent="0.25"/>
    <row r="58" spans="1:5" hidden="1" x14ac:dyDescent="0.25"/>
    <row r="59" spans="1:5" hidden="1" x14ac:dyDescent="0.25"/>
    <row r="60" spans="1:5" hidden="1" x14ac:dyDescent="0.25"/>
    <row r="61" spans="1:5" hidden="1" x14ac:dyDescent="0.25"/>
    <row r="62" spans="1:5" hidden="1" x14ac:dyDescent="0.25"/>
    <row r="63" spans="1:5" hidden="1" x14ac:dyDescent="0.25"/>
    <row r="64" spans="1:5" hidden="1" x14ac:dyDescent="0.25"/>
    <row r="65" spans="1:7" ht="20.25" customHeight="1" thickBot="1" x14ac:dyDescent="0.3"/>
    <row r="66" spans="1:7" ht="15" customHeight="1" x14ac:dyDescent="0.25">
      <c r="A66" s="1517" t="s">
        <v>934</v>
      </c>
      <c r="B66" s="1518"/>
      <c r="C66" s="1518"/>
      <c r="D66" s="1519"/>
      <c r="E66" s="1520"/>
    </row>
    <row r="67" spans="1:7" ht="15" customHeight="1" x14ac:dyDescent="0.25">
      <c r="A67" s="1234" t="s">
        <v>503</v>
      </c>
      <c r="B67" s="1511">
        <v>0</v>
      </c>
      <c r="C67" s="1514"/>
      <c r="D67" s="1514"/>
      <c r="E67" s="1515"/>
    </row>
    <row r="68" spans="1:7" ht="15" customHeight="1" x14ac:dyDescent="0.25">
      <c r="A68" s="1234" t="s">
        <v>933</v>
      </c>
      <c r="B68" s="1511">
        <v>0</v>
      </c>
      <c r="C68" s="1512"/>
      <c r="D68" s="1512"/>
      <c r="E68" s="1513"/>
    </row>
    <row r="69" spans="1:7" ht="15" customHeight="1" x14ac:dyDescent="0.25">
      <c r="A69" s="1234" t="s">
        <v>504</v>
      </c>
      <c r="B69" s="1511">
        <f>SUM(E17)</f>
        <v>180148.40928725703</v>
      </c>
      <c r="C69" s="1514"/>
      <c r="D69" s="1514"/>
      <c r="E69" s="1515"/>
    </row>
    <row r="70" spans="1:7" ht="15" customHeight="1" x14ac:dyDescent="0.25">
      <c r="A70" s="1234" t="s">
        <v>499</v>
      </c>
      <c r="B70" s="1511">
        <f>SUM(E27*0.3)</f>
        <v>37689</v>
      </c>
      <c r="C70" s="1514"/>
      <c r="D70" s="1514"/>
      <c r="E70" s="1515"/>
    </row>
    <row r="71" spans="1:7" ht="21" customHeight="1" thickBot="1" x14ac:dyDescent="0.35">
      <c r="A71" s="1232" t="s">
        <v>502</v>
      </c>
      <c r="B71" s="1521">
        <f>SUM(B67:E70)</f>
        <v>217837.40928725703</v>
      </c>
      <c r="C71" s="1522"/>
      <c r="D71" s="1522"/>
      <c r="E71" s="1523"/>
    </row>
    <row r="72" spans="1:7" ht="16.5" customHeight="1" x14ac:dyDescent="0.25"/>
    <row r="73" spans="1:7" ht="15.75" thickBot="1" x14ac:dyDescent="0.3"/>
    <row r="74" spans="1:7" x14ac:dyDescent="0.25">
      <c r="A74" s="1517" t="s">
        <v>932</v>
      </c>
      <c r="B74" s="1518"/>
      <c r="C74" s="1518"/>
      <c r="D74" s="1519"/>
      <c r="E74" s="1520"/>
    </row>
    <row r="75" spans="1:7" x14ac:dyDescent="0.25">
      <c r="A75" s="1234" t="s">
        <v>503</v>
      </c>
      <c r="B75" s="1511">
        <f>SUM(E26)</f>
        <v>277398</v>
      </c>
      <c r="C75" s="1514"/>
      <c r="D75" s="1514"/>
      <c r="E75" s="1515"/>
    </row>
    <row r="76" spans="1:7" x14ac:dyDescent="0.25">
      <c r="A76" s="1234" t="s">
        <v>504</v>
      </c>
      <c r="B76" s="1511">
        <f>SUM(C17)</f>
        <v>684190.590712743</v>
      </c>
      <c r="C76" s="1514"/>
      <c r="D76" s="1514"/>
      <c r="E76" s="1515"/>
    </row>
    <row r="77" spans="1:7" x14ac:dyDescent="0.25">
      <c r="A77" s="1234" t="s">
        <v>499</v>
      </c>
      <c r="B77" s="1511">
        <f>SUM(E27*0.7)</f>
        <v>87941</v>
      </c>
      <c r="C77" s="1514"/>
      <c r="D77" s="1514"/>
      <c r="E77" s="1515"/>
    </row>
    <row r="78" spans="1:7" x14ac:dyDescent="0.25">
      <c r="A78" s="1234" t="s">
        <v>505</v>
      </c>
      <c r="B78" s="1511">
        <v>289990</v>
      </c>
      <c r="C78" s="1512"/>
      <c r="D78" s="1512"/>
      <c r="E78" s="1513"/>
    </row>
    <row r="79" spans="1:7" x14ac:dyDescent="0.25">
      <c r="A79" s="1233" t="s">
        <v>931</v>
      </c>
      <c r="B79" s="1528">
        <f>SUM(E25)</f>
        <v>-917762</v>
      </c>
      <c r="C79" s="1512"/>
      <c r="D79" s="1512"/>
      <c r="E79" s="1513"/>
    </row>
    <row r="80" spans="1:7" ht="19.5" thickBot="1" x14ac:dyDescent="0.35">
      <c r="A80" s="1232" t="s">
        <v>502</v>
      </c>
      <c r="B80" s="1521">
        <f>SUM(B75:E79)</f>
        <v>421757.59071274288</v>
      </c>
      <c r="C80" s="1522"/>
      <c r="D80" s="1522"/>
      <c r="E80" s="1523"/>
      <c r="G80" s="740">
        <f>SUM(B71+B80)</f>
        <v>639594.99999999988</v>
      </c>
    </row>
  </sheetData>
  <mergeCells count="25">
    <mergeCell ref="B78:E78"/>
    <mergeCell ref="B67:E67"/>
    <mergeCell ref="A74:E74"/>
    <mergeCell ref="B71:E71"/>
    <mergeCell ref="B75:E75"/>
    <mergeCell ref="B77:E77"/>
    <mergeCell ref="B80:E80"/>
    <mergeCell ref="A1:E1"/>
    <mergeCell ref="A3:E3"/>
    <mergeCell ref="A5:C5"/>
    <mergeCell ref="A7:E7"/>
    <mergeCell ref="B69:E69"/>
    <mergeCell ref="A46:C46"/>
    <mergeCell ref="A48:C49"/>
    <mergeCell ref="A22:E22"/>
    <mergeCell ref="B79:E79"/>
    <mergeCell ref="A33:E33"/>
    <mergeCell ref="C36:E36"/>
    <mergeCell ref="A44:C44"/>
    <mergeCell ref="B68:E68"/>
    <mergeCell ref="B76:E76"/>
    <mergeCell ref="B70:E70"/>
    <mergeCell ref="E48:E49"/>
    <mergeCell ref="A51:E51"/>
    <mergeCell ref="A66:E66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/>
  <colBreaks count="1" manualBreakCount="1">
    <brk id="12" max="5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9"/>
  <sheetViews>
    <sheetView showGridLines="0" zoomScaleNormal="100" workbookViewId="0">
      <selection activeCell="J16" sqref="J16"/>
    </sheetView>
  </sheetViews>
  <sheetFormatPr defaultRowHeight="12.75" x14ac:dyDescent="0.2"/>
  <cols>
    <col min="1" max="1" width="5.5703125" style="555" customWidth="1"/>
    <col min="2" max="2" width="56" style="555" customWidth="1"/>
    <col min="3" max="3" width="29.42578125" style="555" customWidth="1"/>
    <col min="4" max="4" width="29.7109375" style="620" customWidth="1"/>
    <col min="5" max="5" width="29" style="555" customWidth="1"/>
    <col min="6" max="16384" width="9.140625" style="555"/>
  </cols>
  <sheetData>
    <row r="1" spans="1:8" x14ac:dyDescent="0.2">
      <c r="A1" s="553"/>
      <c r="B1" s="553"/>
      <c r="C1" s="1529" t="s">
        <v>1015</v>
      </c>
      <c r="D1" s="1352"/>
      <c r="E1" s="1352"/>
      <c r="F1" s="554"/>
      <c r="G1" s="554"/>
      <c r="H1" s="554"/>
    </row>
    <row r="2" spans="1:8" x14ac:dyDescent="0.2">
      <c r="A2" s="553"/>
      <c r="B2" s="553"/>
      <c r="C2" s="554"/>
      <c r="D2" s="616"/>
      <c r="E2"/>
      <c r="F2" s="554"/>
      <c r="G2" s="554"/>
      <c r="H2" s="554"/>
    </row>
    <row r="3" spans="1:8" x14ac:dyDescent="0.2">
      <c r="A3" s="553"/>
      <c r="B3" s="553"/>
      <c r="C3" s="554"/>
      <c r="D3" s="616"/>
      <c r="E3"/>
      <c r="F3" s="554"/>
      <c r="G3" s="554"/>
      <c r="H3" s="554"/>
    </row>
    <row r="4" spans="1:8" x14ac:dyDescent="0.2">
      <c r="A4" s="1530" t="s">
        <v>374</v>
      </c>
      <c r="B4" s="1530"/>
      <c r="C4" s="1530"/>
      <c r="D4" s="1530"/>
      <c r="E4" s="1530"/>
    </row>
    <row r="5" spans="1:8" x14ac:dyDescent="0.2">
      <c r="A5" s="556"/>
      <c r="B5" s="556"/>
      <c r="C5" s="556"/>
      <c r="D5" s="617"/>
      <c r="E5" s="556"/>
    </row>
    <row r="6" spans="1:8" x14ac:dyDescent="0.2">
      <c r="A6" s="556"/>
      <c r="B6" s="556"/>
      <c r="C6" s="556"/>
      <c r="D6" s="617"/>
      <c r="E6" s="556"/>
    </row>
    <row r="7" spans="1:8" x14ac:dyDescent="0.2">
      <c r="A7" s="556"/>
      <c r="B7" s="556"/>
      <c r="C7" s="556"/>
      <c r="D7" s="617"/>
      <c r="E7" s="556"/>
    </row>
    <row r="8" spans="1:8" x14ac:dyDescent="0.2">
      <c r="A8" s="1531"/>
      <c r="B8" s="1531"/>
      <c r="C8" s="1531"/>
      <c r="D8" s="1531"/>
      <c r="E8" s="557"/>
    </row>
    <row r="9" spans="1:8" ht="26.25" customHeight="1" x14ac:dyDescent="0.2">
      <c r="A9" s="1532" t="s">
        <v>289</v>
      </c>
      <c r="B9" s="558"/>
      <c r="C9" s="559" t="s">
        <v>290</v>
      </c>
      <c r="D9" s="621" t="s">
        <v>291</v>
      </c>
      <c r="E9" s="560" t="s">
        <v>292</v>
      </c>
    </row>
    <row r="10" spans="1:8" x14ac:dyDescent="0.2">
      <c r="A10" s="1533"/>
      <c r="B10" s="561" t="s">
        <v>16</v>
      </c>
      <c r="C10" s="561" t="s">
        <v>293</v>
      </c>
      <c r="D10" s="622" t="s">
        <v>293</v>
      </c>
      <c r="E10" s="561" t="s">
        <v>293</v>
      </c>
    </row>
    <row r="11" spans="1:8" ht="15" customHeight="1" x14ac:dyDescent="0.2">
      <c r="A11" s="562" t="s">
        <v>294</v>
      </c>
      <c r="B11" s="562" t="s">
        <v>295</v>
      </c>
      <c r="C11" s="563">
        <v>218864103</v>
      </c>
      <c r="D11" s="618">
        <v>1341033</v>
      </c>
      <c r="E11" s="563">
        <f t="shared" ref="E11:E29" si="0">SUM(C11:D11)</f>
        <v>220205136</v>
      </c>
    </row>
    <row r="12" spans="1:8" ht="15" customHeight="1" x14ac:dyDescent="0.2">
      <c r="A12" s="562" t="s">
        <v>296</v>
      </c>
      <c r="B12" s="562" t="s">
        <v>297</v>
      </c>
      <c r="C12" s="563">
        <v>178284112</v>
      </c>
      <c r="D12" s="618">
        <v>42269541</v>
      </c>
      <c r="E12" s="563">
        <f t="shared" si="0"/>
        <v>220553653</v>
      </c>
    </row>
    <row r="13" spans="1:8" s="565" customFormat="1" ht="15" customHeight="1" x14ac:dyDescent="0.2">
      <c r="A13" s="1534" t="s">
        <v>298</v>
      </c>
      <c r="B13" s="1535"/>
      <c r="C13" s="564">
        <f>SUM(C11-C12)</f>
        <v>40579991</v>
      </c>
      <c r="D13" s="619">
        <f>SUM(D11-D12)</f>
        <v>-40928508</v>
      </c>
      <c r="E13" s="563">
        <f t="shared" si="0"/>
        <v>-348517</v>
      </c>
    </row>
    <row r="14" spans="1:8" ht="15" customHeight="1" x14ac:dyDescent="0.2">
      <c r="A14" s="562" t="s">
        <v>299</v>
      </c>
      <c r="B14" s="562" t="s">
        <v>300</v>
      </c>
      <c r="C14" s="563">
        <v>113174646</v>
      </c>
      <c r="D14" s="618">
        <v>43545169</v>
      </c>
      <c r="E14" s="563">
        <f t="shared" si="0"/>
        <v>156719815</v>
      </c>
    </row>
    <row r="15" spans="1:8" ht="15" customHeight="1" x14ac:dyDescent="0.2">
      <c r="A15" s="562" t="s">
        <v>301</v>
      </c>
      <c r="B15" s="562" t="s">
        <v>302</v>
      </c>
      <c r="C15" s="563">
        <v>106368285</v>
      </c>
      <c r="D15" s="618">
        <v>0</v>
      </c>
      <c r="E15" s="563">
        <f t="shared" si="0"/>
        <v>106368285</v>
      </c>
    </row>
    <row r="16" spans="1:8" s="565" customFormat="1" ht="15" customHeight="1" x14ac:dyDescent="0.2">
      <c r="A16" s="1534" t="s">
        <v>303</v>
      </c>
      <c r="B16" s="1535"/>
      <c r="C16" s="564">
        <f>SUM(C14-C15)</f>
        <v>6806361</v>
      </c>
      <c r="D16" s="619">
        <f>SUM(D14-D15)</f>
        <v>43545169</v>
      </c>
      <c r="E16" s="563">
        <f t="shared" si="0"/>
        <v>50351530</v>
      </c>
    </row>
    <row r="17" spans="1:5" ht="15" customHeight="1" x14ac:dyDescent="0.2">
      <c r="A17" s="1538" t="s">
        <v>304</v>
      </c>
      <c r="B17" s="1535"/>
      <c r="C17" s="563">
        <f>SUM(C16,C13)</f>
        <v>47386352</v>
      </c>
      <c r="D17" s="618">
        <f>SUM(D16,D13)</f>
        <v>2616661</v>
      </c>
      <c r="E17" s="563">
        <f t="shared" si="0"/>
        <v>50003013</v>
      </c>
    </row>
    <row r="18" spans="1:5" ht="15" customHeight="1" x14ac:dyDescent="0.2">
      <c r="A18" s="562" t="s">
        <v>305</v>
      </c>
      <c r="B18" s="562" t="s">
        <v>306</v>
      </c>
      <c r="C18" s="563">
        <v>0</v>
      </c>
      <c r="D18" s="618">
        <v>0</v>
      </c>
      <c r="E18" s="563">
        <f t="shared" si="0"/>
        <v>0</v>
      </c>
    </row>
    <row r="19" spans="1:5" ht="15" customHeight="1" x14ac:dyDescent="0.2">
      <c r="A19" s="562" t="s">
        <v>307</v>
      </c>
      <c r="B19" s="562" t="s">
        <v>308</v>
      </c>
      <c r="C19" s="563">
        <v>0</v>
      </c>
      <c r="D19" s="618">
        <v>0</v>
      </c>
      <c r="E19" s="563">
        <f t="shared" si="0"/>
        <v>0</v>
      </c>
    </row>
    <row r="20" spans="1:5" s="565" customFormat="1" ht="15" customHeight="1" x14ac:dyDescent="0.2">
      <c r="A20" s="1534" t="s">
        <v>309</v>
      </c>
      <c r="B20" s="1535"/>
      <c r="C20" s="564">
        <v>0</v>
      </c>
      <c r="D20" s="619">
        <v>0</v>
      </c>
      <c r="E20" s="563">
        <f t="shared" si="0"/>
        <v>0</v>
      </c>
    </row>
    <row r="21" spans="1:5" ht="15" customHeight="1" x14ac:dyDescent="0.2">
      <c r="A21" s="562" t="s">
        <v>310</v>
      </c>
      <c r="B21" s="562" t="s">
        <v>311</v>
      </c>
      <c r="C21" s="563">
        <v>0</v>
      </c>
      <c r="D21" s="618">
        <v>0</v>
      </c>
      <c r="E21" s="563">
        <f t="shared" si="0"/>
        <v>0</v>
      </c>
    </row>
    <row r="22" spans="1:5" ht="15" customHeight="1" x14ac:dyDescent="0.2">
      <c r="A22" s="562" t="s">
        <v>312</v>
      </c>
      <c r="B22" s="562" t="s">
        <v>313</v>
      </c>
      <c r="C22" s="563">
        <v>0</v>
      </c>
      <c r="D22" s="618">
        <v>0</v>
      </c>
      <c r="E22" s="563">
        <f t="shared" si="0"/>
        <v>0</v>
      </c>
    </row>
    <row r="23" spans="1:5" s="565" customFormat="1" ht="15" customHeight="1" x14ac:dyDescent="0.2">
      <c r="A23" s="1534" t="s">
        <v>314</v>
      </c>
      <c r="B23" s="1535"/>
      <c r="C23" s="564">
        <v>0</v>
      </c>
      <c r="D23" s="619">
        <v>0</v>
      </c>
      <c r="E23" s="563">
        <f t="shared" si="0"/>
        <v>0</v>
      </c>
    </row>
    <row r="24" spans="1:5" ht="15" customHeight="1" x14ac:dyDescent="0.2">
      <c r="A24" s="1538" t="s">
        <v>315</v>
      </c>
      <c r="B24" s="1535"/>
      <c r="C24" s="563">
        <v>0</v>
      </c>
      <c r="D24" s="618">
        <v>0</v>
      </c>
      <c r="E24" s="563">
        <f t="shared" si="0"/>
        <v>0</v>
      </c>
    </row>
    <row r="25" spans="1:5" ht="15" customHeight="1" x14ac:dyDescent="0.2">
      <c r="A25" s="1538" t="s">
        <v>316</v>
      </c>
      <c r="B25" s="1535"/>
      <c r="C25" s="563">
        <f>SUM(C17+C20+C23)</f>
        <v>47386352</v>
      </c>
      <c r="D25" s="618">
        <f>SUM(D17+D20+D23)</f>
        <v>2616661</v>
      </c>
      <c r="E25" s="563">
        <f t="shared" si="0"/>
        <v>50003013</v>
      </c>
    </row>
    <row r="26" spans="1:5" ht="15" customHeight="1" x14ac:dyDescent="0.2">
      <c r="A26" s="1538" t="s">
        <v>317</v>
      </c>
      <c r="B26" s="1535"/>
      <c r="C26" s="563">
        <v>0</v>
      </c>
      <c r="D26" s="618">
        <v>0</v>
      </c>
      <c r="E26" s="563">
        <f t="shared" si="0"/>
        <v>0</v>
      </c>
    </row>
    <row r="27" spans="1:5" s="565" customFormat="1" ht="20.25" customHeight="1" x14ac:dyDescent="0.2">
      <c r="A27" s="1536" t="s">
        <v>318</v>
      </c>
      <c r="B27" s="1537"/>
      <c r="C27" s="623">
        <f>SUM(C25-C26)</f>
        <v>47386352</v>
      </c>
      <c r="D27" s="623">
        <f>SUM(D25-D26)</f>
        <v>2616661</v>
      </c>
      <c r="E27" s="624">
        <f t="shared" si="0"/>
        <v>50003013</v>
      </c>
    </row>
    <row r="28" spans="1:5" ht="15" customHeight="1" x14ac:dyDescent="0.2">
      <c r="A28" s="1538" t="s">
        <v>319</v>
      </c>
      <c r="B28" s="1539"/>
      <c r="C28" s="563">
        <v>0</v>
      </c>
      <c r="D28" s="618">
        <v>0</v>
      </c>
      <c r="E28" s="563">
        <f t="shared" si="0"/>
        <v>0</v>
      </c>
    </row>
    <row r="29" spans="1:5" ht="15" customHeight="1" x14ac:dyDescent="0.2">
      <c r="A29" s="1538" t="s">
        <v>320</v>
      </c>
      <c r="B29" s="1539"/>
      <c r="C29" s="563">
        <v>0</v>
      </c>
      <c r="D29" s="618">
        <v>0</v>
      </c>
      <c r="E29" s="563">
        <f t="shared" si="0"/>
        <v>0</v>
      </c>
    </row>
  </sheetData>
  <mergeCells count="15">
    <mergeCell ref="A27:B27"/>
    <mergeCell ref="A28:B28"/>
    <mergeCell ref="A29:B29"/>
    <mergeCell ref="A17:B17"/>
    <mergeCell ref="A20:B20"/>
    <mergeCell ref="A23:B23"/>
    <mergeCell ref="A24:B24"/>
    <mergeCell ref="A25:B25"/>
    <mergeCell ref="A26:B26"/>
    <mergeCell ref="C1:E1"/>
    <mergeCell ref="A4:E4"/>
    <mergeCell ref="A8:D8"/>
    <mergeCell ref="A9:A10"/>
    <mergeCell ref="A13:B13"/>
    <mergeCell ref="A16:B16"/>
  </mergeCells>
  <pageMargins left="0.75" right="0.75" top="1" bottom="1" header="0.5" footer="0.5"/>
  <pageSetup paperSize="9" scale="88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55"/>
  <sheetViews>
    <sheetView showGridLines="0" topLeftCell="B1" zoomScale="143" zoomScaleNormal="143" workbookViewId="0">
      <selection activeCell="I1" sqref="I1:M1"/>
    </sheetView>
  </sheetViews>
  <sheetFormatPr defaultRowHeight="12.75" x14ac:dyDescent="0.2"/>
  <cols>
    <col min="1" max="1" width="66.5703125" style="566" customWidth="1"/>
    <col min="2" max="3" width="14.85546875" style="566" customWidth="1"/>
    <col min="4" max="4" width="14" style="567" customWidth="1"/>
    <col min="5" max="5" width="11.140625" style="554" customWidth="1"/>
    <col min="6" max="6" width="12.140625" style="566" customWidth="1"/>
    <col min="7" max="7" width="13.28515625" style="566" customWidth="1"/>
    <col min="8" max="8" width="14.85546875" style="567" customWidth="1"/>
    <col min="9" max="9" width="12.140625" style="554" customWidth="1"/>
    <col min="10" max="10" width="14.5703125" style="566" customWidth="1"/>
    <col min="11" max="11" width="14.85546875" style="566" customWidth="1"/>
    <col min="12" max="12" width="15.28515625" style="567" customWidth="1"/>
    <col min="13" max="13" width="14.140625" style="554" customWidth="1"/>
    <col min="14" max="16384" width="9.140625" style="568"/>
  </cols>
  <sheetData>
    <row r="1" spans="1:13" ht="11.25" customHeight="1" x14ac:dyDescent="0.2">
      <c r="I1" s="1540" t="s">
        <v>1016</v>
      </c>
      <c r="J1" s="1540"/>
      <c r="K1" s="1540"/>
      <c r="L1" s="1540"/>
      <c r="M1" s="1540"/>
    </row>
    <row r="2" spans="1:13" ht="15" x14ac:dyDescent="0.2">
      <c r="A2" s="1541" t="s">
        <v>290</v>
      </c>
      <c r="B2" s="1541"/>
      <c r="C2" s="1541"/>
      <c r="D2" s="1541"/>
      <c r="E2" s="1541"/>
      <c r="F2" s="1541"/>
      <c r="G2" s="1541"/>
      <c r="H2" s="1541"/>
      <c r="I2" s="1541"/>
      <c r="J2" s="1541"/>
      <c r="K2" s="1541"/>
      <c r="L2" s="1541"/>
      <c r="M2" s="1541"/>
    </row>
    <row r="3" spans="1:13" ht="15" x14ac:dyDescent="0.2">
      <c r="A3" s="1541" t="s">
        <v>375</v>
      </c>
      <c r="B3" s="1541"/>
      <c r="C3" s="1541"/>
      <c r="D3" s="1541"/>
      <c r="E3" s="1541"/>
      <c r="F3" s="1541"/>
      <c r="G3" s="1541"/>
      <c r="H3" s="1541"/>
      <c r="I3" s="1541"/>
      <c r="J3" s="1541"/>
      <c r="K3" s="1541"/>
      <c r="L3" s="1541"/>
      <c r="M3" s="1541"/>
    </row>
    <row r="4" spans="1:13" ht="18.75" customHeight="1" thickBot="1" x14ac:dyDescent="0.25">
      <c r="M4" s="554" t="s">
        <v>321</v>
      </c>
    </row>
    <row r="5" spans="1:13" x14ac:dyDescent="0.2">
      <c r="A5" s="1542" t="s">
        <v>16</v>
      </c>
      <c r="B5" s="1544" t="s">
        <v>290</v>
      </c>
      <c r="C5" s="1545"/>
      <c r="D5" s="1545"/>
      <c r="E5" s="1546"/>
      <c r="F5" s="1544" t="s">
        <v>322</v>
      </c>
      <c r="G5" s="1545"/>
      <c r="H5" s="1545"/>
      <c r="I5" s="1546"/>
      <c r="J5" s="1544" t="s">
        <v>292</v>
      </c>
      <c r="K5" s="1545"/>
      <c r="L5" s="1545"/>
      <c r="M5" s="1546"/>
    </row>
    <row r="6" spans="1:13" s="572" customFormat="1" ht="15" customHeight="1" x14ac:dyDescent="0.2">
      <c r="A6" s="1543"/>
      <c r="B6" s="569" t="s">
        <v>323</v>
      </c>
      <c r="C6" s="569" t="s">
        <v>376</v>
      </c>
      <c r="D6" s="570" t="s">
        <v>324</v>
      </c>
      <c r="E6" s="571" t="s">
        <v>325</v>
      </c>
      <c r="F6" s="569" t="s">
        <v>323</v>
      </c>
      <c r="G6" s="569" t="s">
        <v>376</v>
      </c>
      <c r="H6" s="570" t="s">
        <v>324</v>
      </c>
      <c r="I6" s="571" t="s">
        <v>325</v>
      </c>
      <c r="J6" s="569" t="s">
        <v>323</v>
      </c>
      <c r="K6" s="569" t="s">
        <v>376</v>
      </c>
      <c r="L6" s="570" t="s">
        <v>324</v>
      </c>
      <c r="M6" s="571" t="s">
        <v>325</v>
      </c>
    </row>
    <row r="7" spans="1:13" s="581" customFormat="1" ht="15" customHeight="1" x14ac:dyDescent="0.2">
      <c r="A7" s="573" t="s">
        <v>326</v>
      </c>
      <c r="B7" s="574">
        <v>480674</v>
      </c>
      <c r="C7" s="574">
        <v>318674</v>
      </c>
      <c r="D7" s="575">
        <f t="shared" ref="D7:D55" si="0">C7-B7</f>
        <v>-162000</v>
      </c>
      <c r="E7" s="576">
        <f t="shared" ref="E7:E27" si="1">C7/B7</f>
        <v>0.66297324173972383</v>
      </c>
      <c r="F7" s="578"/>
      <c r="G7" s="578"/>
      <c r="H7" s="579"/>
      <c r="I7" s="580"/>
      <c r="J7" s="577"/>
      <c r="K7" s="578"/>
      <c r="L7" s="579"/>
      <c r="M7" s="580"/>
    </row>
    <row r="8" spans="1:13" ht="15" customHeight="1" x14ac:dyDescent="0.2">
      <c r="A8" s="582" t="s">
        <v>327</v>
      </c>
      <c r="B8" s="583">
        <f>SUM(B7:B7)</f>
        <v>480674</v>
      </c>
      <c r="C8" s="583">
        <f>SUM(C7:C7)</f>
        <v>318674</v>
      </c>
      <c r="D8" s="575">
        <f t="shared" si="0"/>
        <v>-162000</v>
      </c>
      <c r="E8" s="576">
        <f t="shared" si="1"/>
        <v>0.66297324173972383</v>
      </c>
      <c r="F8" s="584"/>
      <c r="G8" s="584"/>
      <c r="H8" s="575">
        <f t="shared" ref="H8:H54" si="2">G8-F8</f>
        <v>0</v>
      </c>
      <c r="I8" s="576">
        <v>0</v>
      </c>
      <c r="J8" s="583">
        <f t="shared" ref="J8:K44" si="3">B8+F8</f>
        <v>480674</v>
      </c>
      <c r="K8" s="584">
        <f t="shared" si="3"/>
        <v>318674</v>
      </c>
      <c r="L8" s="575">
        <f t="shared" ref="L8:L55" si="4">K8-J8</f>
        <v>-162000</v>
      </c>
      <c r="M8" s="576">
        <f t="shared" ref="M8:M23" si="5">K8/J8</f>
        <v>0.66297324173972383</v>
      </c>
    </row>
    <row r="9" spans="1:13" s="589" customFormat="1" ht="15" customHeight="1" x14ac:dyDescent="0.2">
      <c r="A9" s="585" t="s">
        <v>328</v>
      </c>
      <c r="B9" s="586">
        <v>2503106532</v>
      </c>
      <c r="C9" s="586">
        <v>2443130570</v>
      </c>
      <c r="D9" s="587">
        <f t="shared" si="0"/>
        <v>-59975962</v>
      </c>
      <c r="E9" s="588">
        <f t="shared" si="1"/>
        <v>0.97603938896197162</v>
      </c>
      <c r="F9" s="586"/>
      <c r="G9" s="586"/>
      <c r="H9" s="587">
        <f t="shared" si="2"/>
        <v>0</v>
      </c>
      <c r="I9" s="588">
        <v>0</v>
      </c>
      <c r="J9" s="583">
        <f t="shared" si="3"/>
        <v>2503106532</v>
      </c>
      <c r="K9" s="586">
        <f t="shared" si="3"/>
        <v>2443130570</v>
      </c>
      <c r="L9" s="587">
        <f t="shared" si="4"/>
        <v>-59975962</v>
      </c>
      <c r="M9" s="588">
        <f t="shared" si="5"/>
        <v>0.97603938896197162</v>
      </c>
    </row>
    <row r="10" spans="1:13" s="589" customFormat="1" ht="15" customHeight="1" x14ac:dyDescent="0.2">
      <c r="A10" s="585" t="s">
        <v>329</v>
      </c>
      <c r="B10" s="586">
        <v>34674069</v>
      </c>
      <c r="C10" s="586">
        <v>25955196</v>
      </c>
      <c r="D10" s="587">
        <f t="shared" si="0"/>
        <v>-8718873</v>
      </c>
      <c r="E10" s="588">
        <f t="shared" si="1"/>
        <v>0.74854774038778082</v>
      </c>
      <c r="F10" s="586">
        <v>1549548</v>
      </c>
      <c r="G10" s="586">
        <v>1026012</v>
      </c>
      <c r="H10" s="587">
        <f t="shared" si="2"/>
        <v>-523536</v>
      </c>
      <c r="I10" s="588">
        <v>0</v>
      </c>
      <c r="J10" s="583">
        <f t="shared" si="3"/>
        <v>36223617</v>
      </c>
      <c r="K10" s="586">
        <f t="shared" si="3"/>
        <v>26981208</v>
      </c>
      <c r="L10" s="587">
        <f t="shared" si="4"/>
        <v>-9242409</v>
      </c>
      <c r="M10" s="588">
        <f t="shared" si="5"/>
        <v>0.74485129411565942</v>
      </c>
    </row>
    <row r="11" spans="1:13" ht="15" customHeight="1" x14ac:dyDescent="0.2">
      <c r="A11" s="582" t="s">
        <v>330</v>
      </c>
      <c r="B11" s="583">
        <f>SUM(B9:B10)</f>
        <v>2537780601</v>
      </c>
      <c r="C11" s="583">
        <f>SUM(C9:C10)</f>
        <v>2469085766</v>
      </c>
      <c r="D11" s="575">
        <f t="shared" si="0"/>
        <v>-68694835</v>
      </c>
      <c r="E11" s="576">
        <f t="shared" si="1"/>
        <v>0.97293113716255408</v>
      </c>
      <c r="F11" s="584">
        <f>SUM(F9:F10)</f>
        <v>1549548</v>
      </c>
      <c r="G11" s="584">
        <f>SUM(G9:G10)</f>
        <v>1026012</v>
      </c>
      <c r="H11" s="575">
        <f t="shared" si="2"/>
        <v>-523536</v>
      </c>
      <c r="I11" s="576">
        <v>0</v>
      </c>
      <c r="J11" s="583">
        <f t="shared" si="3"/>
        <v>2539330149</v>
      </c>
      <c r="K11" s="584">
        <f t="shared" si="3"/>
        <v>2470111778</v>
      </c>
      <c r="L11" s="575">
        <f t="shared" si="4"/>
        <v>-69218371</v>
      </c>
      <c r="M11" s="576">
        <f t="shared" si="5"/>
        <v>0.97274148419524786</v>
      </c>
    </row>
    <row r="12" spans="1:13" s="589" customFormat="1" ht="15" customHeight="1" x14ac:dyDescent="0.2">
      <c r="A12" s="585" t="s">
        <v>331</v>
      </c>
      <c r="B12" s="586">
        <v>10000</v>
      </c>
      <c r="C12" s="586">
        <v>10000</v>
      </c>
      <c r="D12" s="587">
        <f t="shared" si="0"/>
        <v>0</v>
      </c>
      <c r="E12" s="588">
        <f t="shared" si="1"/>
        <v>1</v>
      </c>
      <c r="F12" s="586"/>
      <c r="G12" s="586"/>
      <c r="H12" s="587">
        <f t="shared" si="2"/>
        <v>0</v>
      </c>
      <c r="I12" s="588">
        <v>0</v>
      </c>
      <c r="J12" s="583">
        <f t="shared" si="3"/>
        <v>10000</v>
      </c>
      <c r="K12" s="586">
        <f t="shared" si="3"/>
        <v>10000</v>
      </c>
      <c r="L12" s="587">
        <f t="shared" si="4"/>
        <v>0</v>
      </c>
      <c r="M12" s="588">
        <f t="shared" si="5"/>
        <v>1</v>
      </c>
    </row>
    <row r="13" spans="1:13" ht="15" customHeight="1" x14ac:dyDescent="0.2">
      <c r="A13" s="582" t="s">
        <v>332</v>
      </c>
      <c r="B13" s="583">
        <f>SUM(B12)</f>
        <v>10000</v>
      </c>
      <c r="C13" s="583">
        <f>SUM(C12)</f>
        <v>10000</v>
      </c>
      <c r="D13" s="575">
        <f t="shared" si="0"/>
        <v>0</v>
      </c>
      <c r="E13" s="576">
        <f t="shared" si="1"/>
        <v>1</v>
      </c>
      <c r="F13" s="584"/>
      <c r="G13" s="584"/>
      <c r="H13" s="575">
        <f t="shared" si="2"/>
        <v>0</v>
      </c>
      <c r="I13" s="576">
        <v>0</v>
      </c>
      <c r="J13" s="583">
        <f t="shared" si="3"/>
        <v>10000</v>
      </c>
      <c r="K13" s="584">
        <f t="shared" si="3"/>
        <v>10000</v>
      </c>
      <c r="L13" s="575">
        <f t="shared" si="4"/>
        <v>0</v>
      </c>
      <c r="M13" s="576">
        <f t="shared" si="5"/>
        <v>1</v>
      </c>
    </row>
    <row r="14" spans="1:13" s="595" customFormat="1" ht="15" customHeight="1" x14ac:dyDescent="0.2">
      <c r="A14" s="590" t="s">
        <v>333</v>
      </c>
      <c r="B14" s="592">
        <f>B8+B11+B13</f>
        <v>2538271275</v>
      </c>
      <c r="C14" s="592">
        <f>C8+C11+C13</f>
        <v>2469414440</v>
      </c>
      <c r="D14" s="593">
        <f t="shared" si="0"/>
        <v>-68856835</v>
      </c>
      <c r="E14" s="594">
        <f t="shared" si="1"/>
        <v>0.972872546887251</v>
      </c>
      <c r="F14" s="592">
        <f>F8+F11+F13</f>
        <v>1549548</v>
      </c>
      <c r="G14" s="592">
        <f>G8+G11+G13</f>
        <v>1026012</v>
      </c>
      <c r="H14" s="593">
        <f t="shared" si="2"/>
        <v>-523536</v>
      </c>
      <c r="I14" s="594">
        <v>0</v>
      </c>
      <c r="J14" s="591">
        <f t="shared" si="3"/>
        <v>2539820823</v>
      </c>
      <c r="K14" s="591">
        <f>C14+G14</f>
        <v>2470440452</v>
      </c>
      <c r="L14" s="591">
        <f>D14+H14</f>
        <v>-69380371</v>
      </c>
      <c r="M14" s="594">
        <f t="shared" si="5"/>
        <v>0.97268296630545426</v>
      </c>
    </row>
    <row r="15" spans="1:13" ht="15" customHeight="1" x14ac:dyDescent="0.2">
      <c r="A15" s="596" t="s">
        <v>334</v>
      </c>
      <c r="B15" s="597">
        <v>58928098</v>
      </c>
      <c r="C15" s="597">
        <v>0</v>
      </c>
      <c r="D15" s="575">
        <f t="shared" si="0"/>
        <v>-58928098</v>
      </c>
      <c r="E15" s="598">
        <f t="shared" si="1"/>
        <v>0</v>
      </c>
      <c r="F15" s="584"/>
      <c r="G15" s="584"/>
      <c r="H15" s="575"/>
      <c r="I15" s="576"/>
      <c r="J15" s="583">
        <f t="shared" si="3"/>
        <v>58928098</v>
      </c>
      <c r="K15" s="599">
        <f>C15+G15</f>
        <v>0</v>
      </c>
      <c r="L15" s="575"/>
      <c r="M15" s="576"/>
    </row>
    <row r="16" spans="1:13" ht="15" customHeight="1" x14ac:dyDescent="0.2">
      <c r="A16" s="596" t="s">
        <v>335</v>
      </c>
      <c r="B16" s="597">
        <v>58928098</v>
      </c>
      <c r="C16" s="597">
        <v>0</v>
      </c>
      <c r="D16" s="575">
        <f>C16-B16</f>
        <v>-58928098</v>
      </c>
      <c r="E16" s="598">
        <f t="shared" si="1"/>
        <v>0</v>
      </c>
      <c r="F16" s="584"/>
      <c r="G16" s="584"/>
      <c r="H16" s="575"/>
      <c r="I16" s="576"/>
      <c r="J16" s="583">
        <f t="shared" si="3"/>
        <v>58928098</v>
      </c>
      <c r="K16" s="599">
        <f>C16+G16</f>
        <v>0</v>
      </c>
      <c r="L16" s="575"/>
      <c r="M16" s="576"/>
    </row>
    <row r="17" spans="1:14" ht="15" customHeight="1" x14ac:dyDescent="0.2">
      <c r="A17" s="596" t="s">
        <v>336</v>
      </c>
      <c r="B17" s="583">
        <f>SUM(B16)</f>
        <v>58928098</v>
      </c>
      <c r="C17" s="583">
        <f>SUM(C16)</f>
        <v>0</v>
      </c>
      <c r="D17" s="575">
        <f t="shared" si="0"/>
        <v>-58928098</v>
      </c>
      <c r="E17" s="598">
        <f t="shared" si="1"/>
        <v>0</v>
      </c>
      <c r="F17" s="584"/>
      <c r="G17" s="584"/>
      <c r="H17" s="575"/>
      <c r="I17" s="576"/>
      <c r="J17" s="583">
        <f t="shared" si="3"/>
        <v>58928098</v>
      </c>
      <c r="K17" s="599">
        <f>C17+G17</f>
        <v>0</v>
      </c>
      <c r="L17" s="575"/>
      <c r="M17" s="576"/>
    </row>
    <row r="18" spans="1:14" s="600" customFormat="1" ht="15" customHeight="1" x14ac:dyDescent="0.2">
      <c r="A18" s="590" t="s">
        <v>337</v>
      </c>
      <c r="B18" s="591">
        <f>B17</f>
        <v>58928098</v>
      </c>
      <c r="C18" s="591">
        <f t="shared" ref="C18:M18" si="6">C17</f>
        <v>0</v>
      </c>
      <c r="D18" s="591">
        <f t="shared" si="6"/>
        <v>-58928098</v>
      </c>
      <c r="E18" s="594">
        <f t="shared" si="1"/>
        <v>0</v>
      </c>
      <c r="F18" s="591">
        <f>F17</f>
        <v>0</v>
      </c>
      <c r="G18" s="591">
        <f t="shared" si="6"/>
        <v>0</v>
      </c>
      <c r="H18" s="591">
        <f t="shared" si="6"/>
        <v>0</v>
      </c>
      <c r="I18" s="591">
        <f t="shared" si="6"/>
        <v>0</v>
      </c>
      <c r="J18" s="591">
        <f t="shared" si="3"/>
        <v>58928098</v>
      </c>
      <c r="K18" s="591">
        <f t="shared" si="6"/>
        <v>0</v>
      </c>
      <c r="L18" s="591">
        <f t="shared" si="6"/>
        <v>0</v>
      </c>
      <c r="M18" s="591">
        <f t="shared" si="6"/>
        <v>0</v>
      </c>
    </row>
    <row r="19" spans="1:14" s="600" customFormat="1" ht="15" customHeight="1" x14ac:dyDescent="0.2">
      <c r="A19" s="631" t="s">
        <v>377</v>
      </c>
      <c r="B19" s="625">
        <v>0</v>
      </c>
      <c r="C19" s="625">
        <v>60000000</v>
      </c>
      <c r="D19" s="625"/>
      <c r="E19" s="626"/>
      <c r="F19" s="625"/>
      <c r="G19" s="625"/>
      <c r="H19" s="625"/>
      <c r="I19" s="627"/>
      <c r="J19" s="628"/>
      <c r="K19" s="625"/>
      <c r="L19" s="625"/>
      <c r="M19" s="630"/>
      <c r="N19" s="629"/>
    </row>
    <row r="20" spans="1:14" ht="15" customHeight="1" x14ac:dyDescent="0.2">
      <c r="A20" s="582" t="s">
        <v>338</v>
      </c>
      <c r="B20" s="584">
        <v>2335</v>
      </c>
      <c r="C20" s="584">
        <v>285765</v>
      </c>
      <c r="D20" s="575">
        <f t="shared" si="0"/>
        <v>283430</v>
      </c>
      <c r="E20" s="576">
        <f t="shared" si="1"/>
        <v>122.38329764453961</v>
      </c>
      <c r="F20" s="584">
        <v>7315</v>
      </c>
      <c r="G20" s="584">
        <v>23065</v>
      </c>
      <c r="H20" s="575">
        <f t="shared" si="2"/>
        <v>15750</v>
      </c>
      <c r="I20" s="576">
        <v>0</v>
      </c>
      <c r="J20" s="583">
        <f t="shared" si="3"/>
        <v>9650</v>
      </c>
      <c r="K20" s="584">
        <f t="shared" si="3"/>
        <v>308830</v>
      </c>
      <c r="L20" s="575">
        <f t="shared" si="4"/>
        <v>299180</v>
      </c>
      <c r="M20" s="576"/>
    </row>
    <row r="21" spans="1:14" ht="15" customHeight="1" x14ac:dyDescent="0.2">
      <c r="A21" s="582" t="s">
        <v>339</v>
      </c>
      <c r="B21" s="584">
        <v>51368160</v>
      </c>
      <c r="C21" s="584">
        <v>48265852</v>
      </c>
      <c r="D21" s="575">
        <f t="shared" si="0"/>
        <v>-3102308</v>
      </c>
      <c r="E21" s="576">
        <f t="shared" si="1"/>
        <v>0.93960640209810897</v>
      </c>
      <c r="F21" s="584">
        <v>1797854</v>
      </c>
      <c r="G21" s="584">
        <v>2568930</v>
      </c>
      <c r="H21" s="575">
        <f t="shared" si="2"/>
        <v>771076</v>
      </c>
      <c r="I21" s="576">
        <f>G21/F21</f>
        <v>1.4288868840295152</v>
      </c>
      <c r="J21" s="583">
        <f t="shared" si="3"/>
        <v>53166014</v>
      </c>
      <c r="K21" s="584">
        <f t="shared" si="3"/>
        <v>50834782</v>
      </c>
      <c r="L21" s="575">
        <f t="shared" si="4"/>
        <v>-2331232</v>
      </c>
      <c r="M21" s="576">
        <f t="shared" si="5"/>
        <v>0.95615183790155867</v>
      </c>
    </row>
    <row r="22" spans="1:14" s="600" customFormat="1" ht="15" customHeight="1" x14ac:dyDescent="0.2">
      <c r="A22" s="590" t="s">
        <v>340</v>
      </c>
      <c r="B22" s="592">
        <f>SUM(B19:B21)</f>
        <v>51370495</v>
      </c>
      <c r="C22" s="592">
        <f t="shared" ref="C22:H22" si="7">SUM(C19:C21)</f>
        <v>108551617</v>
      </c>
      <c r="D22" s="592">
        <f t="shared" si="7"/>
        <v>-2818878</v>
      </c>
      <c r="E22" s="632">
        <f>SUM(C22/B22)</f>
        <v>2.1131121473522887</v>
      </c>
      <c r="F22" s="592">
        <f t="shared" si="7"/>
        <v>1805169</v>
      </c>
      <c r="G22" s="592">
        <f t="shared" si="7"/>
        <v>2591995</v>
      </c>
      <c r="H22" s="592">
        <f t="shared" si="7"/>
        <v>786826</v>
      </c>
      <c r="I22" s="594">
        <f>G22/F22</f>
        <v>1.4358738710890782</v>
      </c>
      <c r="J22" s="591">
        <f t="shared" si="3"/>
        <v>53175664</v>
      </c>
      <c r="K22" s="592">
        <f t="shared" si="3"/>
        <v>111143612</v>
      </c>
      <c r="L22" s="593">
        <f t="shared" si="4"/>
        <v>57967948</v>
      </c>
      <c r="M22" s="594">
        <f t="shared" si="5"/>
        <v>2.090121751935246</v>
      </c>
    </row>
    <row r="23" spans="1:14" s="589" customFormat="1" ht="15" customHeight="1" x14ac:dyDescent="0.2">
      <c r="A23" s="585" t="s">
        <v>341</v>
      </c>
      <c r="B23" s="586">
        <v>19321813</v>
      </c>
      <c r="C23" s="586">
        <v>19321813</v>
      </c>
      <c r="D23" s="587">
        <f t="shared" si="0"/>
        <v>0</v>
      </c>
      <c r="E23" s="598">
        <f t="shared" si="1"/>
        <v>1</v>
      </c>
      <c r="F23" s="586"/>
      <c r="G23" s="586"/>
      <c r="H23" s="587">
        <f t="shared" si="2"/>
        <v>0</v>
      </c>
      <c r="I23" s="588">
        <v>0</v>
      </c>
      <c r="J23" s="583">
        <f t="shared" si="3"/>
        <v>19321813</v>
      </c>
      <c r="K23" s="586">
        <f t="shared" si="3"/>
        <v>19321813</v>
      </c>
      <c r="L23" s="587">
        <f t="shared" si="4"/>
        <v>0</v>
      </c>
      <c r="M23" s="588">
        <f t="shared" si="5"/>
        <v>1</v>
      </c>
    </row>
    <row r="24" spans="1:14" s="589" customFormat="1" ht="15" customHeight="1" x14ac:dyDescent="0.2">
      <c r="A24" s="585" t="s">
        <v>342</v>
      </c>
      <c r="B24" s="586">
        <v>129355</v>
      </c>
      <c r="C24" s="586">
        <v>129355</v>
      </c>
      <c r="D24" s="587">
        <f t="shared" si="0"/>
        <v>0</v>
      </c>
      <c r="E24" s="598">
        <f t="shared" si="1"/>
        <v>1</v>
      </c>
      <c r="F24" s="586"/>
      <c r="G24" s="586"/>
      <c r="H24" s="587">
        <f t="shared" si="2"/>
        <v>0</v>
      </c>
      <c r="I24" s="588">
        <v>0</v>
      </c>
      <c r="J24" s="583">
        <f t="shared" si="3"/>
        <v>129355</v>
      </c>
      <c r="K24" s="586">
        <f t="shared" si="3"/>
        <v>129355</v>
      </c>
      <c r="L24" s="587">
        <f t="shared" si="4"/>
        <v>0</v>
      </c>
      <c r="M24" s="588">
        <v>0</v>
      </c>
    </row>
    <row r="25" spans="1:14" s="589" customFormat="1" ht="15" customHeight="1" x14ac:dyDescent="0.2">
      <c r="A25" s="601" t="s">
        <v>343</v>
      </c>
      <c r="B25" s="602">
        <v>2518000</v>
      </c>
      <c r="C25" s="602">
        <v>377702</v>
      </c>
      <c r="D25" s="587">
        <f t="shared" si="0"/>
        <v>-2140298</v>
      </c>
      <c r="E25" s="598">
        <f t="shared" si="1"/>
        <v>0.15000079428117555</v>
      </c>
      <c r="F25" s="586"/>
      <c r="G25" s="586"/>
      <c r="H25" s="587"/>
      <c r="I25" s="588"/>
      <c r="J25" s="583">
        <f t="shared" si="3"/>
        <v>2518000</v>
      </c>
      <c r="K25" s="586"/>
      <c r="L25" s="587"/>
      <c r="M25" s="588"/>
    </row>
    <row r="26" spans="1:14" s="589" customFormat="1" ht="15" customHeight="1" x14ac:dyDescent="0.2">
      <c r="A26" s="601" t="s">
        <v>344</v>
      </c>
      <c r="B26" s="602">
        <v>4850000</v>
      </c>
      <c r="C26" s="602">
        <v>1650002</v>
      </c>
      <c r="D26" s="587">
        <f t="shared" si="0"/>
        <v>-3199998</v>
      </c>
      <c r="E26" s="598">
        <f t="shared" si="1"/>
        <v>0.34020659793814434</v>
      </c>
      <c r="F26" s="586"/>
      <c r="G26" s="586"/>
      <c r="H26" s="587"/>
      <c r="I26" s="588"/>
      <c r="J26" s="583">
        <f t="shared" si="3"/>
        <v>4850000</v>
      </c>
      <c r="K26" s="586"/>
      <c r="L26" s="587"/>
      <c r="M26" s="588"/>
    </row>
    <row r="27" spans="1:14" ht="15" customHeight="1" x14ac:dyDescent="0.2">
      <c r="A27" s="582" t="s">
        <v>345</v>
      </c>
      <c r="B27" s="583">
        <f>SUM(B23:B26)</f>
        <v>26819168</v>
      </c>
      <c r="C27" s="583">
        <f>SUM(C23:C26)</f>
        <v>21478872</v>
      </c>
      <c r="D27" s="587">
        <f t="shared" si="0"/>
        <v>-5340296</v>
      </c>
      <c r="E27" s="598">
        <f t="shared" si="1"/>
        <v>0.80087764094695257</v>
      </c>
      <c r="F27" s="584">
        <f>SUM(F23:F24)</f>
        <v>0</v>
      </c>
      <c r="G27" s="584">
        <f>SUM(G23:G24)</f>
        <v>0</v>
      </c>
      <c r="H27" s="575">
        <f t="shared" si="2"/>
        <v>0</v>
      </c>
      <c r="I27" s="576">
        <v>0</v>
      </c>
      <c r="J27" s="583">
        <f t="shared" si="3"/>
        <v>26819168</v>
      </c>
      <c r="K27" s="584">
        <f t="shared" si="3"/>
        <v>21478872</v>
      </c>
      <c r="L27" s="575">
        <f t="shared" si="4"/>
        <v>-5340296</v>
      </c>
      <c r="M27" s="576">
        <f>K27/J27</f>
        <v>0.80087764094695257</v>
      </c>
    </row>
    <row r="28" spans="1:14" s="589" customFormat="1" ht="15" customHeight="1" x14ac:dyDescent="0.2">
      <c r="A28" s="585" t="s">
        <v>346</v>
      </c>
      <c r="B28" s="586">
        <v>0</v>
      </c>
      <c r="C28" s="586">
        <v>0</v>
      </c>
      <c r="D28" s="587">
        <f t="shared" si="0"/>
        <v>0</v>
      </c>
      <c r="E28" s="588"/>
      <c r="F28" s="586">
        <v>0</v>
      </c>
      <c r="G28" s="586">
        <v>0</v>
      </c>
      <c r="H28" s="587">
        <f t="shared" si="2"/>
        <v>0</v>
      </c>
      <c r="I28" s="588">
        <v>0</v>
      </c>
      <c r="J28" s="583">
        <f t="shared" si="3"/>
        <v>0</v>
      </c>
      <c r="K28" s="586">
        <f t="shared" si="3"/>
        <v>0</v>
      </c>
      <c r="L28" s="587">
        <f t="shared" si="4"/>
        <v>0</v>
      </c>
      <c r="M28" s="588"/>
    </row>
    <row r="29" spans="1:14" s="589" customFormat="1" ht="15" customHeight="1" x14ac:dyDescent="0.2">
      <c r="A29" s="585" t="s">
        <v>347</v>
      </c>
      <c r="B29" s="586">
        <v>0</v>
      </c>
      <c r="C29" s="586">
        <v>0</v>
      </c>
      <c r="D29" s="587">
        <f t="shared" si="0"/>
        <v>0</v>
      </c>
      <c r="E29" s="588"/>
      <c r="F29" s="586">
        <v>0</v>
      </c>
      <c r="G29" s="586">
        <v>0</v>
      </c>
      <c r="H29" s="587">
        <f t="shared" si="2"/>
        <v>0</v>
      </c>
      <c r="I29" s="588">
        <v>0</v>
      </c>
      <c r="J29" s="583">
        <f t="shared" si="3"/>
        <v>0</v>
      </c>
      <c r="K29" s="586">
        <f t="shared" si="3"/>
        <v>0</v>
      </c>
      <c r="L29" s="587">
        <f t="shared" si="4"/>
        <v>0</v>
      </c>
      <c r="M29" s="588"/>
    </row>
    <row r="30" spans="1:14" s="589" customFormat="1" ht="15" customHeight="1" x14ac:dyDescent="0.2">
      <c r="A30" s="585" t="s">
        <v>348</v>
      </c>
      <c r="B30" s="586">
        <v>0</v>
      </c>
      <c r="C30" s="586">
        <v>0</v>
      </c>
      <c r="D30" s="587">
        <f t="shared" si="0"/>
        <v>0</v>
      </c>
      <c r="E30" s="588"/>
      <c r="F30" s="586"/>
      <c r="G30" s="586"/>
      <c r="H30" s="587">
        <f t="shared" si="2"/>
        <v>0</v>
      </c>
      <c r="I30" s="588">
        <v>0</v>
      </c>
      <c r="J30" s="583">
        <f t="shared" si="3"/>
        <v>0</v>
      </c>
      <c r="K30" s="586">
        <f t="shared" si="3"/>
        <v>0</v>
      </c>
      <c r="L30" s="587">
        <f t="shared" si="4"/>
        <v>0</v>
      </c>
      <c r="M30" s="588"/>
    </row>
    <row r="31" spans="1:14" s="589" customFormat="1" ht="15" customHeight="1" x14ac:dyDescent="0.2">
      <c r="A31" s="585" t="s">
        <v>349</v>
      </c>
      <c r="B31" s="586">
        <v>70000</v>
      </c>
      <c r="C31" s="586">
        <v>110000</v>
      </c>
      <c r="D31" s="587">
        <f t="shared" si="0"/>
        <v>40000</v>
      </c>
      <c r="E31" s="588">
        <f>C31/B31</f>
        <v>1.5714285714285714</v>
      </c>
      <c r="F31" s="586"/>
      <c r="G31" s="586"/>
      <c r="H31" s="587">
        <f t="shared" si="2"/>
        <v>0</v>
      </c>
      <c r="I31" s="588">
        <v>0</v>
      </c>
      <c r="J31" s="583">
        <f t="shared" si="3"/>
        <v>70000</v>
      </c>
      <c r="K31" s="586">
        <f t="shared" si="3"/>
        <v>110000</v>
      </c>
      <c r="L31" s="587">
        <f t="shared" si="4"/>
        <v>40000</v>
      </c>
      <c r="M31" s="588">
        <v>0</v>
      </c>
    </row>
    <row r="32" spans="1:14" s="589" customFormat="1" ht="15" customHeight="1" x14ac:dyDescent="0.2">
      <c r="A32" s="585" t="s">
        <v>350</v>
      </c>
      <c r="B32" s="586">
        <v>35076</v>
      </c>
      <c r="C32" s="586">
        <v>50175</v>
      </c>
      <c r="D32" s="587"/>
      <c r="E32" s="588"/>
      <c r="F32" s="586">
        <v>0</v>
      </c>
      <c r="G32" s="586">
        <v>24666</v>
      </c>
      <c r="H32" s="587"/>
      <c r="I32" s="588"/>
      <c r="J32" s="583">
        <f t="shared" si="3"/>
        <v>35076</v>
      </c>
      <c r="K32" s="586"/>
      <c r="L32" s="587"/>
      <c r="M32" s="588"/>
    </row>
    <row r="33" spans="1:13" ht="15" customHeight="1" x14ac:dyDescent="0.2">
      <c r="A33" s="582" t="s">
        <v>351</v>
      </c>
      <c r="B33" s="583">
        <f>SUM(B28+B31+B32)</f>
        <v>105076</v>
      </c>
      <c r="C33" s="583">
        <f>SUM(C28+C31+C32)</f>
        <v>160175</v>
      </c>
      <c r="D33" s="575">
        <f t="shared" si="0"/>
        <v>55099</v>
      </c>
      <c r="E33" s="576">
        <f>C33/B33</f>
        <v>1.5243728349004531</v>
      </c>
      <c r="F33" s="584">
        <f>F31+F28</f>
        <v>0</v>
      </c>
      <c r="G33" s="584">
        <f>G31+G28</f>
        <v>0</v>
      </c>
      <c r="H33" s="575">
        <f t="shared" si="2"/>
        <v>0</v>
      </c>
      <c r="I33" s="576">
        <v>0</v>
      </c>
      <c r="J33" s="583">
        <f t="shared" si="3"/>
        <v>105076</v>
      </c>
      <c r="K33" s="584">
        <f t="shared" si="3"/>
        <v>160175</v>
      </c>
      <c r="L33" s="575">
        <f t="shared" si="4"/>
        <v>55099</v>
      </c>
      <c r="M33" s="576">
        <f>K33/J33</f>
        <v>1.5243728349004531</v>
      </c>
    </row>
    <row r="34" spans="1:13" s="600" customFormat="1" ht="15" customHeight="1" x14ac:dyDescent="0.2">
      <c r="A34" s="590" t="s">
        <v>352</v>
      </c>
      <c r="B34" s="591">
        <f>B27+B33</f>
        <v>26924244</v>
      </c>
      <c r="C34" s="591">
        <f>C27+C33</f>
        <v>21639047</v>
      </c>
      <c r="D34" s="591">
        <f>D27+D33</f>
        <v>-5285197</v>
      </c>
      <c r="E34" s="594">
        <f>C34/B34</f>
        <v>0.8037011921300371</v>
      </c>
      <c r="F34" s="591">
        <f>SUM(F23:F33)</f>
        <v>0</v>
      </c>
      <c r="G34" s="591">
        <f>SUM(G23:G33)</f>
        <v>24666</v>
      </c>
      <c r="H34" s="593">
        <f t="shared" si="2"/>
        <v>24666</v>
      </c>
      <c r="I34" s="594">
        <v>0</v>
      </c>
      <c r="J34" s="603">
        <f t="shared" si="3"/>
        <v>26924244</v>
      </c>
      <c r="K34" s="592">
        <f t="shared" si="3"/>
        <v>21663713</v>
      </c>
      <c r="L34" s="593">
        <f t="shared" si="4"/>
        <v>-5260531</v>
      </c>
      <c r="M34" s="594">
        <f>K34/J34</f>
        <v>0.80461731813156945</v>
      </c>
    </row>
    <row r="35" spans="1:13" s="600" customFormat="1" ht="15" customHeight="1" x14ac:dyDescent="0.2">
      <c r="A35" s="590" t="s">
        <v>353</v>
      </c>
      <c r="B35" s="592">
        <v>0</v>
      </c>
      <c r="C35" s="592">
        <v>0</v>
      </c>
      <c r="D35" s="593">
        <f t="shared" si="0"/>
        <v>0</v>
      </c>
      <c r="E35" s="594"/>
      <c r="F35" s="592">
        <v>0</v>
      </c>
      <c r="G35" s="592">
        <v>0</v>
      </c>
      <c r="H35" s="593">
        <f t="shared" si="2"/>
        <v>0</v>
      </c>
      <c r="I35" s="594"/>
      <c r="J35" s="603">
        <f t="shared" si="3"/>
        <v>0</v>
      </c>
      <c r="K35" s="592">
        <f t="shared" si="3"/>
        <v>0</v>
      </c>
      <c r="L35" s="593">
        <f t="shared" si="4"/>
        <v>0</v>
      </c>
      <c r="M35" s="594"/>
    </row>
    <row r="36" spans="1:13" s="600" customFormat="1" ht="15" customHeight="1" x14ac:dyDescent="0.2">
      <c r="A36" s="590" t="s">
        <v>354</v>
      </c>
      <c r="B36" s="592">
        <v>0</v>
      </c>
      <c r="C36" s="592">
        <v>0</v>
      </c>
      <c r="D36" s="593">
        <f t="shared" si="0"/>
        <v>0</v>
      </c>
      <c r="E36" s="594">
        <v>0</v>
      </c>
      <c r="F36" s="592">
        <v>0</v>
      </c>
      <c r="G36" s="592">
        <v>0</v>
      </c>
      <c r="H36" s="593">
        <f t="shared" si="2"/>
        <v>0</v>
      </c>
      <c r="I36" s="594">
        <v>0</v>
      </c>
      <c r="J36" s="603">
        <f t="shared" si="3"/>
        <v>0</v>
      </c>
      <c r="K36" s="592">
        <f t="shared" si="3"/>
        <v>0</v>
      </c>
      <c r="L36" s="593">
        <f t="shared" si="4"/>
        <v>0</v>
      </c>
      <c r="M36" s="594">
        <v>0</v>
      </c>
    </row>
    <row r="37" spans="1:13" s="600" customFormat="1" ht="24" customHeight="1" x14ac:dyDescent="0.2">
      <c r="A37" s="604" t="s">
        <v>355</v>
      </c>
      <c r="B37" s="605">
        <f>B14+B18+B22+B34+B35+B36</f>
        <v>2675494112</v>
      </c>
      <c r="C37" s="605">
        <f>C14+C18+C22+C34+C35+C36</f>
        <v>2599605104</v>
      </c>
      <c r="D37" s="606">
        <f t="shared" si="0"/>
        <v>-75889008</v>
      </c>
      <c r="E37" s="607">
        <f>C37/B37</f>
        <v>0.97163551672207904</v>
      </c>
      <c r="F37" s="608">
        <f>F14+F18+F22+F34+F35+F36</f>
        <v>3354717</v>
      </c>
      <c r="G37" s="608">
        <f>G14+G18+G22+G34+G35+G36</f>
        <v>3642673</v>
      </c>
      <c r="H37" s="606">
        <f t="shared" si="2"/>
        <v>287956</v>
      </c>
      <c r="I37" s="607">
        <f>G37/F37</f>
        <v>1.0858361524981093</v>
      </c>
      <c r="J37" s="609">
        <f t="shared" si="3"/>
        <v>2678848829</v>
      </c>
      <c r="K37" s="608">
        <f t="shared" si="3"/>
        <v>2603247777</v>
      </c>
      <c r="L37" s="606">
        <f t="shared" si="4"/>
        <v>-75601052</v>
      </c>
      <c r="M37" s="607">
        <f>K37/J37</f>
        <v>0.97177852994854452</v>
      </c>
    </row>
    <row r="38" spans="1:13" ht="15" customHeight="1" x14ac:dyDescent="0.2">
      <c r="A38" s="582" t="s">
        <v>356</v>
      </c>
      <c r="B38" s="583">
        <v>3265082269</v>
      </c>
      <c r="C38" s="583">
        <v>3265082269</v>
      </c>
      <c r="D38" s="575">
        <f t="shared" si="0"/>
        <v>0</v>
      </c>
      <c r="E38" s="576">
        <f>C38/B38</f>
        <v>1</v>
      </c>
      <c r="F38" s="584">
        <v>0</v>
      </c>
      <c r="G38" s="584">
        <v>0</v>
      </c>
      <c r="H38" s="575">
        <f t="shared" si="2"/>
        <v>0</v>
      </c>
      <c r="I38" s="576">
        <v>0</v>
      </c>
      <c r="J38" s="583">
        <f t="shared" si="3"/>
        <v>3265082269</v>
      </c>
      <c r="K38" s="584">
        <f t="shared" si="3"/>
        <v>3265082269</v>
      </c>
      <c r="L38" s="575">
        <f t="shared" si="4"/>
        <v>0</v>
      </c>
      <c r="M38" s="576">
        <f>K38/J38</f>
        <v>1</v>
      </c>
    </row>
    <row r="39" spans="1:13" ht="15" customHeight="1" x14ac:dyDescent="0.2">
      <c r="A39" s="582" t="s">
        <v>357</v>
      </c>
      <c r="B39" s="583">
        <v>-499138</v>
      </c>
      <c r="C39" s="583">
        <v>-499138</v>
      </c>
      <c r="D39" s="575"/>
      <c r="E39" s="576"/>
      <c r="F39" s="584"/>
      <c r="G39" s="584"/>
      <c r="H39" s="575"/>
      <c r="I39" s="576"/>
      <c r="J39" s="583">
        <f t="shared" si="3"/>
        <v>-499138</v>
      </c>
      <c r="K39" s="584"/>
      <c r="L39" s="575"/>
      <c r="M39" s="576"/>
    </row>
    <row r="40" spans="1:13" ht="15" customHeight="1" x14ac:dyDescent="0.2">
      <c r="A40" s="582" t="s">
        <v>358</v>
      </c>
      <c r="B40" s="583">
        <v>100175544</v>
      </c>
      <c r="C40" s="583">
        <v>100175544</v>
      </c>
      <c r="D40" s="575">
        <f t="shared" si="0"/>
        <v>0</v>
      </c>
      <c r="E40" s="576">
        <f>C40/B40</f>
        <v>1</v>
      </c>
      <c r="F40" s="584">
        <v>1623216</v>
      </c>
      <c r="G40" s="584">
        <v>1623216</v>
      </c>
      <c r="H40" s="575">
        <f t="shared" si="2"/>
        <v>0</v>
      </c>
      <c r="I40" s="576">
        <f>G40/F40</f>
        <v>1</v>
      </c>
      <c r="J40" s="583">
        <f t="shared" si="3"/>
        <v>101798760</v>
      </c>
      <c r="K40" s="584">
        <f t="shared" si="3"/>
        <v>101798760</v>
      </c>
      <c r="L40" s="575">
        <f t="shared" si="4"/>
        <v>0</v>
      </c>
      <c r="M40" s="576">
        <f>K40/J40</f>
        <v>1</v>
      </c>
    </row>
    <row r="41" spans="1:13" ht="15" customHeight="1" x14ac:dyDescent="0.2">
      <c r="A41" s="582" t="s">
        <v>359</v>
      </c>
      <c r="B41" s="584">
        <v>-680734906</v>
      </c>
      <c r="C41" s="584">
        <v>-697001330</v>
      </c>
      <c r="D41" s="575">
        <f t="shared" si="0"/>
        <v>-16266424</v>
      </c>
      <c r="E41" s="576">
        <f>C41/B41</f>
        <v>1.0238953869658036</v>
      </c>
      <c r="F41" s="584">
        <v>1064810</v>
      </c>
      <c r="G41" s="584">
        <v>-592420</v>
      </c>
      <c r="H41" s="575">
        <f t="shared" si="2"/>
        <v>-1657230</v>
      </c>
      <c r="I41" s="576">
        <f>G41/F41</f>
        <v>-0.55636216789849835</v>
      </c>
      <c r="J41" s="583">
        <f t="shared" si="3"/>
        <v>-679670096</v>
      </c>
      <c r="K41" s="584">
        <f t="shared" si="3"/>
        <v>-697593750</v>
      </c>
      <c r="L41" s="575">
        <f t="shared" si="4"/>
        <v>-17923654</v>
      </c>
      <c r="M41" s="576">
        <f>K41/J41</f>
        <v>1.0263711087268432</v>
      </c>
    </row>
    <row r="42" spans="1:13" ht="15" customHeight="1" x14ac:dyDescent="0.2">
      <c r="A42" s="582" t="s">
        <v>360</v>
      </c>
      <c r="B42" s="584">
        <v>-16266424</v>
      </c>
      <c r="C42" s="584">
        <v>-73374685</v>
      </c>
      <c r="D42" s="575">
        <f t="shared" si="0"/>
        <v>-57108261</v>
      </c>
      <c r="E42" s="576">
        <v>0</v>
      </c>
      <c r="F42" s="584">
        <v>-1657230</v>
      </c>
      <c r="G42" s="584">
        <v>2611877</v>
      </c>
      <c r="H42" s="575">
        <f t="shared" si="2"/>
        <v>4269107</v>
      </c>
      <c r="I42" s="576">
        <v>0</v>
      </c>
      <c r="J42" s="583">
        <f t="shared" si="3"/>
        <v>-17923654</v>
      </c>
      <c r="K42" s="584">
        <f t="shared" si="3"/>
        <v>-70762808</v>
      </c>
      <c r="L42" s="575">
        <f t="shared" si="4"/>
        <v>-52839154</v>
      </c>
      <c r="M42" s="576">
        <v>0</v>
      </c>
    </row>
    <row r="43" spans="1:13" s="600" customFormat="1" ht="15" customHeight="1" x14ac:dyDescent="0.2">
      <c r="A43" s="590" t="s">
        <v>361</v>
      </c>
      <c r="B43" s="592">
        <f>SUM(B38:B42)</f>
        <v>2667757345</v>
      </c>
      <c r="C43" s="592">
        <f>SUM(C38:C42)</f>
        <v>2594382660</v>
      </c>
      <c r="D43" s="593">
        <f t="shared" si="0"/>
        <v>-73374685</v>
      </c>
      <c r="E43" s="594">
        <f>C43/B43</f>
        <v>0.97249574248665405</v>
      </c>
      <c r="F43" s="592">
        <f>SUM(F38:F42)</f>
        <v>1030796</v>
      </c>
      <c r="G43" s="592">
        <f>SUM(G38:G42)</f>
        <v>3642673</v>
      </c>
      <c r="H43" s="593">
        <f t="shared" si="2"/>
        <v>2611877</v>
      </c>
      <c r="I43" s="594">
        <f>G43/F43</f>
        <v>3.5338447180625456</v>
      </c>
      <c r="J43" s="591">
        <f t="shared" si="3"/>
        <v>2668788141</v>
      </c>
      <c r="K43" s="592">
        <f t="shared" si="3"/>
        <v>2598025333</v>
      </c>
      <c r="L43" s="593">
        <f t="shared" si="4"/>
        <v>-70762808</v>
      </c>
      <c r="M43" s="594">
        <f>K43/J43</f>
        <v>0.97348504105182176</v>
      </c>
    </row>
    <row r="44" spans="1:13" s="589" customFormat="1" ht="15" customHeight="1" x14ac:dyDescent="0.2">
      <c r="A44" s="585" t="s">
        <v>362</v>
      </c>
      <c r="B44" s="586">
        <v>0</v>
      </c>
      <c r="C44" s="586">
        <v>48895</v>
      </c>
      <c r="D44" s="587">
        <f t="shared" si="0"/>
        <v>48895</v>
      </c>
      <c r="E44" s="588">
        <v>0</v>
      </c>
      <c r="F44" s="586"/>
      <c r="G44" s="586"/>
      <c r="H44" s="587">
        <f t="shared" si="2"/>
        <v>0</v>
      </c>
      <c r="I44" s="588">
        <v>0</v>
      </c>
      <c r="J44" s="583">
        <f t="shared" si="3"/>
        <v>0</v>
      </c>
      <c r="K44" s="586">
        <f t="shared" si="3"/>
        <v>48895</v>
      </c>
      <c r="L44" s="587">
        <f t="shared" si="4"/>
        <v>48895</v>
      </c>
      <c r="M44" s="588">
        <v>0</v>
      </c>
    </row>
    <row r="45" spans="1:13" ht="15" customHeight="1" x14ac:dyDescent="0.2">
      <c r="A45" s="582" t="s">
        <v>363</v>
      </c>
      <c r="B45" s="584">
        <f>SUM(B44:B44)</f>
        <v>0</v>
      </c>
      <c r="C45" s="584">
        <f>SUM(C44:C44)</f>
        <v>48895</v>
      </c>
      <c r="D45" s="575">
        <f t="shared" si="0"/>
        <v>48895</v>
      </c>
      <c r="E45" s="576"/>
      <c r="F45" s="584">
        <f>SUM(F44:F44)</f>
        <v>0</v>
      </c>
      <c r="G45" s="584">
        <f>SUM(G44:G44)</f>
        <v>0</v>
      </c>
      <c r="H45" s="575">
        <f t="shared" si="2"/>
        <v>0</v>
      </c>
      <c r="I45" s="576">
        <v>0</v>
      </c>
      <c r="J45" s="583">
        <f t="shared" ref="J45:K55" si="8">B45+F45</f>
        <v>0</v>
      </c>
      <c r="K45" s="584">
        <f>SUM(K44:K44)</f>
        <v>48895</v>
      </c>
      <c r="L45" s="575">
        <f t="shared" si="4"/>
        <v>48895</v>
      </c>
      <c r="M45" s="576" t="e">
        <f>K45/J45</f>
        <v>#DIV/0!</v>
      </c>
    </row>
    <row r="46" spans="1:13" ht="15" customHeight="1" x14ac:dyDescent="0.2">
      <c r="A46" s="585" t="s">
        <v>364</v>
      </c>
      <c r="B46" s="584"/>
      <c r="C46" s="584"/>
      <c r="D46" s="575"/>
      <c r="E46" s="576"/>
      <c r="F46" s="584"/>
      <c r="G46" s="584"/>
      <c r="H46" s="575"/>
      <c r="I46" s="576"/>
      <c r="J46" s="583">
        <f t="shared" si="8"/>
        <v>0</v>
      </c>
      <c r="K46" s="584"/>
      <c r="L46" s="575"/>
      <c r="M46" s="576"/>
    </row>
    <row r="47" spans="1:13" s="589" customFormat="1" ht="24" x14ac:dyDescent="0.2">
      <c r="A47" s="585" t="s">
        <v>365</v>
      </c>
      <c r="B47" s="586">
        <v>4628285</v>
      </c>
      <c r="C47" s="586">
        <v>4792227</v>
      </c>
      <c r="D47" s="587">
        <f t="shared" si="0"/>
        <v>163942</v>
      </c>
      <c r="E47" s="588">
        <v>0</v>
      </c>
      <c r="F47" s="586"/>
      <c r="G47" s="586"/>
      <c r="H47" s="587">
        <f t="shared" si="2"/>
        <v>0</v>
      </c>
      <c r="I47" s="588">
        <v>0</v>
      </c>
      <c r="J47" s="583">
        <f t="shared" si="8"/>
        <v>4628285</v>
      </c>
      <c r="K47" s="586">
        <f t="shared" si="8"/>
        <v>4792227</v>
      </c>
      <c r="L47" s="587">
        <f t="shared" si="4"/>
        <v>163942</v>
      </c>
      <c r="M47" s="588">
        <v>0</v>
      </c>
    </row>
    <row r="48" spans="1:13" ht="15" customHeight="1" x14ac:dyDescent="0.2">
      <c r="A48" s="582" t="s">
        <v>366</v>
      </c>
      <c r="B48" s="583">
        <f>SUM(B46:B47)</f>
        <v>4628285</v>
      </c>
      <c r="C48" s="583">
        <f>SUM(C46:C47)</f>
        <v>4792227</v>
      </c>
      <c r="D48" s="575">
        <f t="shared" si="0"/>
        <v>163942</v>
      </c>
      <c r="E48" s="576">
        <v>0</v>
      </c>
      <c r="F48" s="584">
        <f>SUM(F47)</f>
        <v>0</v>
      </c>
      <c r="G48" s="584">
        <f>SUM(G47)</f>
        <v>0</v>
      </c>
      <c r="H48" s="575">
        <f t="shared" si="2"/>
        <v>0</v>
      </c>
      <c r="I48" s="576">
        <v>0</v>
      </c>
      <c r="J48" s="583">
        <f t="shared" si="8"/>
        <v>4628285</v>
      </c>
      <c r="K48" s="584">
        <f t="shared" si="8"/>
        <v>4792227</v>
      </c>
      <c r="L48" s="575">
        <f t="shared" si="4"/>
        <v>163942</v>
      </c>
      <c r="M48" s="576">
        <v>0</v>
      </c>
    </row>
    <row r="49" spans="1:13" ht="15" customHeight="1" x14ac:dyDescent="0.2">
      <c r="A49" s="582" t="s">
        <v>367</v>
      </c>
      <c r="B49" s="583">
        <v>714000</v>
      </c>
      <c r="C49" s="583">
        <v>5085</v>
      </c>
      <c r="D49" s="575"/>
      <c r="E49" s="576"/>
      <c r="F49" s="610"/>
      <c r="G49" s="610"/>
      <c r="H49" s="575"/>
      <c r="I49" s="576"/>
      <c r="J49" s="583">
        <f t="shared" si="8"/>
        <v>714000</v>
      </c>
      <c r="K49" s="584"/>
      <c r="L49" s="575"/>
      <c r="M49" s="576"/>
    </row>
    <row r="50" spans="1:13" ht="15" customHeight="1" x14ac:dyDescent="0.2">
      <c r="A50" s="582" t="s">
        <v>368</v>
      </c>
      <c r="B50" s="583">
        <v>72747</v>
      </c>
      <c r="C50" s="583">
        <v>85852</v>
      </c>
      <c r="D50" s="575"/>
      <c r="E50" s="576"/>
      <c r="F50" s="610"/>
      <c r="G50" s="610"/>
      <c r="H50" s="575"/>
      <c r="I50" s="576"/>
      <c r="J50" s="583">
        <f t="shared" si="8"/>
        <v>72747</v>
      </c>
      <c r="K50" s="584"/>
      <c r="L50" s="575"/>
      <c r="M50" s="576"/>
    </row>
    <row r="51" spans="1:13" s="600" customFormat="1" ht="15" customHeight="1" x14ac:dyDescent="0.2">
      <c r="A51" s="590" t="s">
        <v>369</v>
      </c>
      <c r="B51" s="591">
        <f>B45+B48+B50+B49</f>
        <v>5415032</v>
      </c>
      <c r="C51" s="591">
        <f>C45+C48+C50+C49</f>
        <v>4932059</v>
      </c>
      <c r="D51" s="593">
        <f t="shared" si="0"/>
        <v>-482973</v>
      </c>
      <c r="E51" s="594">
        <f>C51/B51</f>
        <v>0.91080883732543039</v>
      </c>
      <c r="F51" s="591">
        <f>F45+F48</f>
        <v>0</v>
      </c>
      <c r="G51" s="591">
        <f>G45+G48</f>
        <v>0</v>
      </c>
      <c r="H51" s="593">
        <f t="shared" si="2"/>
        <v>0</v>
      </c>
      <c r="I51" s="594">
        <v>0</v>
      </c>
      <c r="J51" s="603">
        <f t="shared" si="8"/>
        <v>5415032</v>
      </c>
      <c r="K51" s="592">
        <f t="shared" si="8"/>
        <v>4932059</v>
      </c>
      <c r="L51" s="593">
        <f t="shared" si="4"/>
        <v>-482973</v>
      </c>
      <c r="M51" s="594">
        <f>K51/J51</f>
        <v>0.91080883732543039</v>
      </c>
    </row>
    <row r="52" spans="1:13" s="600" customFormat="1" ht="15" customHeight="1" x14ac:dyDescent="0.2">
      <c r="A52" s="590" t="s">
        <v>370</v>
      </c>
      <c r="B52" s="592">
        <v>0</v>
      </c>
      <c r="C52" s="592">
        <v>0</v>
      </c>
      <c r="D52" s="593">
        <f t="shared" si="0"/>
        <v>0</v>
      </c>
      <c r="E52" s="594">
        <v>0</v>
      </c>
      <c r="F52" s="592">
        <v>0</v>
      </c>
      <c r="G52" s="592">
        <v>0</v>
      </c>
      <c r="H52" s="593">
        <f t="shared" si="2"/>
        <v>0</v>
      </c>
      <c r="I52" s="594">
        <v>0</v>
      </c>
      <c r="J52" s="603">
        <f t="shared" si="8"/>
        <v>0</v>
      </c>
      <c r="K52" s="592">
        <f t="shared" si="8"/>
        <v>0</v>
      </c>
      <c r="L52" s="593">
        <f t="shared" si="4"/>
        <v>0</v>
      </c>
      <c r="M52" s="594">
        <v>0</v>
      </c>
    </row>
    <row r="53" spans="1:13" s="589" customFormat="1" ht="15" customHeight="1" x14ac:dyDescent="0.2">
      <c r="A53" s="585" t="s">
        <v>371</v>
      </c>
      <c r="B53" s="586">
        <v>2321735</v>
      </c>
      <c r="C53" s="586">
        <v>300780</v>
      </c>
      <c r="D53" s="587">
        <f t="shared" si="0"/>
        <v>-2020955</v>
      </c>
      <c r="E53" s="588">
        <v>0</v>
      </c>
      <c r="F53" s="586">
        <v>2323921</v>
      </c>
      <c r="G53" s="586">
        <v>0</v>
      </c>
      <c r="H53" s="587">
        <f t="shared" si="2"/>
        <v>-2323921</v>
      </c>
      <c r="I53" s="588">
        <v>0</v>
      </c>
      <c r="J53" s="583">
        <f t="shared" si="8"/>
        <v>4645656</v>
      </c>
      <c r="K53" s="586">
        <f t="shared" si="8"/>
        <v>300780</v>
      </c>
      <c r="L53" s="587">
        <f t="shared" si="4"/>
        <v>-4344876</v>
      </c>
      <c r="M53" s="588">
        <v>0</v>
      </c>
    </row>
    <row r="54" spans="1:13" s="600" customFormat="1" ht="15" customHeight="1" x14ac:dyDescent="0.2">
      <c r="A54" s="590" t="s">
        <v>372</v>
      </c>
      <c r="B54" s="592">
        <f>SUM(B53)</f>
        <v>2321735</v>
      </c>
      <c r="C54" s="592">
        <f>SUM(C53)</f>
        <v>300780</v>
      </c>
      <c r="D54" s="593">
        <f t="shared" si="0"/>
        <v>-2020955</v>
      </c>
      <c r="E54" s="594">
        <v>0</v>
      </c>
      <c r="F54" s="592">
        <f>SUM(F53)</f>
        <v>2323921</v>
      </c>
      <c r="G54" s="592">
        <f>SUM(G53)</f>
        <v>0</v>
      </c>
      <c r="H54" s="593">
        <f t="shared" si="2"/>
        <v>-2323921</v>
      </c>
      <c r="I54" s="594">
        <v>0</v>
      </c>
      <c r="J54" s="603">
        <f t="shared" si="8"/>
        <v>4645656</v>
      </c>
      <c r="K54" s="592">
        <f t="shared" si="8"/>
        <v>300780</v>
      </c>
      <c r="L54" s="593">
        <f t="shared" si="4"/>
        <v>-4344876</v>
      </c>
      <c r="M54" s="594">
        <v>0</v>
      </c>
    </row>
    <row r="55" spans="1:13" s="600" customFormat="1" ht="27" customHeight="1" thickBot="1" x14ac:dyDescent="0.25">
      <c r="A55" s="611" t="s">
        <v>373</v>
      </c>
      <c r="B55" s="612">
        <f>B43+B51+B52+B54</f>
        <v>2675494112</v>
      </c>
      <c r="C55" s="612">
        <f>C43+C51+C52+C54</f>
        <v>2599615499</v>
      </c>
      <c r="D55" s="613">
        <f t="shared" si="0"/>
        <v>-75878613</v>
      </c>
      <c r="E55" s="614">
        <f>C55/B55</f>
        <v>0.97163940198572185</v>
      </c>
      <c r="F55" s="612">
        <f>F43+F51+F52+F54</f>
        <v>3354717</v>
      </c>
      <c r="G55" s="612">
        <f>G43+G51+G52+G54</f>
        <v>3642673</v>
      </c>
      <c r="H55" s="612">
        <f>H43+H51+H52+H54</f>
        <v>287956</v>
      </c>
      <c r="I55" s="612">
        <f>I43+I51+I52+I54</f>
        <v>3.5338447180625456</v>
      </c>
      <c r="J55" s="609">
        <f t="shared" si="8"/>
        <v>2678848829</v>
      </c>
      <c r="K55" s="615">
        <f t="shared" si="8"/>
        <v>2603258172</v>
      </c>
      <c r="L55" s="613">
        <f t="shared" si="4"/>
        <v>-75590657</v>
      </c>
      <c r="M55" s="614">
        <f>K55/J55</f>
        <v>0.97178241034667956</v>
      </c>
    </row>
  </sheetData>
  <mergeCells count="7">
    <mergeCell ref="I1:M1"/>
    <mergeCell ref="A2:M2"/>
    <mergeCell ref="A3:M3"/>
    <mergeCell ref="A5:A6"/>
    <mergeCell ref="B5:E5"/>
    <mergeCell ref="F5:I5"/>
    <mergeCell ref="J5:M5"/>
  </mergeCells>
  <pageMargins left="0.75" right="0.75" top="0.72" bottom="0.73" header="0.38" footer="0.38"/>
  <pageSetup paperSize="9" scale="57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517"/>
  <sheetViews>
    <sheetView zoomScaleNormal="100" workbookViewId="0">
      <selection activeCell="G33" sqref="G33"/>
    </sheetView>
  </sheetViews>
  <sheetFormatPr defaultColWidth="21.7109375" defaultRowHeight="12.75" x14ac:dyDescent="0.2"/>
  <cols>
    <col min="1" max="1" width="15" style="801" customWidth="1"/>
    <col min="2" max="2" width="67" style="801" customWidth="1"/>
    <col min="3" max="3" width="14.42578125" style="1073" customWidth="1"/>
    <col min="4" max="4" width="15.7109375" style="1135" customWidth="1"/>
    <col min="5" max="5" width="15.7109375" style="1136" customWidth="1"/>
    <col min="6" max="6" width="11.5703125" style="1032" customWidth="1"/>
    <col min="7" max="252" width="15.7109375" style="965" customWidth="1"/>
    <col min="253" max="253" width="17.140625" style="965" customWidth="1"/>
    <col min="254" max="254" width="73.140625" style="965" customWidth="1"/>
    <col min="255" max="255" width="16.42578125" style="965" customWidth="1"/>
    <col min="256" max="16384" width="21.7109375" style="965"/>
  </cols>
  <sheetData>
    <row r="1" spans="1:256" x14ac:dyDescent="0.2">
      <c r="A1" s="965" t="s">
        <v>228</v>
      </c>
      <c r="B1" s="1582" t="s">
        <v>1017</v>
      </c>
      <c r="C1" s="1582"/>
      <c r="D1" s="1582"/>
      <c r="E1" s="1582"/>
      <c r="F1" s="1582"/>
    </row>
    <row r="2" spans="1:256" x14ac:dyDescent="0.2">
      <c r="A2" s="965"/>
      <c r="B2" s="1029"/>
      <c r="C2" s="1030"/>
      <c r="D2" s="1030"/>
      <c r="E2" s="1031"/>
    </row>
    <row r="3" spans="1:256" x14ac:dyDescent="0.2">
      <c r="A3" s="1583" t="s">
        <v>843</v>
      </c>
      <c r="B3" s="1583"/>
      <c r="C3" s="1583"/>
      <c r="D3" s="1583"/>
      <c r="E3" s="1583"/>
      <c r="F3" s="1583"/>
    </row>
    <row r="4" spans="1:256" x14ac:dyDescent="0.2">
      <c r="A4" s="1033"/>
      <c r="B4" s="1033"/>
      <c r="C4" s="1034"/>
      <c r="D4" s="1034"/>
      <c r="E4" s="1031"/>
    </row>
    <row r="5" spans="1:256" x14ac:dyDescent="0.2">
      <c r="A5" s="1584" t="s">
        <v>165</v>
      </c>
      <c r="B5" s="1584"/>
      <c r="C5" s="1584"/>
      <c r="D5" s="1584"/>
      <c r="E5" s="1584"/>
      <c r="F5" s="1584"/>
      <c r="G5" s="1035"/>
      <c r="H5" s="1035"/>
      <c r="I5" s="1035"/>
      <c r="J5" s="1035"/>
      <c r="K5" s="1035"/>
      <c r="L5" s="1035"/>
      <c r="M5" s="1035"/>
      <c r="N5" s="1035"/>
      <c r="O5" s="1035"/>
      <c r="P5" s="1035"/>
      <c r="Q5" s="1035"/>
      <c r="R5" s="1035"/>
      <c r="S5" s="1035"/>
      <c r="T5" s="1035"/>
      <c r="U5" s="1035"/>
      <c r="V5" s="1035"/>
      <c r="W5" s="1035"/>
      <c r="X5" s="1035"/>
      <c r="Y5" s="1035"/>
      <c r="Z5" s="1035"/>
      <c r="AA5" s="1035"/>
      <c r="AB5" s="1035"/>
      <c r="AC5" s="1035"/>
      <c r="AD5" s="1035"/>
      <c r="AE5" s="1035"/>
      <c r="AF5" s="1035"/>
      <c r="AG5" s="1035"/>
      <c r="AH5" s="1035"/>
      <c r="AI5" s="1035"/>
      <c r="AJ5" s="1035"/>
      <c r="AK5" s="1035"/>
      <c r="AL5" s="1035"/>
      <c r="AM5" s="1035"/>
      <c r="AN5" s="1035"/>
      <c r="AO5" s="1035"/>
      <c r="AP5" s="1035"/>
      <c r="AQ5" s="1035"/>
      <c r="AR5" s="1035"/>
      <c r="AS5" s="1035"/>
      <c r="AT5" s="1035"/>
      <c r="AU5" s="1035"/>
      <c r="AV5" s="1035"/>
      <c r="AW5" s="1035"/>
      <c r="AX5" s="1035"/>
      <c r="AY5" s="1035"/>
      <c r="AZ5" s="1035"/>
      <c r="BA5" s="1035"/>
      <c r="BB5" s="1035"/>
      <c r="BC5" s="1035"/>
      <c r="BD5" s="1035"/>
      <c r="BE5" s="1035"/>
      <c r="BF5" s="1035"/>
      <c r="BG5" s="1035"/>
      <c r="BH5" s="1035"/>
      <c r="BI5" s="1035"/>
      <c r="BJ5" s="1035"/>
      <c r="BK5" s="1035"/>
      <c r="BL5" s="1035"/>
      <c r="BM5" s="1035"/>
      <c r="BN5" s="1035"/>
      <c r="BO5" s="1035"/>
      <c r="BP5" s="1035"/>
      <c r="BQ5" s="1035"/>
      <c r="BR5" s="1035"/>
      <c r="BS5" s="1035"/>
      <c r="BT5" s="1035"/>
      <c r="BU5" s="1035"/>
      <c r="BV5" s="1035"/>
      <c r="BW5" s="1035"/>
      <c r="BX5" s="1035"/>
      <c r="BY5" s="1035"/>
      <c r="BZ5" s="1035"/>
      <c r="CA5" s="1035"/>
      <c r="CB5" s="1035"/>
      <c r="CC5" s="1035"/>
      <c r="CD5" s="1035"/>
      <c r="CE5" s="1035"/>
      <c r="CF5" s="1035"/>
      <c r="CG5" s="1035"/>
      <c r="CH5" s="1035"/>
      <c r="CI5" s="1035"/>
      <c r="CJ5" s="1035"/>
      <c r="CK5" s="1035"/>
      <c r="CL5" s="1035"/>
      <c r="CM5" s="1035"/>
      <c r="CN5" s="1035"/>
      <c r="CO5" s="1035"/>
      <c r="CP5" s="1035"/>
      <c r="CQ5" s="1035"/>
      <c r="CR5" s="1035"/>
      <c r="CS5" s="1035"/>
      <c r="CT5" s="1035"/>
      <c r="CU5" s="1035"/>
      <c r="CV5" s="1035"/>
      <c r="CW5" s="1035"/>
      <c r="CX5" s="1035"/>
      <c r="CY5" s="1035"/>
      <c r="CZ5" s="1035"/>
      <c r="DA5" s="1035"/>
      <c r="DB5" s="1035"/>
      <c r="DC5" s="1035"/>
      <c r="DD5" s="1035"/>
      <c r="DE5" s="1035"/>
      <c r="DF5" s="1035"/>
      <c r="DG5" s="1035"/>
      <c r="DH5" s="1035"/>
      <c r="DI5" s="1035"/>
      <c r="DJ5" s="1035"/>
      <c r="DK5" s="1035"/>
      <c r="DL5" s="1035"/>
      <c r="DM5" s="1035"/>
      <c r="DN5" s="1035"/>
      <c r="DO5" s="1035"/>
      <c r="DP5" s="1035"/>
      <c r="DQ5" s="1035"/>
      <c r="DR5" s="1035"/>
      <c r="DS5" s="1035"/>
      <c r="DT5" s="1035"/>
      <c r="DU5" s="1035"/>
      <c r="DV5" s="1035"/>
      <c r="DW5" s="1035"/>
      <c r="DX5" s="1035"/>
      <c r="DY5" s="1035"/>
      <c r="DZ5" s="1035"/>
      <c r="EA5" s="1035"/>
      <c r="EB5" s="1035"/>
      <c r="EC5" s="1035"/>
      <c r="ED5" s="1035"/>
      <c r="EE5" s="1035"/>
      <c r="EF5" s="1035"/>
      <c r="EG5" s="1035"/>
      <c r="EH5" s="1035"/>
      <c r="EI5" s="1035"/>
      <c r="EJ5" s="1035"/>
      <c r="EK5" s="1035"/>
      <c r="EL5" s="1035"/>
      <c r="EM5" s="1035"/>
      <c r="EN5" s="1035"/>
      <c r="EO5" s="1035"/>
      <c r="EP5" s="1035"/>
      <c r="EQ5" s="1035"/>
      <c r="ER5" s="1035"/>
      <c r="ES5" s="1035"/>
      <c r="ET5" s="1035"/>
      <c r="EU5" s="1035"/>
      <c r="EV5" s="1035"/>
      <c r="EW5" s="1035"/>
      <c r="EX5" s="1035"/>
      <c r="EY5" s="1035"/>
      <c r="EZ5" s="1035"/>
      <c r="FA5" s="1035"/>
      <c r="FB5" s="1035"/>
      <c r="FC5" s="1035"/>
      <c r="FD5" s="1035"/>
      <c r="FE5" s="1035"/>
      <c r="FF5" s="1035"/>
      <c r="FG5" s="1035"/>
      <c r="FH5" s="1035"/>
      <c r="FI5" s="1035"/>
      <c r="FJ5" s="1035"/>
      <c r="FK5" s="1035"/>
      <c r="FL5" s="1035"/>
      <c r="FM5" s="1035"/>
      <c r="FN5" s="1035"/>
      <c r="FO5" s="1035"/>
      <c r="FP5" s="1035"/>
      <c r="FQ5" s="1035"/>
      <c r="FR5" s="1035"/>
      <c r="FS5" s="1035"/>
      <c r="FT5" s="1035"/>
      <c r="FU5" s="1035"/>
      <c r="FV5" s="1035"/>
      <c r="FW5" s="1035"/>
      <c r="FX5" s="1035"/>
      <c r="FY5" s="1035"/>
      <c r="FZ5" s="1035"/>
      <c r="GA5" s="1035"/>
      <c r="GB5" s="1035"/>
      <c r="GC5" s="1035"/>
      <c r="GD5" s="1035"/>
      <c r="GE5" s="1035"/>
      <c r="GF5" s="1035"/>
      <c r="GG5" s="1035"/>
      <c r="GH5" s="1035"/>
      <c r="GI5" s="1035"/>
      <c r="GJ5" s="1035"/>
      <c r="GK5" s="1035"/>
      <c r="GL5" s="1035"/>
      <c r="GM5" s="1035"/>
      <c r="GN5" s="1035"/>
      <c r="GO5" s="1035"/>
      <c r="GP5" s="1035"/>
      <c r="GQ5" s="1035"/>
      <c r="GR5" s="1035"/>
      <c r="GS5" s="1035"/>
      <c r="GT5" s="1035"/>
      <c r="GU5" s="1035"/>
      <c r="GV5" s="1035"/>
      <c r="GW5" s="1035"/>
      <c r="GX5" s="1035"/>
      <c r="GY5" s="1035"/>
      <c r="GZ5" s="1035"/>
      <c r="HA5" s="1035"/>
      <c r="HB5" s="1035"/>
      <c r="HC5" s="1035"/>
      <c r="HD5" s="1035"/>
      <c r="HE5" s="1035"/>
      <c r="HF5" s="1035"/>
      <c r="HG5" s="1035"/>
      <c r="HH5" s="1035"/>
      <c r="HI5" s="1035"/>
      <c r="HJ5" s="1035"/>
      <c r="HK5" s="1035"/>
      <c r="HL5" s="1035"/>
      <c r="HM5" s="1035"/>
      <c r="HN5" s="1035"/>
      <c r="HO5" s="1035"/>
      <c r="HP5" s="1035"/>
      <c r="HQ5" s="1035"/>
      <c r="HR5" s="1035"/>
      <c r="HS5" s="1035"/>
      <c r="HT5" s="1035"/>
      <c r="HU5" s="1035"/>
      <c r="HV5" s="1035"/>
      <c r="HW5" s="1035"/>
      <c r="HX5" s="1035"/>
      <c r="HY5" s="1035"/>
      <c r="HZ5" s="1035"/>
      <c r="IA5" s="1035"/>
      <c r="IB5" s="1035"/>
      <c r="IC5" s="1035"/>
      <c r="ID5" s="1035"/>
      <c r="IE5" s="1035"/>
      <c r="IF5" s="1035"/>
      <c r="IG5" s="1035"/>
      <c r="IH5" s="1035"/>
      <c r="II5" s="1035"/>
      <c r="IJ5" s="1035"/>
      <c r="IK5" s="1035"/>
      <c r="IL5" s="1035"/>
      <c r="IM5" s="1035"/>
      <c r="IN5" s="1035"/>
      <c r="IO5" s="1035"/>
      <c r="IP5" s="1035"/>
      <c r="IQ5" s="1035"/>
      <c r="IR5" s="1035"/>
      <c r="IS5" s="1035"/>
      <c r="IT5" s="1035"/>
      <c r="IU5" s="1035"/>
      <c r="IV5" s="1035"/>
    </row>
    <row r="6" spans="1:256" x14ac:dyDescent="0.2">
      <c r="A6" s="1036" t="s">
        <v>70</v>
      </c>
      <c r="B6" s="1037" t="s">
        <v>71</v>
      </c>
      <c r="C6" s="1038" t="s">
        <v>687</v>
      </c>
      <c r="D6" s="1038" t="s">
        <v>688</v>
      </c>
      <c r="E6" s="1039" t="s">
        <v>689</v>
      </c>
      <c r="F6" s="1040" t="s">
        <v>690</v>
      </c>
    </row>
    <row r="7" spans="1:256" x14ac:dyDescent="0.2">
      <c r="A7" s="1041" t="s">
        <v>517</v>
      </c>
      <c r="B7" s="1042" t="s">
        <v>691</v>
      </c>
      <c r="C7" s="1043">
        <v>0</v>
      </c>
      <c r="D7" s="1043">
        <v>0</v>
      </c>
      <c r="E7" s="1044">
        <v>66</v>
      </c>
      <c r="F7" s="1045">
        <f>D7/E7</f>
        <v>0</v>
      </c>
    </row>
    <row r="8" spans="1:256" x14ac:dyDescent="0.2">
      <c r="A8" s="1548" t="s">
        <v>124</v>
      </c>
      <c r="B8" s="1559"/>
      <c r="C8" s="1043">
        <f>SUM(C7)</f>
        <v>0</v>
      </c>
      <c r="D8" s="1043">
        <f>SUM(D7)</f>
        <v>0</v>
      </c>
      <c r="E8" s="1043">
        <f>SUM(E7)</f>
        <v>66</v>
      </c>
      <c r="F8" s="1045">
        <f>D8/E8</f>
        <v>0</v>
      </c>
    </row>
    <row r="9" spans="1:256" x14ac:dyDescent="0.2">
      <c r="A9" s="1549" t="s">
        <v>74</v>
      </c>
      <c r="B9" s="1575"/>
      <c r="C9" s="1046">
        <f>C8</f>
        <v>0</v>
      </c>
      <c r="D9" s="1046">
        <f>D8</f>
        <v>0</v>
      </c>
      <c r="E9" s="1046">
        <f>E8</f>
        <v>66</v>
      </c>
      <c r="F9" s="1047">
        <f>D9/E9</f>
        <v>0</v>
      </c>
    </row>
    <row r="10" spans="1:256" x14ac:dyDescent="0.2">
      <c r="A10" s="1041" t="s">
        <v>692</v>
      </c>
      <c r="B10" s="1042" t="s">
        <v>693</v>
      </c>
      <c r="C10" s="1048">
        <v>3475000</v>
      </c>
      <c r="D10" s="1048">
        <v>3583000</v>
      </c>
      <c r="E10" s="1049">
        <v>3581400</v>
      </c>
      <c r="F10" s="1045">
        <f>E10/D10</f>
        <v>0.99955344683226344</v>
      </c>
    </row>
    <row r="11" spans="1:256" x14ac:dyDescent="0.2">
      <c r="A11" s="1564" t="s">
        <v>166</v>
      </c>
      <c r="B11" s="1559"/>
      <c r="C11" s="1048">
        <f>SUM(C10:C10)</f>
        <v>3475000</v>
      </c>
      <c r="D11" s="1048">
        <f>SUM(D10:D10)</f>
        <v>3583000</v>
      </c>
      <c r="E11" s="1048">
        <f>SUM(E10:E10)</f>
        <v>3581400</v>
      </c>
      <c r="F11" s="1045">
        <f t="shared" ref="F11:F23" si="0">E11/D11</f>
        <v>0.99955344683226344</v>
      </c>
    </row>
    <row r="12" spans="1:256" x14ac:dyDescent="0.2">
      <c r="A12" s="1041" t="s">
        <v>694</v>
      </c>
      <c r="B12" s="1042" t="s">
        <v>72</v>
      </c>
      <c r="C12" s="1048">
        <v>609000</v>
      </c>
      <c r="D12" s="1048">
        <v>609000</v>
      </c>
      <c r="E12" s="1050">
        <v>581933</v>
      </c>
      <c r="F12" s="1045">
        <f t="shared" si="0"/>
        <v>0.95555500821018058</v>
      </c>
      <c r="G12" s="1051"/>
      <c r="H12" s="1051"/>
      <c r="I12" s="1051"/>
      <c r="J12" s="1051"/>
      <c r="K12" s="1051"/>
      <c r="L12" s="1051"/>
      <c r="M12" s="1051"/>
      <c r="N12" s="1051"/>
      <c r="O12" s="1051"/>
      <c r="P12" s="1051"/>
      <c r="Q12" s="1051"/>
      <c r="R12" s="1051"/>
      <c r="S12" s="1051"/>
      <c r="T12" s="1051"/>
      <c r="U12" s="1051"/>
      <c r="V12" s="1051"/>
      <c r="W12" s="1051"/>
      <c r="X12" s="1051"/>
      <c r="Y12" s="1051"/>
      <c r="Z12" s="1051"/>
      <c r="AA12" s="1051"/>
      <c r="AB12" s="1051"/>
      <c r="AC12" s="1051"/>
      <c r="AD12" s="1051"/>
      <c r="AE12" s="1051"/>
      <c r="AF12" s="1051"/>
      <c r="AG12" s="1051"/>
      <c r="AH12" s="1051"/>
      <c r="AI12" s="1051"/>
      <c r="AJ12" s="1051"/>
      <c r="AK12" s="1051"/>
      <c r="AL12" s="1051"/>
      <c r="AM12" s="1051"/>
      <c r="AN12" s="1051"/>
      <c r="AO12" s="1051"/>
      <c r="AP12" s="1051"/>
      <c r="AQ12" s="1051"/>
      <c r="AR12" s="1051"/>
      <c r="AS12" s="1051"/>
      <c r="AT12" s="1051"/>
      <c r="AU12" s="1051"/>
      <c r="AV12" s="1051"/>
      <c r="AW12" s="1051"/>
      <c r="AX12" s="1051"/>
      <c r="AY12" s="1051"/>
      <c r="AZ12" s="1051"/>
      <c r="BA12" s="1051"/>
      <c r="BB12" s="1051"/>
      <c r="BC12" s="1051"/>
      <c r="BD12" s="1051"/>
      <c r="BE12" s="1051"/>
      <c r="BF12" s="1051"/>
      <c r="BG12" s="1051"/>
      <c r="BH12" s="1051"/>
      <c r="BI12" s="1051"/>
      <c r="BJ12" s="1051"/>
      <c r="BK12" s="1051"/>
      <c r="BL12" s="1051"/>
      <c r="BM12" s="1051"/>
      <c r="BN12" s="1051"/>
      <c r="BO12" s="1051"/>
      <c r="BP12" s="1051"/>
      <c r="BQ12" s="1051"/>
      <c r="BR12" s="1051"/>
      <c r="BS12" s="1051"/>
      <c r="BT12" s="1051"/>
      <c r="BU12" s="1051"/>
      <c r="BV12" s="1051"/>
      <c r="BW12" s="1051"/>
      <c r="BX12" s="1051"/>
      <c r="BY12" s="1051"/>
      <c r="BZ12" s="1051"/>
      <c r="CA12" s="1051"/>
      <c r="CB12" s="1051"/>
      <c r="CC12" s="1051"/>
      <c r="CD12" s="1051"/>
      <c r="CE12" s="1051"/>
      <c r="CF12" s="1051"/>
      <c r="CG12" s="1051"/>
      <c r="CH12" s="1051"/>
      <c r="CI12" s="1051"/>
      <c r="CJ12" s="1051"/>
      <c r="CK12" s="1051"/>
      <c r="CL12" s="1051"/>
      <c r="CM12" s="1051"/>
      <c r="CN12" s="1051"/>
      <c r="CO12" s="1051"/>
      <c r="CP12" s="1051"/>
      <c r="CQ12" s="1051"/>
      <c r="CR12" s="1051"/>
      <c r="CS12" s="1051"/>
      <c r="CT12" s="1051"/>
      <c r="CU12" s="1051"/>
      <c r="CV12" s="1051"/>
      <c r="CW12" s="1051"/>
      <c r="CX12" s="1051"/>
      <c r="CY12" s="1051"/>
      <c r="CZ12" s="1051"/>
      <c r="DA12" s="1051"/>
      <c r="DB12" s="1051"/>
      <c r="DC12" s="1051"/>
      <c r="DD12" s="1051"/>
      <c r="DE12" s="1051"/>
      <c r="DF12" s="1051"/>
      <c r="DG12" s="1051"/>
      <c r="DH12" s="1051"/>
      <c r="DI12" s="1051"/>
      <c r="DJ12" s="1051"/>
      <c r="DK12" s="1051"/>
      <c r="DL12" s="1051"/>
      <c r="DM12" s="1051"/>
      <c r="DN12" s="1051"/>
      <c r="DO12" s="1051"/>
      <c r="DP12" s="1051"/>
      <c r="DQ12" s="1051"/>
      <c r="DR12" s="1051"/>
      <c r="DS12" s="1051"/>
      <c r="DT12" s="1051"/>
      <c r="DU12" s="1051"/>
      <c r="DV12" s="1051"/>
      <c r="DW12" s="1051"/>
      <c r="DX12" s="1051"/>
      <c r="DY12" s="1051"/>
      <c r="DZ12" s="1051"/>
      <c r="EA12" s="1051"/>
      <c r="EB12" s="1051"/>
      <c r="EC12" s="1051"/>
      <c r="ED12" s="1051"/>
      <c r="EE12" s="1051"/>
      <c r="EF12" s="1051"/>
      <c r="EG12" s="1051"/>
      <c r="EH12" s="1051"/>
      <c r="EI12" s="1051"/>
      <c r="EJ12" s="1051"/>
      <c r="EK12" s="1051"/>
      <c r="EL12" s="1051"/>
      <c r="EM12" s="1051"/>
      <c r="EN12" s="1051"/>
      <c r="EO12" s="1051"/>
      <c r="EP12" s="1051"/>
      <c r="EQ12" s="1051"/>
      <c r="ER12" s="1051"/>
      <c r="ES12" s="1051"/>
      <c r="ET12" s="1051"/>
      <c r="EU12" s="1051"/>
      <c r="EV12" s="1051"/>
      <c r="EW12" s="1051"/>
      <c r="EX12" s="1051"/>
      <c r="EY12" s="1051"/>
      <c r="EZ12" s="1051"/>
      <c r="FA12" s="1051"/>
      <c r="FB12" s="1051"/>
      <c r="FC12" s="1051"/>
      <c r="FD12" s="1051"/>
      <c r="FE12" s="1051"/>
      <c r="FF12" s="1051"/>
      <c r="FG12" s="1051"/>
      <c r="FH12" s="1051"/>
      <c r="FI12" s="1051"/>
      <c r="FJ12" s="1051"/>
      <c r="FK12" s="1051"/>
      <c r="FL12" s="1051"/>
      <c r="FM12" s="1051"/>
      <c r="FN12" s="1051"/>
      <c r="FO12" s="1051"/>
      <c r="FP12" s="1051"/>
      <c r="FQ12" s="1051"/>
      <c r="FR12" s="1051"/>
      <c r="FS12" s="1051"/>
      <c r="FT12" s="1051"/>
      <c r="FU12" s="1051"/>
      <c r="FV12" s="1051"/>
      <c r="FW12" s="1051"/>
      <c r="FX12" s="1051"/>
      <c r="FY12" s="1051"/>
      <c r="FZ12" s="1051"/>
      <c r="GA12" s="1051"/>
      <c r="GB12" s="1051"/>
      <c r="GC12" s="1051"/>
      <c r="GD12" s="1051"/>
      <c r="GE12" s="1051"/>
      <c r="GF12" s="1051"/>
      <c r="GG12" s="1051"/>
      <c r="GH12" s="1051"/>
      <c r="GI12" s="1051"/>
      <c r="GJ12" s="1051"/>
      <c r="GK12" s="1051"/>
      <c r="GL12" s="1051"/>
      <c r="GM12" s="1051"/>
      <c r="GN12" s="1051"/>
      <c r="GO12" s="1051"/>
      <c r="GP12" s="1051"/>
      <c r="GQ12" s="1051"/>
      <c r="GR12" s="1051"/>
      <c r="GS12" s="1051"/>
      <c r="GT12" s="1051"/>
      <c r="GU12" s="1051"/>
      <c r="GV12" s="1051"/>
      <c r="GW12" s="1051"/>
      <c r="GX12" s="1051"/>
      <c r="GY12" s="1051"/>
      <c r="GZ12" s="1051"/>
      <c r="HA12" s="1051"/>
      <c r="HB12" s="1051"/>
      <c r="HC12" s="1051"/>
      <c r="HD12" s="1051"/>
      <c r="HE12" s="1051"/>
      <c r="HF12" s="1051"/>
      <c r="HG12" s="1051"/>
      <c r="HH12" s="1051"/>
      <c r="HI12" s="1051"/>
      <c r="HJ12" s="1051"/>
      <c r="HK12" s="1051"/>
      <c r="HL12" s="1051"/>
      <c r="HM12" s="1051"/>
      <c r="HN12" s="1051"/>
      <c r="HO12" s="1051"/>
      <c r="HP12" s="1051"/>
      <c r="HQ12" s="1051"/>
      <c r="HR12" s="1051"/>
      <c r="HS12" s="1051"/>
      <c r="HT12" s="1051"/>
      <c r="HU12" s="1051"/>
      <c r="HV12" s="1051"/>
      <c r="HW12" s="1051"/>
      <c r="HX12" s="1051"/>
      <c r="HY12" s="1051"/>
      <c r="HZ12" s="1051"/>
      <c r="IA12" s="1051"/>
      <c r="IB12" s="1051"/>
      <c r="IC12" s="1051"/>
      <c r="ID12" s="1051"/>
      <c r="IE12" s="1051"/>
      <c r="IF12" s="1051"/>
      <c r="IG12" s="1051"/>
      <c r="IH12" s="1051"/>
      <c r="II12" s="1051"/>
      <c r="IJ12" s="1051"/>
      <c r="IK12" s="1051"/>
      <c r="IL12" s="1051"/>
      <c r="IM12" s="1051"/>
      <c r="IN12" s="1051"/>
      <c r="IO12" s="1051"/>
      <c r="IP12" s="1051"/>
      <c r="IQ12" s="1051"/>
      <c r="IR12" s="1051"/>
      <c r="IS12" s="1051"/>
      <c r="IT12" s="1051"/>
      <c r="IU12" s="1051"/>
      <c r="IV12" s="1051"/>
    </row>
    <row r="13" spans="1:256" x14ac:dyDescent="0.2">
      <c r="A13" s="1548" t="s">
        <v>94</v>
      </c>
      <c r="B13" s="1559"/>
      <c r="C13" s="1048">
        <f>SUM(C12)</f>
        <v>609000</v>
      </c>
      <c r="D13" s="1048">
        <f>SUM(D12)</f>
        <v>609000</v>
      </c>
      <c r="E13" s="1048">
        <f>SUM(E12)</f>
        <v>581933</v>
      </c>
      <c r="F13" s="1045">
        <f t="shared" si="0"/>
        <v>0.95555500821018058</v>
      </c>
    </row>
    <row r="14" spans="1:256" x14ac:dyDescent="0.2">
      <c r="A14" s="1041" t="s">
        <v>695</v>
      </c>
      <c r="B14" s="1042" t="s">
        <v>235</v>
      </c>
      <c r="C14" s="1048">
        <v>20000</v>
      </c>
      <c r="D14" s="1043">
        <v>20000</v>
      </c>
      <c r="E14" s="1052">
        <v>0</v>
      </c>
      <c r="F14" s="1045">
        <f t="shared" si="0"/>
        <v>0</v>
      </c>
    </row>
    <row r="15" spans="1:256" x14ac:dyDescent="0.2">
      <c r="A15" s="1041" t="s">
        <v>696</v>
      </c>
      <c r="B15" s="1042" t="s">
        <v>184</v>
      </c>
      <c r="C15" s="1048">
        <v>12000</v>
      </c>
      <c r="D15" s="1043">
        <v>37000</v>
      </c>
      <c r="E15" s="1052">
        <v>35577</v>
      </c>
      <c r="F15" s="1045">
        <f t="shared" si="0"/>
        <v>0.9615405405405405</v>
      </c>
    </row>
    <row r="16" spans="1:256" x14ac:dyDescent="0.2">
      <c r="A16" s="1041" t="s">
        <v>696</v>
      </c>
      <c r="B16" s="1042" t="s">
        <v>89</v>
      </c>
      <c r="C16" s="1048">
        <v>100000</v>
      </c>
      <c r="D16" s="1043">
        <v>100000</v>
      </c>
      <c r="E16" s="1052">
        <v>84466</v>
      </c>
      <c r="F16" s="1045">
        <f t="shared" si="0"/>
        <v>0.84465999999999997</v>
      </c>
    </row>
    <row r="17" spans="1:256" x14ac:dyDescent="0.2">
      <c r="A17" s="1041" t="s">
        <v>697</v>
      </c>
      <c r="B17" s="1042" t="s">
        <v>603</v>
      </c>
      <c r="C17" s="1048">
        <v>350000</v>
      </c>
      <c r="D17" s="1053">
        <v>350000</v>
      </c>
      <c r="E17" s="1052">
        <v>65000</v>
      </c>
      <c r="F17" s="1045">
        <f t="shared" si="0"/>
        <v>0.18571428571428572</v>
      </c>
    </row>
    <row r="18" spans="1:256" x14ac:dyDescent="0.2">
      <c r="A18" s="1041" t="s">
        <v>698</v>
      </c>
      <c r="B18" s="1042" t="s">
        <v>699</v>
      </c>
      <c r="C18" s="1048">
        <v>150000</v>
      </c>
      <c r="D18" s="1053">
        <v>150000</v>
      </c>
      <c r="E18" s="1052">
        <v>260</v>
      </c>
      <c r="F18" s="1045">
        <f t="shared" si="0"/>
        <v>1.7333333333333333E-3</v>
      </c>
    </row>
    <row r="19" spans="1:256" x14ac:dyDescent="0.2">
      <c r="A19" s="1054" t="s">
        <v>700</v>
      </c>
      <c r="B19" s="1054" t="s">
        <v>91</v>
      </c>
      <c r="C19" s="1055">
        <v>468000</v>
      </c>
      <c r="D19" s="1053">
        <v>360000</v>
      </c>
      <c r="E19" s="1052">
        <v>358996</v>
      </c>
      <c r="F19" s="1045">
        <f t="shared" si="0"/>
        <v>0.99721111111111116</v>
      </c>
    </row>
    <row r="20" spans="1:256" x14ac:dyDescent="0.2">
      <c r="A20" s="1056" t="s">
        <v>701</v>
      </c>
      <c r="B20" s="1057" t="s">
        <v>702</v>
      </c>
      <c r="C20" s="1048">
        <v>100000</v>
      </c>
      <c r="D20" s="1058">
        <v>100000</v>
      </c>
      <c r="E20" s="1052">
        <v>0</v>
      </c>
      <c r="F20" s="1045">
        <f t="shared" si="0"/>
        <v>0</v>
      </c>
    </row>
    <row r="21" spans="1:256" x14ac:dyDescent="0.2">
      <c r="A21" s="1041" t="s">
        <v>703</v>
      </c>
      <c r="B21" s="1042" t="s">
        <v>557</v>
      </c>
      <c r="C21" s="1059">
        <v>199000</v>
      </c>
      <c r="D21" s="1050">
        <v>199000</v>
      </c>
      <c r="E21" s="1052">
        <v>24584</v>
      </c>
      <c r="F21" s="1045">
        <f t="shared" si="0"/>
        <v>0.12353768844221105</v>
      </c>
      <c r="G21" s="1051"/>
      <c r="H21" s="1051"/>
      <c r="I21" s="1051"/>
      <c r="J21" s="1051"/>
      <c r="K21" s="1051"/>
      <c r="L21" s="1051"/>
      <c r="M21" s="1051"/>
      <c r="N21" s="1051"/>
      <c r="O21" s="1051"/>
      <c r="P21" s="1051"/>
      <c r="Q21" s="1051"/>
      <c r="R21" s="1051"/>
      <c r="S21" s="1051"/>
      <c r="T21" s="1051"/>
      <c r="U21" s="1051"/>
      <c r="V21" s="1051"/>
      <c r="W21" s="1051"/>
      <c r="X21" s="1051"/>
      <c r="Y21" s="1051"/>
      <c r="Z21" s="1051"/>
      <c r="AA21" s="1051"/>
      <c r="AB21" s="1051"/>
      <c r="AC21" s="1051"/>
      <c r="AD21" s="1051"/>
      <c r="AE21" s="1051"/>
      <c r="AF21" s="1051"/>
      <c r="AG21" s="1051"/>
      <c r="AH21" s="1051"/>
      <c r="AI21" s="1051"/>
      <c r="AJ21" s="1051"/>
      <c r="AK21" s="1051"/>
      <c r="AL21" s="1051"/>
      <c r="AM21" s="1051"/>
      <c r="AN21" s="1051"/>
      <c r="AO21" s="1051"/>
      <c r="AP21" s="1051"/>
      <c r="AQ21" s="1051"/>
      <c r="AR21" s="1051"/>
      <c r="AS21" s="1051"/>
      <c r="AT21" s="1051"/>
      <c r="AU21" s="1051"/>
      <c r="AV21" s="1051"/>
      <c r="AW21" s="1051"/>
      <c r="AX21" s="1051"/>
      <c r="AY21" s="1051"/>
      <c r="AZ21" s="1051"/>
      <c r="BA21" s="1051"/>
      <c r="BB21" s="1051"/>
      <c r="BC21" s="1051"/>
      <c r="BD21" s="1051"/>
      <c r="BE21" s="1051"/>
      <c r="BF21" s="1051"/>
      <c r="BG21" s="1051"/>
      <c r="BH21" s="1051"/>
      <c r="BI21" s="1051"/>
      <c r="BJ21" s="1051"/>
      <c r="BK21" s="1051"/>
      <c r="BL21" s="1051"/>
      <c r="BM21" s="1051"/>
      <c r="BN21" s="1051"/>
      <c r="BO21" s="1051"/>
      <c r="BP21" s="1051"/>
      <c r="BQ21" s="1051"/>
      <c r="BR21" s="1051"/>
      <c r="BS21" s="1051"/>
      <c r="BT21" s="1051"/>
      <c r="BU21" s="1051"/>
      <c r="BV21" s="1051"/>
      <c r="BW21" s="1051"/>
      <c r="BX21" s="1051"/>
      <c r="BY21" s="1051"/>
      <c r="BZ21" s="1051"/>
      <c r="CA21" s="1051"/>
      <c r="CB21" s="1051"/>
      <c r="CC21" s="1051"/>
      <c r="CD21" s="1051"/>
      <c r="CE21" s="1051"/>
      <c r="CF21" s="1051"/>
      <c r="CG21" s="1051"/>
      <c r="CH21" s="1051"/>
      <c r="CI21" s="1051"/>
      <c r="CJ21" s="1051"/>
      <c r="CK21" s="1051"/>
      <c r="CL21" s="1051"/>
      <c r="CM21" s="1051"/>
      <c r="CN21" s="1051"/>
      <c r="CO21" s="1051"/>
      <c r="CP21" s="1051"/>
      <c r="CQ21" s="1051"/>
      <c r="CR21" s="1051"/>
      <c r="CS21" s="1051"/>
      <c r="CT21" s="1051"/>
      <c r="CU21" s="1051"/>
      <c r="CV21" s="1051"/>
      <c r="CW21" s="1051"/>
      <c r="CX21" s="1051"/>
      <c r="CY21" s="1051"/>
      <c r="CZ21" s="1051"/>
      <c r="DA21" s="1051"/>
      <c r="DB21" s="1051"/>
      <c r="DC21" s="1051"/>
      <c r="DD21" s="1051"/>
      <c r="DE21" s="1051"/>
      <c r="DF21" s="1051"/>
      <c r="DG21" s="1051"/>
      <c r="DH21" s="1051"/>
      <c r="DI21" s="1051"/>
      <c r="DJ21" s="1051"/>
      <c r="DK21" s="1051"/>
      <c r="DL21" s="1051"/>
      <c r="DM21" s="1051"/>
      <c r="DN21" s="1051"/>
      <c r="DO21" s="1051"/>
      <c r="DP21" s="1051"/>
      <c r="DQ21" s="1051"/>
      <c r="DR21" s="1051"/>
      <c r="DS21" s="1051"/>
      <c r="DT21" s="1051"/>
      <c r="DU21" s="1051"/>
      <c r="DV21" s="1051"/>
      <c r="DW21" s="1051"/>
      <c r="DX21" s="1051"/>
      <c r="DY21" s="1051"/>
      <c r="DZ21" s="1051"/>
      <c r="EA21" s="1051"/>
      <c r="EB21" s="1051"/>
      <c r="EC21" s="1051"/>
      <c r="ED21" s="1051"/>
      <c r="EE21" s="1051"/>
      <c r="EF21" s="1051"/>
      <c r="EG21" s="1051"/>
      <c r="EH21" s="1051"/>
      <c r="EI21" s="1051"/>
      <c r="EJ21" s="1051"/>
      <c r="EK21" s="1051"/>
      <c r="EL21" s="1051"/>
      <c r="EM21" s="1051"/>
      <c r="EN21" s="1051"/>
      <c r="EO21" s="1051"/>
      <c r="EP21" s="1051"/>
      <c r="EQ21" s="1051"/>
      <c r="ER21" s="1051"/>
      <c r="ES21" s="1051"/>
      <c r="ET21" s="1051"/>
      <c r="EU21" s="1051"/>
      <c r="EV21" s="1051"/>
      <c r="EW21" s="1051"/>
      <c r="EX21" s="1051"/>
      <c r="EY21" s="1051"/>
      <c r="EZ21" s="1051"/>
      <c r="FA21" s="1051"/>
      <c r="FB21" s="1051"/>
      <c r="FC21" s="1051"/>
      <c r="FD21" s="1051"/>
      <c r="FE21" s="1051"/>
      <c r="FF21" s="1051"/>
      <c r="FG21" s="1051"/>
      <c r="FH21" s="1051"/>
      <c r="FI21" s="1051"/>
      <c r="FJ21" s="1051"/>
      <c r="FK21" s="1051"/>
      <c r="FL21" s="1051"/>
      <c r="FM21" s="1051"/>
      <c r="FN21" s="1051"/>
      <c r="FO21" s="1051"/>
      <c r="FP21" s="1051"/>
      <c r="FQ21" s="1051"/>
      <c r="FR21" s="1051"/>
      <c r="FS21" s="1051"/>
      <c r="FT21" s="1051"/>
      <c r="FU21" s="1051"/>
      <c r="FV21" s="1051"/>
      <c r="FW21" s="1051"/>
      <c r="FX21" s="1051"/>
      <c r="FY21" s="1051"/>
      <c r="FZ21" s="1051"/>
      <c r="GA21" s="1051"/>
      <c r="GB21" s="1051"/>
      <c r="GC21" s="1051"/>
      <c r="GD21" s="1051"/>
      <c r="GE21" s="1051"/>
      <c r="GF21" s="1051"/>
      <c r="GG21" s="1051"/>
      <c r="GH21" s="1051"/>
      <c r="GI21" s="1051"/>
      <c r="GJ21" s="1051"/>
      <c r="GK21" s="1051"/>
      <c r="GL21" s="1051"/>
      <c r="GM21" s="1051"/>
      <c r="GN21" s="1051"/>
      <c r="GO21" s="1051"/>
      <c r="GP21" s="1051"/>
      <c r="GQ21" s="1051"/>
      <c r="GR21" s="1051"/>
      <c r="GS21" s="1051"/>
      <c r="GT21" s="1051"/>
      <c r="GU21" s="1051"/>
      <c r="GV21" s="1051"/>
      <c r="GW21" s="1051"/>
      <c r="GX21" s="1051"/>
      <c r="GY21" s="1051"/>
      <c r="GZ21" s="1051"/>
      <c r="HA21" s="1051"/>
      <c r="HB21" s="1051"/>
      <c r="HC21" s="1051"/>
      <c r="HD21" s="1051"/>
      <c r="HE21" s="1051"/>
      <c r="HF21" s="1051"/>
      <c r="HG21" s="1051"/>
      <c r="HH21" s="1051"/>
      <c r="HI21" s="1051"/>
      <c r="HJ21" s="1051"/>
      <c r="HK21" s="1051"/>
      <c r="HL21" s="1051"/>
      <c r="HM21" s="1051"/>
      <c r="HN21" s="1051"/>
      <c r="HO21" s="1051"/>
      <c r="HP21" s="1051"/>
      <c r="HQ21" s="1051"/>
      <c r="HR21" s="1051"/>
      <c r="HS21" s="1051"/>
      <c r="HT21" s="1051"/>
      <c r="HU21" s="1051"/>
      <c r="HV21" s="1051"/>
      <c r="HW21" s="1051"/>
      <c r="HX21" s="1051"/>
      <c r="HY21" s="1051"/>
      <c r="HZ21" s="1051"/>
      <c r="IA21" s="1051"/>
      <c r="IB21" s="1051"/>
      <c r="IC21" s="1051"/>
      <c r="ID21" s="1051"/>
      <c r="IE21" s="1051"/>
      <c r="IF21" s="1051"/>
      <c r="IG21" s="1051"/>
      <c r="IH21" s="1051"/>
      <c r="II21" s="1051"/>
      <c r="IJ21" s="1051"/>
      <c r="IK21" s="1051"/>
      <c r="IL21" s="1051"/>
      <c r="IM21" s="1051"/>
      <c r="IN21" s="1051"/>
      <c r="IO21" s="1051"/>
      <c r="IP21" s="1051"/>
      <c r="IQ21" s="1051"/>
      <c r="IR21" s="1051"/>
      <c r="IS21" s="1051"/>
      <c r="IT21" s="1051"/>
      <c r="IU21" s="1051"/>
      <c r="IV21" s="1051"/>
    </row>
    <row r="22" spans="1:256" x14ac:dyDescent="0.2">
      <c r="A22" s="1548" t="s">
        <v>168</v>
      </c>
      <c r="B22" s="1559"/>
      <c r="C22" s="1048">
        <f>SUM(C14:C21)</f>
        <v>1399000</v>
      </c>
      <c r="D22" s="1048">
        <f>SUM(D14:D21)</f>
        <v>1316000</v>
      </c>
      <c r="E22" s="1048">
        <f>SUM(E14:E21)</f>
        <v>568883</v>
      </c>
      <c r="F22" s="1045">
        <f t="shared" si="0"/>
        <v>0.432281914893617</v>
      </c>
      <c r="G22" s="1051"/>
      <c r="H22" s="1051"/>
      <c r="I22" s="1051"/>
      <c r="J22" s="1051"/>
      <c r="K22" s="1051"/>
      <c r="L22" s="1051"/>
      <c r="M22" s="1051"/>
      <c r="N22" s="1051"/>
      <c r="O22" s="1051"/>
      <c r="P22" s="1051"/>
      <c r="Q22" s="1051"/>
      <c r="R22" s="1051"/>
      <c r="S22" s="1051"/>
      <c r="T22" s="1051"/>
      <c r="U22" s="1051"/>
      <c r="V22" s="1051"/>
      <c r="W22" s="1051"/>
      <c r="X22" s="1051"/>
      <c r="Y22" s="1051"/>
      <c r="Z22" s="1051"/>
      <c r="AA22" s="1051"/>
      <c r="AB22" s="1051"/>
      <c r="AC22" s="1051"/>
      <c r="AD22" s="1051"/>
      <c r="AE22" s="1051"/>
      <c r="AF22" s="1051"/>
      <c r="AG22" s="1051"/>
      <c r="AH22" s="1051"/>
      <c r="AI22" s="1051"/>
      <c r="AJ22" s="1051"/>
      <c r="AK22" s="1051"/>
      <c r="AL22" s="1051"/>
      <c r="AM22" s="1051"/>
      <c r="AN22" s="1051"/>
      <c r="AO22" s="1051"/>
      <c r="AP22" s="1051"/>
      <c r="AQ22" s="1051"/>
      <c r="AR22" s="1051"/>
      <c r="AS22" s="1051"/>
      <c r="AT22" s="1051"/>
      <c r="AU22" s="1051"/>
      <c r="AV22" s="1051"/>
      <c r="AW22" s="1051"/>
      <c r="AX22" s="1051"/>
      <c r="AY22" s="1051"/>
      <c r="AZ22" s="1051"/>
      <c r="BA22" s="1051"/>
      <c r="BB22" s="1051"/>
      <c r="BC22" s="1051"/>
      <c r="BD22" s="1051"/>
      <c r="BE22" s="1051"/>
      <c r="BF22" s="1051"/>
      <c r="BG22" s="1051"/>
      <c r="BH22" s="1051"/>
      <c r="BI22" s="1051"/>
      <c r="BJ22" s="1051"/>
      <c r="BK22" s="1051"/>
      <c r="BL22" s="1051"/>
      <c r="BM22" s="1051"/>
      <c r="BN22" s="1051"/>
      <c r="BO22" s="1051"/>
      <c r="BP22" s="1051"/>
      <c r="BQ22" s="1051"/>
      <c r="BR22" s="1051"/>
      <c r="BS22" s="1051"/>
      <c r="BT22" s="1051"/>
      <c r="BU22" s="1051"/>
      <c r="BV22" s="1051"/>
      <c r="BW22" s="1051"/>
      <c r="BX22" s="1051"/>
      <c r="BY22" s="1051"/>
      <c r="BZ22" s="1051"/>
      <c r="CA22" s="1051"/>
      <c r="CB22" s="1051"/>
      <c r="CC22" s="1051"/>
      <c r="CD22" s="1051"/>
      <c r="CE22" s="1051"/>
      <c r="CF22" s="1051"/>
      <c r="CG22" s="1051"/>
      <c r="CH22" s="1051"/>
      <c r="CI22" s="1051"/>
      <c r="CJ22" s="1051"/>
      <c r="CK22" s="1051"/>
      <c r="CL22" s="1051"/>
      <c r="CM22" s="1051"/>
      <c r="CN22" s="1051"/>
      <c r="CO22" s="1051"/>
      <c r="CP22" s="1051"/>
      <c r="CQ22" s="1051"/>
      <c r="CR22" s="1051"/>
      <c r="CS22" s="1051"/>
      <c r="CT22" s="1051"/>
      <c r="CU22" s="1051"/>
      <c r="CV22" s="1051"/>
      <c r="CW22" s="1051"/>
      <c r="CX22" s="1051"/>
      <c r="CY22" s="1051"/>
      <c r="CZ22" s="1051"/>
      <c r="DA22" s="1051"/>
      <c r="DB22" s="1051"/>
      <c r="DC22" s="1051"/>
      <c r="DD22" s="1051"/>
      <c r="DE22" s="1051"/>
      <c r="DF22" s="1051"/>
      <c r="DG22" s="1051"/>
      <c r="DH22" s="1051"/>
      <c r="DI22" s="1051"/>
      <c r="DJ22" s="1051"/>
      <c r="DK22" s="1051"/>
      <c r="DL22" s="1051"/>
      <c r="DM22" s="1051"/>
      <c r="DN22" s="1051"/>
      <c r="DO22" s="1051"/>
      <c r="DP22" s="1051"/>
      <c r="DQ22" s="1051"/>
      <c r="DR22" s="1051"/>
      <c r="DS22" s="1051"/>
      <c r="DT22" s="1051"/>
      <c r="DU22" s="1051"/>
      <c r="DV22" s="1051"/>
      <c r="DW22" s="1051"/>
      <c r="DX22" s="1051"/>
      <c r="DY22" s="1051"/>
      <c r="DZ22" s="1051"/>
      <c r="EA22" s="1051"/>
      <c r="EB22" s="1051"/>
      <c r="EC22" s="1051"/>
      <c r="ED22" s="1051"/>
      <c r="EE22" s="1051"/>
      <c r="EF22" s="1051"/>
      <c r="EG22" s="1051"/>
      <c r="EH22" s="1051"/>
      <c r="EI22" s="1051"/>
      <c r="EJ22" s="1051"/>
      <c r="EK22" s="1051"/>
      <c r="EL22" s="1051"/>
      <c r="EM22" s="1051"/>
      <c r="EN22" s="1051"/>
      <c r="EO22" s="1051"/>
      <c r="EP22" s="1051"/>
      <c r="EQ22" s="1051"/>
      <c r="ER22" s="1051"/>
      <c r="ES22" s="1051"/>
      <c r="ET22" s="1051"/>
      <c r="EU22" s="1051"/>
      <c r="EV22" s="1051"/>
      <c r="EW22" s="1051"/>
      <c r="EX22" s="1051"/>
      <c r="EY22" s="1051"/>
      <c r="EZ22" s="1051"/>
      <c r="FA22" s="1051"/>
      <c r="FB22" s="1051"/>
      <c r="FC22" s="1051"/>
      <c r="FD22" s="1051"/>
      <c r="FE22" s="1051"/>
      <c r="FF22" s="1051"/>
      <c r="FG22" s="1051"/>
      <c r="FH22" s="1051"/>
      <c r="FI22" s="1051"/>
      <c r="FJ22" s="1051"/>
      <c r="FK22" s="1051"/>
      <c r="FL22" s="1051"/>
      <c r="FM22" s="1051"/>
      <c r="FN22" s="1051"/>
      <c r="FO22" s="1051"/>
      <c r="FP22" s="1051"/>
      <c r="FQ22" s="1051"/>
      <c r="FR22" s="1051"/>
      <c r="FS22" s="1051"/>
      <c r="FT22" s="1051"/>
      <c r="FU22" s="1051"/>
      <c r="FV22" s="1051"/>
      <c r="FW22" s="1051"/>
      <c r="FX22" s="1051"/>
      <c r="FY22" s="1051"/>
      <c r="FZ22" s="1051"/>
      <c r="GA22" s="1051"/>
      <c r="GB22" s="1051"/>
      <c r="GC22" s="1051"/>
      <c r="GD22" s="1051"/>
      <c r="GE22" s="1051"/>
      <c r="GF22" s="1051"/>
      <c r="GG22" s="1051"/>
      <c r="GH22" s="1051"/>
      <c r="GI22" s="1051"/>
      <c r="GJ22" s="1051"/>
      <c r="GK22" s="1051"/>
      <c r="GL22" s="1051"/>
      <c r="GM22" s="1051"/>
      <c r="GN22" s="1051"/>
      <c r="GO22" s="1051"/>
      <c r="GP22" s="1051"/>
      <c r="GQ22" s="1051"/>
      <c r="GR22" s="1051"/>
      <c r="GS22" s="1051"/>
      <c r="GT22" s="1051"/>
      <c r="GU22" s="1051"/>
      <c r="GV22" s="1051"/>
      <c r="GW22" s="1051"/>
      <c r="GX22" s="1051"/>
      <c r="GY22" s="1051"/>
      <c r="GZ22" s="1051"/>
      <c r="HA22" s="1051"/>
      <c r="HB22" s="1051"/>
      <c r="HC22" s="1051"/>
      <c r="HD22" s="1051"/>
      <c r="HE22" s="1051"/>
      <c r="HF22" s="1051"/>
      <c r="HG22" s="1051"/>
      <c r="HH22" s="1051"/>
      <c r="HI22" s="1051"/>
      <c r="HJ22" s="1051"/>
      <c r="HK22" s="1051"/>
      <c r="HL22" s="1051"/>
      <c r="HM22" s="1051"/>
      <c r="HN22" s="1051"/>
      <c r="HO22" s="1051"/>
      <c r="HP22" s="1051"/>
      <c r="HQ22" s="1051"/>
      <c r="HR22" s="1051"/>
      <c r="HS22" s="1051"/>
      <c r="HT22" s="1051"/>
      <c r="HU22" s="1051"/>
      <c r="HV22" s="1051"/>
      <c r="HW22" s="1051"/>
      <c r="HX22" s="1051"/>
      <c r="HY22" s="1051"/>
      <c r="HZ22" s="1051"/>
      <c r="IA22" s="1051"/>
      <c r="IB22" s="1051"/>
      <c r="IC22" s="1051"/>
      <c r="ID22" s="1051"/>
      <c r="IE22" s="1051"/>
      <c r="IF22" s="1051"/>
      <c r="IG22" s="1051"/>
      <c r="IH22" s="1051"/>
      <c r="II22" s="1051"/>
      <c r="IJ22" s="1051"/>
      <c r="IK22" s="1051"/>
      <c r="IL22" s="1051"/>
      <c r="IM22" s="1051"/>
      <c r="IN22" s="1051"/>
      <c r="IO22" s="1051"/>
      <c r="IP22" s="1051"/>
      <c r="IQ22" s="1051"/>
      <c r="IR22" s="1051"/>
      <c r="IS22" s="1051"/>
      <c r="IT22" s="1051"/>
      <c r="IU22" s="1051"/>
      <c r="IV22" s="1051"/>
    </row>
    <row r="23" spans="1:256" x14ac:dyDescent="0.2">
      <c r="A23" s="1549" t="s">
        <v>73</v>
      </c>
      <c r="B23" s="1575"/>
      <c r="C23" s="1046">
        <f>SUM(C11+C13+C22)</f>
        <v>5483000</v>
      </c>
      <c r="D23" s="1046">
        <f>SUM(D11+D13+D22)</f>
        <v>5508000</v>
      </c>
      <c r="E23" s="1046">
        <f>SUM(E11+E13+E22)</f>
        <v>4732216</v>
      </c>
      <c r="F23" s="1047">
        <f t="shared" si="0"/>
        <v>0.85915323166303559</v>
      </c>
    </row>
    <row r="24" spans="1:256" x14ac:dyDescent="0.2">
      <c r="A24" s="1579" t="s">
        <v>167</v>
      </c>
      <c r="B24" s="1580"/>
      <c r="C24" s="1580"/>
      <c r="D24" s="1580"/>
      <c r="E24" s="1580"/>
      <c r="F24" s="1581"/>
    </row>
    <row r="25" spans="1:256" x14ac:dyDescent="0.2">
      <c r="A25" s="1036" t="s">
        <v>70</v>
      </c>
      <c r="B25" s="1037" t="s">
        <v>71</v>
      </c>
      <c r="C25" s="1038" t="s">
        <v>687</v>
      </c>
      <c r="D25" s="1038" t="s">
        <v>688</v>
      </c>
      <c r="E25" s="1039" t="s">
        <v>689</v>
      </c>
      <c r="F25" s="1040" t="s">
        <v>690</v>
      </c>
      <c r="G25" s="1060"/>
      <c r="H25" s="1060"/>
      <c r="I25" s="1060"/>
      <c r="J25" s="1060"/>
      <c r="K25" s="1060"/>
      <c r="L25" s="1060"/>
      <c r="M25" s="1060"/>
      <c r="N25" s="1060"/>
      <c r="O25" s="1060"/>
      <c r="P25" s="1060"/>
      <c r="Q25" s="1060"/>
      <c r="R25" s="1060"/>
      <c r="S25" s="1060"/>
      <c r="T25" s="1060"/>
      <c r="U25" s="1060"/>
      <c r="V25" s="1060"/>
      <c r="W25" s="1060"/>
      <c r="X25" s="1060"/>
      <c r="Y25" s="1060"/>
      <c r="Z25" s="1060"/>
      <c r="AA25" s="1060"/>
      <c r="AB25" s="1060"/>
      <c r="AC25" s="1060"/>
      <c r="AD25" s="1060"/>
      <c r="AE25" s="1060"/>
      <c r="AF25" s="1060"/>
      <c r="AG25" s="1060"/>
      <c r="AH25" s="1060"/>
      <c r="AI25" s="1060"/>
      <c r="AJ25" s="1060"/>
      <c r="AK25" s="1060"/>
      <c r="AL25" s="1060"/>
      <c r="AM25" s="1060"/>
      <c r="AN25" s="1060"/>
      <c r="AO25" s="1060"/>
      <c r="AP25" s="1060"/>
      <c r="AQ25" s="1060"/>
      <c r="AR25" s="1060"/>
      <c r="AS25" s="1060"/>
      <c r="AT25" s="1060"/>
      <c r="AU25" s="1060"/>
      <c r="AV25" s="1060"/>
      <c r="AW25" s="1060"/>
      <c r="AX25" s="1060"/>
      <c r="AY25" s="1060"/>
      <c r="AZ25" s="1060"/>
      <c r="BA25" s="1060"/>
      <c r="BB25" s="1060"/>
      <c r="BC25" s="1060"/>
      <c r="BD25" s="1060"/>
      <c r="BE25" s="1060"/>
      <c r="BF25" s="1060"/>
      <c r="BG25" s="1060"/>
      <c r="BH25" s="1060"/>
      <c r="BI25" s="1060"/>
      <c r="BJ25" s="1060"/>
      <c r="BK25" s="1060"/>
      <c r="BL25" s="1060"/>
      <c r="BM25" s="1060"/>
      <c r="BN25" s="1060"/>
      <c r="BO25" s="1060"/>
      <c r="BP25" s="1060"/>
      <c r="BQ25" s="1060"/>
      <c r="BR25" s="1060"/>
      <c r="BS25" s="1060"/>
      <c r="BT25" s="1060"/>
      <c r="BU25" s="1060"/>
      <c r="BV25" s="1060"/>
      <c r="BW25" s="1060"/>
      <c r="BX25" s="1060"/>
      <c r="BY25" s="1060"/>
      <c r="BZ25" s="1060"/>
      <c r="CA25" s="1060"/>
      <c r="CB25" s="1060"/>
      <c r="CC25" s="1060"/>
      <c r="CD25" s="1060"/>
      <c r="CE25" s="1060"/>
      <c r="CF25" s="1060"/>
      <c r="CG25" s="1060"/>
      <c r="CH25" s="1060"/>
      <c r="CI25" s="1060"/>
      <c r="CJ25" s="1060"/>
      <c r="CK25" s="1060"/>
      <c r="CL25" s="1060"/>
      <c r="CM25" s="1060"/>
      <c r="CN25" s="1060"/>
      <c r="CO25" s="1060"/>
      <c r="CP25" s="1060"/>
      <c r="CQ25" s="1060"/>
      <c r="CR25" s="1060"/>
      <c r="CS25" s="1060"/>
      <c r="CT25" s="1060"/>
      <c r="CU25" s="1060"/>
      <c r="CV25" s="1060"/>
      <c r="CW25" s="1060"/>
      <c r="CX25" s="1060"/>
      <c r="CY25" s="1060"/>
      <c r="CZ25" s="1060"/>
      <c r="DA25" s="1060"/>
      <c r="DB25" s="1060"/>
      <c r="DC25" s="1060"/>
      <c r="DD25" s="1060"/>
      <c r="DE25" s="1060"/>
      <c r="DF25" s="1060"/>
      <c r="DG25" s="1060"/>
      <c r="DH25" s="1060"/>
      <c r="DI25" s="1060"/>
      <c r="DJ25" s="1060"/>
      <c r="DK25" s="1060"/>
      <c r="DL25" s="1060"/>
      <c r="DM25" s="1060"/>
      <c r="DN25" s="1060"/>
      <c r="DO25" s="1060"/>
      <c r="DP25" s="1060"/>
      <c r="DQ25" s="1060"/>
      <c r="DR25" s="1060"/>
      <c r="DS25" s="1060"/>
      <c r="DT25" s="1060"/>
      <c r="DU25" s="1060"/>
      <c r="DV25" s="1060"/>
      <c r="DW25" s="1060"/>
      <c r="DX25" s="1060"/>
      <c r="DY25" s="1060"/>
      <c r="DZ25" s="1060"/>
      <c r="EA25" s="1060"/>
      <c r="EB25" s="1060"/>
      <c r="EC25" s="1060"/>
      <c r="ED25" s="1060"/>
      <c r="EE25" s="1060"/>
      <c r="EF25" s="1060"/>
      <c r="EG25" s="1060"/>
      <c r="EH25" s="1060"/>
      <c r="EI25" s="1060"/>
      <c r="EJ25" s="1060"/>
      <c r="EK25" s="1060"/>
      <c r="EL25" s="1060"/>
      <c r="EM25" s="1060"/>
      <c r="EN25" s="1060"/>
      <c r="EO25" s="1060"/>
      <c r="EP25" s="1060"/>
      <c r="EQ25" s="1060"/>
      <c r="ER25" s="1060"/>
      <c r="ES25" s="1060"/>
      <c r="ET25" s="1060"/>
      <c r="EU25" s="1060"/>
      <c r="EV25" s="1060"/>
      <c r="EW25" s="1060"/>
      <c r="EX25" s="1060"/>
      <c r="EY25" s="1060"/>
      <c r="EZ25" s="1060"/>
      <c r="FA25" s="1060"/>
      <c r="FB25" s="1060"/>
      <c r="FC25" s="1060"/>
      <c r="FD25" s="1060"/>
      <c r="FE25" s="1060"/>
      <c r="FF25" s="1060"/>
      <c r="FG25" s="1060"/>
      <c r="FH25" s="1060"/>
      <c r="FI25" s="1060"/>
      <c r="FJ25" s="1060"/>
      <c r="FK25" s="1060"/>
      <c r="FL25" s="1060"/>
      <c r="FM25" s="1060"/>
      <c r="FN25" s="1060"/>
      <c r="FO25" s="1060"/>
      <c r="FP25" s="1060"/>
      <c r="FQ25" s="1060"/>
      <c r="FR25" s="1060"/>
      <c r="FS25" s="1060"/>
      <c r="FT25" s="1060"/>
      <c r="FU25" s="1060"/>
      <c r="FV25" s="1060"/>
      <c r="FW25" s="1060"/>
      <c r="FX25" s="1060"/>
      <c r="FY25" s="1060"/>
      <c r="FZ25" s="1060"/>
      <c r="GA25" s="1060"/>
      <c r="GB25" s="1060"/>
      <c r="GC25" s="1060"/>
      <c r="GD25" s="1060"/>
      <c r="GE25" s="1060"/>
      <c r="GF25" s="1060"/>
      <c r="GG25" s="1060"/>
      <c r="GH25" s="1060"/>
      <c r="GI25" s="1060"/>
      <c r="GJ25" s="1060"/>
      <c r="GK25" s="1060"/>
      <c r="GL25" s="1060"/>
      <c r="GM25" s="1060"/>
      <c r="GN25" s="1060"/>
      <c r="GO25" s="1060"/>
      <c r="GP25" s="1060"/>
      <c r="GQ25" s="1060"/>
      <c r="GR25" s="1060"/>
      <c r="GS25" s="1060"/>
      <c r="GT25" s="1060"/>
      <c r="GU25" s="1060"/>
      <c r="GV25" s="1060"/>
      <c r="GW25" s="1060"/>
      <c r="GX25" s="1060"/>
      <c r="GY25" s="1060"/>
      <c r="GZ25" s="1060"/>
      <c r="HA25" s="1060"/>
      <c r="HB25" s="1060"/>
      <c r="HC25" s="1060"/>
      <c r="HD25" s="1060"/>
      <c r="HE25" s="1060"/>
      <c r="HF25" s="1060"/>
      <c r="HG25" s="1060"/>
      <c r="HH25" s="1060"/>
      <c r="HI25" s="1060"/>
      <c r="HJ25" s="1060"/>
      <c r="HK25" s="1060"/>
      <c r="HL25" s="1060"/>
      <c r="HM25" s="1060"/>
      <c r="HN25" s="1060"/>
      <c r="HO25" s="1060"/>
      <c r="HP25" s="1060"/>
      <c r="HQ25" s="1060"/>
      <c r="HR25" s="1060"/>
      <c r="HS25" s="1060"/>
      <c r="HT25" s="1060"/>
      <c r="HU25" s="1060"/>
      <c r="HV25" s="1060"/>
      <c r="HW25" s="1060"/>
      <c r="HX25" s="1060"/>
      <c r="HY25" s="1060"/>
      <c r="HZ25" s="1060"/>
      <c r="IA25" s="1060"/>
      <c r="IB25" s="1060"/>
      <c r="IC25" s="1060"/>
      <c r="ID25" s="1060"/>
      <c r="IE25" s="1060"/>
      <c r="IF25" s="1060"/>
      <c r="IG25" s="1060"/>
      <c r="IH25" s="1060"/>
      <c r="II25" s="1060"/>
      <c r="IJ25" s="1060"/>
      <c r="IK25" s="1060"/>
      <c r="IL25" s="1060"/>
      <c r="IM25" s="1060"/>
      <c r="IN25" s="1060"/>
      <c r="IO25" s="1060"/>
      <c r="IP25" s="1060"/>
      <c r="IQ25" s="1060"/>
      <c r="IR25" s="1060"/>
      <c r="IS25" s="1060"/>
      <c r="IT25" s="1060"/>
      <c r="IU25" s="1060"/>
      <c r="IV25" s="1060"/>
    </row>
    <row r="26" spans="1:256" x14ac:dyDescent="0.2">
      <c r="A26" s="1041" t="s">
        <v>704</v>
      </c>
      <c r="B26" s="1042" t="s">
        <v>705</v>
      </c>
      <c r="C26" s="1043">
        <v>35000</v>
      </c>
      <c r="D26" s="1061">
        <v>35000</v>
      </c>
      <c r="E26" s="1050">
        <v>34000</v>
      </c>
      <c r="F26" s="1045">
        <f>E26/D26</f>
        <v>0.97142857142857142</v>
      </c>
    </row>
    <row r="27" spans="1:256" x14ac:dyDescent="0.2">
      <c r="A27" s="1548" t="s">
        <v>124</v>
      </c>
      <c r="B27" s="1559"/>
      <c r="C27" s="1043">
        <f>SUM(C26)</f>
        <v>35000</v>
      </c>
      <c r="D27" s="1043">
        <f>SUM(D26)</f>
        <v>35000</v>
      </c>
      <c r="E27" s="1043">
        <f>SUM(E26)</f>
        <v>34000</v>
      </c>
      <c r="F27" s="1045">
        <f t="shared" ref="F27:F38" si="1">E27/D27</f>
        <v>0.97142857142857142</v>
      </c>
      <c r="G27" s="1051"/>
      <c r="H27" s="1051"/>
      <c r="I27" s="1051"/>
      <c r="J27" s="1051"/>
      <c r="K27" s="1051"/>
      <c r="L27" s="1051"/>
      <c r="M27" s="1051"/>
      <c r="N27" s="1051"/>
      <c r="O27" s="1051"/>
      <c r="P27" s="1051"/>
      <c r="Q27" s="1051"/>
      <c r="R27" s="1051"/>
      <c r="S27" s="1051"/>
      <c r="T27" s="1051"/>
      <c r="U27" s="1051"/>
      <c r="V27" s="1051"/>
      <c r="W27" s="1051"/>
      <c r="X27" s="1051"/>
      <c r="Y27" s="1051"/>
      <c r="Z27" s="1051"/>
      <c r="AA27" s="1051"/>
      <c r="AB27" s="1051"/>
      <c r="AC27" s="1051"/>
      <c r="AD27" s="1051"/>
      <c r="AE27" s="1051"/>
      <c r="AF27" s="1051"/>
      <c r="AG27" s="1051"/>
      <c r="AH27" s="1051"/>
      <c r="AI27" s="1051"/>
      <c r="AJ27" s="1051"/>
      <c r="AK27" s="1051"/>
      <c r="AL27" s="1051"/>
      <c r="AM27" s="1051"/>
      <c r="AN27" s="1051"/>
      <c r="AO27" s="1051"/>
      <c r="AP27" s="1051"/>
      <c r="AQ27" s="1051"/>
      <c r="AR27" s="1051"/>
      <c r="AS27" s="1051"/>
      <c r="AT27" s="1051"/>
      <c r="AU27" s="1051"/>
      <c r="AV27" s="1051"/>
      <c r="AW27" s="1051"/>
      <c r="AX27" s="1051"/>
      <c r="AY27" s="1051"/>
      <c r="AZ27" s="1051"/>
      <c r="BA27" s="1051"/>
      <c r="BB27" s="1051"/>
      <c r="BC27" s="1051"/>
      <c r="BD27" s="1051"/>
      <c r="BE27" s="1051"/>
      <c r="BF27" s="1051"/>
      <c r="BG27" s="1051"/>
      <c r="BH27" s="1051"/>
      <c r="BI27" s="1051"/>
      <c r="BJ27" s="1051"/>
      <c r="BK27" s="1051"/>
      <c r="BL27" s="1051"/>
      <c r="BM27" s="1051"/>
      <c r="BN27" s="1051"/>
      <c r="BO27" s="1051"/>
      <c r="BP27" s="1051"/>
      <c r="BQ27" s="1051"/>
      <c r="BR27" s="1051"/>
      <c r="BS27" s="1051"/>
      <c r="BT27" s="1051"/>
      <c r="BU27" s="1051"/>
      <c r="BV27" s="1051"/>
      <c r="BW27" s="1051"/>
      <c r="BX27" s="1051"/>
      <c r="BY27" s="1051"/>
      <c r="BZ27" s="1051"/>
      <c r="CA27" s="1051"/>
      <c r="CB27" s="1051"/>
      <c r="CC27" s="1051"/>
      <c r="CD27" s="1051"/>
      <c r="CE27" s="1051"/>
      <c r="CF27" s="1051"/>
      <c r="CG27" s="1051"/>
      <c r="CH27" s="1051"/>
      <c r="CI27" s="1051"/>
      <c r="CJ27" s="1051"/>
      <c r="CK27" s="1051"/>
      <c r="CL27" s="1051"/>
      <c r="CM27" s="1051"/>
      <c r="CN27" s="1051"/>
      <c r="CO27" s="1051"/>
      <c r="CP27" s="1051"/>
      <c r="CQ27" s="1051"/>
      <c r="CR27" s="1051"/>
      <c r="CS27" s="1051"/>
      <c r="CT27" s="1051"/>
      <c r="CU27" s="1051"/>
      <c r="CV27" s="1051"/>
      <c r="CW27" s="1051"/>
      <c r="CX27" s="1051"/>
      <c r="CY27" s="1051"/>
      <c r="CZ27" s="1051"/>
      <c r="DA27" s="1051"/>
      <c r="DB27" s="1051"/>
      <c r="DC27" s="1051"/>
      <c r="DD27" s="1051"/>
      <c r="DE27" s="1051"/>
      <c r="DF27" s="1051"/>
      <c r="DG27" s="1051"/>
      <c r="DH27" s="1051"/>
      <c r="DI27" s="1051"/>
      <c r="DJ27" s="1051"/>
      <c r="DK27" s="1051"/>
      <c r="DL27" s="1051"/>
      <c r="DM27" s="1051"/>
      <c r="DN27" s="1051"/>
      <c r="DO27" s="1051"/>
      <c r="DP27" s="1051"/>
      <c r="DQ27" s="1051"/>
      <c r="DR27" s="1051"/>
      <c r="DS27" s="1051"/>
      <c r="DT27" s="1051"/>
      <c r="DU27" s="1051"/>
      <c r="DV27" s="1051"/>
      <c r="DW27" s="1051"/>
      <c r="DX27" s="1051"/>
      <c r="DY27" s="1051"/>
      <c r="DZ27" s="1051"/>
      <c r="EA27" s="1051"/>
      <c r="EB27" s="1051"/>
      <c r="EC27" s="1051"/>
      <c r="ED27" s="1051"/>
      <c r="EE27" s="1051"/>
      <c r="EF27" s="1051"/>
      <c r="EG27" s="1051"/>
      <c r="EH27" s="1051"/>
      <c r="EI27" s="1051"/>
      <c r="EJ27" s="1051"/>
      <c r="EK27" s="1051"/>
      <c r="EL27" s="1051"/>
      <c r="EM27" s="1051"/>
      <c r="EN27" s="1051"/>
      <c r="EO27" s="1051"/>
      <c r="EP27" s="1051"/>
      <c r="EQ27" s="1051"/>
      <c r="ER27" s="1051"/>
      <c r="ES27" s="1051"/>
      <c r="ET27" s="1051"/>
      <c r="EU27" s="1051"/>
      <c r="EV27" s="1051"/>
      <c r="EW27" s="1051"/>
      <c r="EX27" s="1051"/>
      <c r="EY27" s="1051"/>
      <c r="EZ27" s="1051"/>
      <c r="FA27" s="1051"/>
      <c r="FB27" s="1051"/>
      <c r="FC27" s="1051"/>
      <c r="FD27" s="1051"/>
      <c r="FE27" s="1051"/>
      <c r="FF27" s="1051"/>
      <c r="FG27" s="1051"/>
      <c r="FH27" s="1051"/>
      <c r="FI27" s="1051"/>
      <c r="FJ27" s="1051"/>
      <c r="FK27" s="1051"/>
      <c r="FL27" s="1051"/>
      <c r="FM27" s="1051"/>
      <c r="FN27" s="1051"/>
      <c r="FO27" s="1051"/>
      <c r="FP27" s="1051"/>
      <c r="FQ27" s="1051"/>
      <c r="FR27" s="1051"/>
      <c r="FS27" s="1051"/>
      <c r="FT27" s="1051"/>
      <c r="FU27" s="1051"/>
      <c r="FV27" s="1051"/>
      <c r="FW27" s="1051"/>
      <c r="FX27" s="1051"/>
      <c r="FY27" s="1051"/>
      <c r="FZ27" s="1051"/>
      <c r="GA27" s="1051"/>
      <c r="GB27" s="1051"/>
      <c r="GC27" s="1051"/>
      <c r="GD27" s="1051"/>
      <c r="GE27" s="1051"/>
      <c r="GF27" s="1051"/>
      <c r="GG27" s="1051"/>
      <c r="GH27" s="1051"/>
      <c r="GI27" s="1051"/>
      <c r="GJ27" s="1051"/>
      <c r="GK27" s="1051"/>
      <c r="GL27" s="1051"/>
      <c r="GM27" s="1051"/>
      <c r="GN27" s="1051"/>
      <c r="GO27" s="1051"/>
      <c r="GP27" s="1051"/>
      <c r="GQ27" s="1051"/>
      <c r="GR27" s="1051"/>
      <c r="GS27" s="1051"/>
      <c r="GT27" s="1051"/>
      <c r="GU27" s="1051"/>
      <c r="GV27" s="1051"/>
      <c r="GW27" s="1051"/>
      <c r="GX27" s="1051"/>
      <c r="GY27" s="1051"/>
      <c r="GZ27" s="1051"/>
      <c r="HA27" s="1051"/>
      <c r="HB27" s="1051"/>
      <c r="HC27" s="1051"/>
      <c r="HD27" s="1051"/>
      <c r="HE27" s="1051"/>
      <c r="HF27" s="1051"/>
      <c r="HG27" s="1051"/>
      <c r="HH27" s="1051"/>
      <c r="HI27" s="1051"/>
      <c r="HJ27" s="1051"/>
      <c r="HK27" s="1051"/>
      <c r="HL27" s="1051"/>
      <c r="HM27" s="1051"/>
      <c r="HN27" s="1051"/>
      <c r="HO27" s="1051"/>
      <c r="HP27" s="1051"/>
      <c r="HQ27" s="1051"/>
      <c r="HR27" s="1051"/>
      <c r="HS27" s="1051"/>
      <c r="HT27" s="1051"/>
      <c r="HU27" s="1051"/>
      <c r="HV27" s="1051"/>
      <c r="HW27" s="1051"/>
      <c r="HX27" s="1051"/>
      <c r="HY27" s="1051"/>
      <c r="HZ27" s="1051"/>
      <c r="IA27" s="1051"/>
      <c r="IB27" s="1051"/>
      <c r="IC27" s="1051"/>
      <c r="ID27" s="1051"/>
      <c r="IE27" s="1051"/>
      <c r="IF27" s="1051"/>
      <c r="IG27" s="1051"/>
      <c r="IH27" s="1051"/>
      <c r="II27" s="1051"/>
      <c r="IJ27" s="1051"/>
      <c r="IK27" s="1051"/>
      <c r="IL27" s="1051"/>
      <c r="IM27" s="1051"/>
      <c r="IN27" s="1051"/>
      <c r="IO27" s="1051"/>
      <c r="IP27" s="1051"/>
      <c r="IQ27" s="1051"/>
      <c r="IR27" s="1051"/>
      <c r="IS27" s="1051"/>
      <c r="IT27" s="1051"/>
      <c r="IU27" s="1051"/>
      <c r="IV27" s="1051"/>
    </row>
    <row r="28" spans="1:256" x14ac:dyDescent="0.2">
      <c r="A28" s="1549" t="s">
        <v>74</v>
      </c>
      <c r="B28" s="1575"/>
      <c r="C28" s="1046">
        <f>C27</f>
        <v>35000</v>
      </c>
      <c r="D28" s="1046">
        <f>D27</f>
        <v>35000</v>
      </c>
      <c r="E28" s="1046">
        <f>E27</f>
        <v>34000</v>
      </c>
      <c r="F28" s="1047">
        <f t="shared" si="1"/>
        <v>0.97142857142857142</v>
      </c>
    </row>
    <row r="29" spans="1:256" x14ac:dyDescent="0.2">
      <c r="A29" s="1041" t="s">
        <v>706</v>
      </c>
      <c r="B29" s="1042" t="s">
        <v>707</v>
      </c>
      <c r="C29" s="1043">
        <v>120000</v>
      </c>
      <c r="D29" s="1061">
        <v>120000</v>
      </c>
      <c r="E29" s="1050">
        <v>113637</v>
      </c>
      <c r="F29" s="1045">
        <f t="shared" si="1"/>
        <v>0.94697500000000001</v>
      </c>
    </row>
    <row r="30" spans="1:256" x14ac:dyDescent="0.2">
      <c r="A30" s="1041" t="s">
        <v>708</v>
      </c>
      <c r="B30" s="1042" t="s">
        <v>264</v>
      </c>
      <c r="C30" s="1043">
        <v>50000</v>
      </c>
      <c r="D30" s="1061">
        <v>50000</v>
      </c>
      <c r="E30" s="1050">
        <v>10055</v>
      </c>
      <c r="F30" s="1045">
        <f t="shared" si="1"/>
        <v>0.2011</v>
      </c>
    </row>
    <row r="31" spans="1:256" x14ac:dyDescent="0.2">
      <c r="A31" s="1041" t="s">
        <v>709</v>
      </c>
      <c r="B31" s="1042" t="s">
        <v>90</v>
      </c>
      <c r="C31" s="1048">
        <v>50000</v>
      </c>
      <c r="D31" s="1062">
        <v>50000</v>
      </c>
      <c r="E31" s="1063">
        <v>9668</v>
      </c>
      <c r="F31" s="1045">
        <f t="shared" si="1"/>
        <v>0.19336</v>
      </c>
    </row>
    <row r="32" spans="1:256" x14ac:dyDescent="0.2">
      <c r="A32" s="1041" t="s">
        <v>698</v>
      </c>
      <c r="B32" s="1042" t="s">
        <v>710</v>
      </c>
      <c r="C32" s="1043">
        <v>450000</v>
      </c>
      <c r="D32" s="1061">
        <v>450000</v>
      </c>
      <c r="E32" s="1050">
        <v>398231</v>
      </c>
      <c r="F32" s="1045">
        <f t="shared" si="1"/>
        <v>0.88495777777777773</v>
      </c>
    </row>
    <row r="33" spans="1:256" x14ac:dyDescent="0.2">
      <c r="A33" s="1041" t="s">
        <v>703</v>
      </c>
      <c r="B33" s="1042" t="s">
        <v>557</v>
      </c>
      <c r="C33" s="1043">
        <v>173000</v>
      </c>
      <c r="D33" s="1061">
        <v>173000</v>
      </c>
      <c r="E33" s="1050">
        <v>143498</v>
      </c>
      <c r="F33" s="1045">
        <f t="shared" si="1"/>
        <v>0.82946820809248556</v>
      </c>
    </row>
    <row r="34" spans="1:256" x14ac:dyDescent="0.2">
      <c r="A34" s="1548" t="s">
        <v>168</v>
      </c>
      <c r="B34" s="1559"/>
      <c r="C34" s="1043">
        <f>SUM(C29:C33)</f>
        <v>843000</v>
      </c>
      <c r="D34" s="1043">
        <f>SUM(D29:D33)</f>
        <v>843000</v>
      </c>
      <c r="E34" s="1043">
        <f>SUM(E29:E33)</f>
        <v>675089</v>
      </c>
      <c r="F34" s="1045">
        <f t="shared" si="1"/>
        <v>0.80081731909845788</v>
      </c>
      <c r="G34" s="1051"/>
      <c r="H34" s="1051"/>
      <c r="I34" s="1051"/>
      <c r="J34" s="1051"/>
      <c r="K34" s="1051"/>
      <c r="L34" s="1051"/>
      <c r="M34" s="1051"/>
      <c r="N34" s="1051"/>
      <c r="O34" s="1051"/>
      <c r="P34" s="1051"/>
      <c r="Q34" s="1051"/>
      <c r="R34" s="1051"/>
      <c r="S34" s="1051"/>
      <c r="T34" s="1051"/>
      <c r="U34" s="1051"/>
      <c r="V34" s="1051"/>
      <c r="W34" s="1051"/>
      <c r="X34" s="1051"/>
      <c r="Y34" s="1051"/>
      <c r="Z34" s="1051"/>
      <c r="AA34" s="1051"/>
      <c r="AB34" s="1051"/>
      <c r="AC34" s="1051"/>
      <c r="AD34" s="1051"/>
      <c r="AE34" s="1051"/>
      <c r="AF34" s="1051"/>
      <c r="AG34" s="1051"/>
      <c r="AH34" s="1051"/>
      <c r="AI34" s="1051"/>
      <c r="AJ34" s="1051"/>
      <c r="AK34" s="1051"/>
      <c r="AL34" s="1051"/>
      <c r="AM34" s="1051"/>
      <c r="AN34" s="1051"/>
      <c r="AO34" s="1051"/>
      <c r="AP34" s="1051"/>
      <c r="AQ34" s="1051"/>
      <c r="AR34" s="1051"/>
      <c r="AS34" s="1051"/>
      <c r="AT34" s="1051"/>
      <c r="AU34" s="1051"/>
      <c r="AV34" s="1051"/>
      <c r="AW34" s="1051"/>
      <c r="AX34" s="1051"/>
      <c r="AY34" s="1051"/>
      <c r="AZ34" s="1051"/>
      <c r="BA34" s="1051"/>
      <c r="BB34" s="1051"/>
      <c r="BC34" s="1051"/>
      <c r="BD34" s="1051"/>
      <c r="BE34" s="1051"/>
      <c r="BF34" s="1051"/>
      <c r="BG34" s="1051"/>
      <c r="BH34" s="1051"/>
      <c r="BI34" s="1051"/>
      <c r="BJ34" s="1051"/>
      <c r="BK34" s="1051"/>
      <c r="BL34" s="1051"/>
      <c r="BM34" s="1051"/>
      <c r="BN34" s="1051"/>
      <c r="BO34" s="1051"/>
      <c r="BP34" s="1051"/>
      <c r="BQ34" s="1051"/>
      <c r="BR34" s="1051"/>
      <c r="BS34" s="1051"/>
      <c r="BT34" s="1051"/>
      <c r="BU34" s="1051"/>
      <c r="BV34" s="1051"/>
      <c r="BW34" s="1051"/>
      <c r="BX34" s="1051"/>
      <c r="BY34" s="1051"/>
      <c r="BZ34" s="1051"/>
      <c r="CA34" s="1051"/>
      <c r="CB34" s="1051"/>
      <c r="CC34" s="1051"/>
      <c r="CD34" s="1051"/>
      <c r="CE34" s="1051"/>
      <c r="CF34" s="1051"/>
      <c r="CG34" s="1051"/>
      <c r="CH34" s="1051"/>
      <c r="CI34" s="1051"/>
      <c r="CJ34" s="1051"/>
      <c r="CK34" s="1051"/>
      <c r="CL34" s="1051"/>
      <c r="CM34" s="1051"/>
      <c r="CN34" s="1051"/>
      <c r="CO34" s="1051"/>
      <c r="CP34" s="1051"/>
      <c r="CQ34" s="1051"/>
      <c r="CR34" s="1051"/>
      <c r="CS34" s="1051"/>
      <c r="CT34" s="1051"/>
      <c r="CU34" s="1051"/>
      <c r="CV34" s="1051"/>
      <c r="CW34" s="1051"/>
      <c r="CX34" s="1051"/>
      <c r="CY34" s="1051"/>
      <c r="CZ34" s="1051"/>
      <c r="DA34" s="1051"/>
      <c r="DB34" s="1051"/>
      <c r="DC34" s="1051"/>
      <c r="DD34" s="1051"/>
      <c r="DE34" s="1051"/>
      <c r="DF34" s="1051"/>
      <c r="DG34" s="1051"/>
      <c r="DH34" s="1051"/>
      <c r="DI34" s="1051"/>
      <c r="DJ34" s="1051"/>
      <c r="DK34" s="1051"/>
      <c r="DL34" s="1051"/>
      <c r="DM34" s="1051"/>
      <c r="DN34" s="1051"/>
      <c r="DO34" s="1051"/>
      <c r="DP34" s="1051"/>
      <c r="DQ34" s="1051"/>
      <c r="DR34" s="1051"/>
      <c r="DS34" s="1051"/>
      <c r="DT34" s="1051"/>
      <c r="DU34" s="1051"/>
      <c r="DV34" s="1051"/>
      <c r="DW34" s="1051"/>
      <c r="DX34" s="1051"/>
      <c r="DY34" s="1051"/>
      <c r="DZ34" s="1051"/>
      <c r="EA34" s="1051"/>
      <c r="EB34" s="1051"/>
      <c r="EC34" s="1051"/>
      <c r="ED34" s="1051"/>
      <c r="EE34" s="1051"/>
      <c r="EF34" s="1051"/>
      <c r="EG34" s="1051"/>
      <c r="EH34" s="1051"/>
      <c r="EI34" s="1051"/>
      <c r="EJ34" s="1051"/>
      <c r="EK34" s="1051"/>
      <c r="EL34" s="1051"/>
      <c r="EM34" s="1051"/>
      <c r="EN34" s="1051"/>
      <c r="EO34" s="1051"/>
      <c r="EP34" s="1051"/>
      <c r="EQ34" s="1051"/>
      <c r="ER34" s="1051"/>
      <c r="ES34" s="1051"/>
      <c r="ET34" s="1051"/>
      <c r="EU34" s="1051"/>
      <c r="EV34" s="1051"/>
      <c r="EW34" s="1051"/>
      <c r="EX34" s="1051"/>
      <c r="EY34" s="1051"/>
      <c r="EZ34" s="1051"/>
      <c r="FA34" s="1051"/>
      <c r="FB34" s="1051"/>
      <c r="FC34" s="1051"/>
      <c r="FD34" s="1051"/>
      <c r="FE34" s="1051"/>
      <c r="FF34" s="1051"/>
      <c r="FG34" s="1051"/>
      <c r="FH34" s="1051"/>
      <c r="FI34" s="1051"/>
      <c r="FJ34" s="1051"/>
      <c r="FK34" s="1051"/>
      <c r="FL34" s="1051"/>
      <c r="FM34" s="1051"/>
      <c r="FN34" s="1051"/>
      <c r="FO34" s="1051"/>
      <c r="FP34" s="1051"/>
      <c r="FQ34" s="1051"/>
      <c r="FR34" s="1051"/>
      <c r="FS34" s="1051"/>
      <c r="FT34" s="1051"/>
      <c r="FU34" s="1051"/>
      <c r="FV34" s="1051"/>
      <c r="FW34" s="1051"/>
      <c r="FX34" s="1051"/>
      <c r="FY34" s="1051"/>
      <c r="FZ34" s="1051"/>
      <c r="GA34" s="1051"/>
      <c r="GB34" s="1051"/>
      <c r="GC34" s="1051"/>
      <c r="GD34" s="1051"/>
      <c r="GE34" s="1051"/>
      <c r="GF34" s="1051"/>
      <c r="GG34" s="1051"/>
      <c r="GH34" s="1051"/>
      <c r="GI34" s="1051"/>
      <c r="GJ34" s="1051"/>
      <c r="GK34" s="1051"/>
      <c r="GL34" s="1051"/>
      <c r="GM34" s="1051"/>
      <c r="GN34" s="1051"/>
      <c r="GO34" s="1051"/>
      <c r="GP34" s="1051"/>
      <c r="GQ34" s="1051"/>
      <c r="GR34" s="1051"/>
      <c r="GS34" s="1051"/>
      <c r="GT34" s="1051"/>
      <c r="GU34" s="1051"/>
      <c r="GV34" s="1051"/>
      <c r="GW34" s="1051"/>
      <c r="GX34" s="1051"/>
      <c r="GY34" s="1051"/>
      <c r="GZ34" s="1051"/>
      <c r="HA34" s="1051"/>
      <c r="HB34" s="1051"/>
      <c r="HC34" s="1051"/>
      <c r="HD34" s="1051"/>
      <c r="HE34" s="1051"/>
      <c r="HF34" s="1051"/>
      <c r="HG34" s="1051"/>
      <c r="HH34" s="1051"/>
      <c r="HI34" s="1051"/>
      <c r="HJ34" s="1051"/>
      <c r="HK34" s="1051"/>
      <c r="HL34" s="1051"/>
      <c r="HM34" s="1051"/>
      <c r="HN34" s="1051"/>
      <c r="HO34" s="1051"/>
      <c r="HP34" s="1051"/>
      <c r="HQ34" s="1051"/>
      <c r="HR34" s="1051"/>
      <c r="HS34" s="1051"/>
      <c r="HT34" s="1051"/>
      <c r="HU34" s="1051"/>
      <c r="HV34" s="1051"/>
      <c r="HW34" s="1051"/>
      <c r="HX34" s="1051"/>
      <c r="HY34" s="1051"/>
      <c r="HZ34" s="1051"/>
      <c r="IA34" s="1051"/>
      <c r="IB34" s="1051"/>
      <c r="IC34" s="1051"/>
      <c r="ID34" s="1051"/>
      <c r="IE34" s="1051"/>
      <c r="IF34" s="1051"/>
      <c r="IG34" s="1051"/>
      <c r="IH34" s="1051"/>
      <c r="II34" s="1051"/>
      <c r="IJ34" s="1051"/>
      <c r="IK34" s="1051"/>
      <c r="IL34" s="1051"/>
      <c r="IM34" s="1051"/>
      <c r="IN34" s="1051"/>
      <c r="IO34" s="1051"/>
      <c r="IP34" s="1051"/>
      <c r="IQ34" s="1051"/>
      <c r="IR34" s="1051"/>
      <c r="IS34" s="1051"/>
      <c r="IT34" s="1051"/>
      <c r="IU34" s="1051"/>
      <c r="IV34" s="1051"/>
    </row>
    <row r="35" spans="1:256" x14ac:dyDescent="0.2">
      <c r="A35" s="1056" t="s">
        <v>614</v>
      </c>
      <c r="B35" s="1064" t="s">
        <v>711</v>
      </c>
      <c r="C35" s="1043">
        <v>1000000</v>
      </c>
      <c r="D35" s="1043">
        <v>0</v>
      </c>
      <c r="E35" s="1052">
        <v>0</v>
      </c>
      <c r="F35" s="1045" t="s">
        <v>446</v>
      </c>
      <c r="G35" s="1051"/>
      <c r="H35" s="1051"/>
      <c r="I35" s="1051"/>
      <c r="J35" s="1051"/>
      <c r="K35" s="1051"/>
      <c r="L35" s="1051"/>
      <c r="M35" s="1051"/>
      <c r="N35" s="1051"/>
      <c r="O35" s="1051"/>
      <c r="P35" s="1051"/>
      <c r="Q35" s="1051"/>
      <c r="R35" s="1051"/>
      <c r="S35" s="1051"/>
      <c r="T35" s="1051"/>
      <c r="U35" s="1051"/>
      <c r="V35" s="1051"/>
      <c r="W35" s="1051"/>
      <c r="X35" s="1051"/>
      <c r="Y35" s="1051"/>
      <c r="Z35" s="1051"/>
      <c r="AA35" s="1051"/>
      <c r="AB35" s="1051"/>
      <c r="AC35" s="1051"/>
      <c r="AD35" s="1051"/>
      <c r="AE35" s="1051"/>
      <c r="AF35" s="1051"/>
      <c r="AG35" s="1051"/>
      <c r="AH35" s="1051"/>
      <c r="AI35" s="1051"/>
      <c r="AJ35" s="1051"/>
      <c r="AK35" s="1051"/>
      <c r="AL35" s="1051"/>
      <c r="AM35" s="1051"/>
      <c r="AN35" s="1051"/>
      <c r="AO35" s="1051"/>
      <c r="AP35" s="1051"/>
      <c r="AQ35" s="1051"/>
      <c r="AR35" s="1051"/>
      <c r="AS35" s="1051"/>
      <c r="AT35" s="1051"/>
      <c r="AU35" s="1051"/>
      <c r="AV35" s="1051"/>
      <c r="AW35" s="1051"/>
      <c r="AX35" s="1051"/>
      <c r="AY35" s="1051"/>
      <c r="AZ35" s="1051"/>
      <c r="BA35" s="1051"/>
      <c r="BB35" s="1051"/>
      <c r="BC35" s="1051"/>
      <c r="BD35" s="1051"/>
      <c r="BE35" s="1051"/>
      <c r="BF35" s="1051"/>
      <c r="BG35" s="1051"/>
      <c r="BH35" s="1051"/>
      <c r="BI35" s="1051"/>
      <c r="BJ35" s="1051"/>
      <c r="BK35" s="1051"/>
      <c r="BL35" s="1051"/>
      <c r="BM35" s="1051"/>
      <c r="BN35" s="1051"/>
      <c r="BO35" s="1051"/>
      <c r="BP35" s="1051"/>
      <c r="BQ35" s="1051"/>
      <c r="BR35" s="1051"/>
      <c r="BS35" s="1051"/>
      <c r="BT35" s="1051"/>
      <c r="BU35" s="1051"/>
      <c r="BV35" s="1051"/>
      <c r="BW35" s="1051"/>
      <c r="BX35" s="1051"/>
      <c r="BY35" s="1051"/>
      <c r="BZ35" s="1051"/>
      <c r="CA35" s="1051"/>
      <c r="CB35" s="1051"/>
      <c r="CC35" s="1051"/>
      <c r="CD35" s="1051"/>
      <c r="CE35" s="1051"/>
      <c r="CF35" s="1051"/>
      <c r="CG35" s="1051"/>
      <c r="CH35" s="1051"/>
      <c r="CI35" s="1051"/>
      <c r="CJ35" s="1051"/>
      <c r="CK35" s="1051"/>
      <c r="CL35" s="1051"/>
      <c r="CM35" s="1051"/>
      <c r="CN35" s="1051"/>
      <c r="CO35" s="1051"/>
      <c r="CP35" s="1051"/>
      <c r="CQ35" s="1051"/>
      <c r="CR35" s="1051"/>
      <c r="CS35" s="1051"/>
      <c r="CT35" s="1051"/>
      <c r="CU35" s="1051"/>
      <c r="CV35" s="1051"/>
      <c r="CW35" s="1051"/>
      <c r="CX35" s="1051"/>
      <c r="CY35" s="1051"/>
      <c r="CZ35" s="1051"/>
      <c r="DA35" s="1051"/>
      <c r="DB35" s="1051"/>
      <c r="DC35" s="1051"/>
      <c r="DD35" s="1051"/>
      <c r="DE35" s="1051"/>
      <c r="DF35" s="1051"/>
      <c r="DG35" s="1051"/>
      <c r="DH35" s="1051"/>
      <c r="DI35" s="1051"/>
      <c r="DJ35" s="1051"/>
      <c r="DK35" s="1051"/>
      <c r="DL35" s="1051"/>
      <c r="DM35" s="1051"/>
      <c r="DN35" s="1051"/>
      <c r="DO35" s="1051"/>
      <c r="DP35" s="1051"/>
      <c r="DQ35" s="1051"/>
      <c r="DR35" s="1051"/>
      <c r="DS35" s="1051"/>
      <c r="DT35" s="1051"/>
      <c r="DU35" s="1051"/>
      <c r="DV35" s="1051"/>
      <c r="DW35" s="1051"/>
      <c r="DX35" s="1051"/>
      <c r="DY35" s="1051"/>
      <c r="DZ35" s="1051"/>
      <c r="EA35" s="1051"/>
      <c r="EB35" s="1051"/>
      <c r="EC35" s="1051"/>
      <c r="ED35" s="1051"/>
      <c r="EE35" s="1051"/>
      <c r="EF35" s="1051"/>
      <c r="EG35" s="1051"/>
      <c r="EH35" s="1051"/>
      <c r="EI35" s="1051"/>
      <c r="EJ35" s="1051"/>
      <c r="EK35" s="1051"/>
      <c r="EL35" s="1051"/>
      <c r="EM35" s="1051"/>
      <c r="EN35" s="1051"/>
      <c r="EO35" s="1051"/>
      <c r="EP35" s="1051"/>
      <c r="EQ35" s="1051"/>
      <c r="ER35" s="1051"/>
      <c r="ES35" s="1051"/>
      <c r="ET35" s="1051"/>
      <c r="EU35" s="1051"/>
      <c r="EV35" s="1051"/>
      <c r="EW35" s="1051"/>
      <c r="EX35" s="1051"/>
      <c r="EY35" s="1051"/>
      <c r="EZ35" s="1051"/>
      <c r="FA35" s="1051"/>
      <c r="FB35" s="1051"/>
      <c r="FC35" s="1051"/>
      <c r="FD35" s="1051"/>
      <c r="FE35" s="1051"/>
      <c r="FF35" s="1051"/>
      <c r="FG35" s="1051"/>
      <c r="FH35" s="1051"/>
      <c r="FI35" s="1051"/>
      <c r="FJ35" s="1051"/>
      <c r="FK35" s="1051"/>
      <c r="FL35" s="1051"/>
      <c r="FM35" s="1051"/>
      <c r="FN35" s="1051"/>
      <c r="FO35" s="1051"/>
      <c r="FP35" s="1051"/>
      <c r="FQ35" s="1051"/>
      <c r="FR35" s="1051"/>
      <c r="FS35" s="1051"/>
      <c r="FT35" s="1051"/>
      <c r="FU35" s="1051"/>
      <c r="FV35" s="1051"/>
      <c r="FW35" s="1051"/>
      <c r="FX35" s="1051"/>
      <c r="FY35" s="1051"/>
      <c r="FZ35" s="1051"/>
      <c r="GA35" s="1051"/>
      <c r="GB35" s="1051"/>
      <c r="GC35" s="1051"/>
      <c r="GD35" s="1051"/>
      <c r="GE35" s="1051"/>
      <c r="GF35" s="1051"/>
      <c r="GG35" s="1051"/>
      <c r="GH35" s="1051"/>
      <c r="GI35" s="1051"/>
      <c r="GJ35" s="1051"/>
      <c r="GK35" s="1051"/>
      <c r="GL35" s="1051"/>
      <c r="GM35" s="1051"/>
      <c r="GN35" s="1051"/>
      <c r="GO35" s="1051"/>
      <c r="GP35" s="1051"/>
      <c r="GQ35" s="1051"/>
      <c r="GR35" s="1051"/>
      <c r="GS35" s="1051"/>
      <c r="GT35" s="1051"/>
      <c r="GU35" s="1051"/>
      <c r="GV35" s="1051"/>
      <c r="GW35" s="1051"/>
      <c r="GX35" s="1051"/>
      <c r="GY35" s="1051"/>
      <c r="GZ35" s="1051"/>
      <c r="HA35" s="1051"/>
      <c r="HB35" s="1051"/>
      <c r="HC35" s="1051"/>
      <c r="HD35" s="1051"/>
      <c r="HE35" s="1051"/>
      <c r="HF35" s="1051"/>
      <c r="HG35" s="1051"/>
      <c r="HH35" s="1051"/>
      <c r="HI35" s="1051"/>
      <c r="HJ35" s="1051"/>
      <c r="HK35" s="1051"/>
      <c r="HL35" s="1051"/>
      <c r="HM35" s="1051"/>
      <c r="HN35" s="1051"/>
      <c r="HO35" s="1051"/>
      <c r="HP35" s="1051"/>
      <c r="HQ35" s="1051"/>
      <c r="HR35" s="1051"/>
      <c r="HS35" s="1051"/>
      <c r="HT35" s="1051"/>
      <c r="HU35" s="1051"/>
      <c r="HV35" s="1051"/>
      <c r="HW35" s="1051"/>
      <c r="HX35" s="1051"/>
      <c r="HY35" s="1051"/>
      <c r="HZ35" s="1051"/>
      <c r="IA35" s="1051"/>
      <c r="IB35" s="1051"/>
      <c r="IC35" s="1051"/>
      <c r="ID35" s="1051"/>
      <c r="IE35" s="1051"/>
      <c r="IF35" s="1051"/>
      <c r="IG35" s="1051"/>
      <c r="IH35" s="1051"/>
      <c r="II35" s="1051"/>
      <c r="IJ35" s="1051"/>
      <c r="IK35" s="1051"/>
      <c r="IL35" s="1051"/>
      <c r="IM35" s="1051"/>
      <c r="IN35" s="1051"/>
      <c r="IO35" s="1051"/>
      <c r="IP35" s="1051"/>
      <c r="IQ35" s="1051"/>
      <c r="IR35" s="1051"/>
      <c r="IS35" s="1051"/>
      <c r="IT35" s="1051"/>
      <c r="IU35" s="1051"/>
      <c r="IV35" s="1051"/>
    </row>
    <row r="36" spans="1:256" x14ac:dyDescent="0.2">
      <c r="A36" s="1056" t="s">
        <v>615</v>
      </c>
      <c r="B36" s="1064" t="s">
        <v>712</v>
      </c>
      <c r="C36" s="1043">
        <f>SUM(C35*0.27)</f>
        <v>270000</v>
      </c>
      <c r="D36" s="1043">
        <v>0</v>
      </c>
      <c r="E36" s="1052">
        <v>0</v>
      </c>
      <c r="F36" s="1045" t="s">
        <v>446</v>
      </c>
      <c r="G36" s="1051"/>
      <c r="H36" s="1051"/>
      <c r="I36" s="1051"/>
      <c r="J36" s="1051"/>
      <c r="K36" s="1051"/>
      <c r="L36" s="1051"/>
      <c r="M36" s="1051"/>
      <c r="N36" s="1051"/>
      <c r="O36" s="1051"/>
      <c r="P36" s="1051"/>
      <c r="Q36" s="1051"/>
      <c r="R36" s="1051"/>
      <c r="S36" s="1051"/>
      <c r="T36" s="1051"/>
      <c r="U36" s="1051"/>
      <c r="V36" s="1051"/>
      <c r="W36" s="1051"/>
      <c r="X36" s="1051"/>
      <c r="Y36" s="1051"/>
      <c r="Z36" s="1051"/>
      <c r="AA36" s="1051"/>
      <c r="AB36" s="1051"/>
      <c r="AC36" s="1051"/>
      <c r="AD36" s="1051"/>
      <c r="AE36" s="1051"/>
      <c r="AF36" s="1051"/>
      <c r="AG36" s="1051"/>
      <c r="AH36" s="1051"/>
      <c r="AI36" s="1051"/>
      <c r="AJ36" s="1051"/>
      <c r="AK36" s="1051"/>
      <c r="AL36" s="1051"/>
      <c r="AM36" s="1051"/>
      <c r="AN36" s="1051"/>
      <c r="AO36" s="1051"/>
      <c r="AP36" s="1051"/>
      <c r="AQ36" s="1051"/>
      <c r="AR36" s="1051"/>
      <c r="AS36" s="1051"/>
      <c r="AT36" s="1051"/>
      <c r="AU36" s="1051"/>
      <c r="AV36" s="1051"/>
      <c r="AW36" s="1051"/>
      <c r="AX36" s="1051"/>
      <c r="AY36" s="1051"/>
      <c r="AZ36" s="1051"/>
      <c r="BA36" s="1051"/>
      <c r="BB36" s="1051"/>
      <c r="BC36" s="1051"/>
      <c r="BD36" s="1051"/>
      <c r="BE36" s="1051"/>
      <c r="BF36" s="1051"/>
      <c r="BG36" s="1051"/>
      <c r="BH36" s="1051"/>
      <c r="BI36" s="1051"/>
      <c r="BJ36" s="1051"/>
      <c r="BK36" s="1051"/>
      <c r="BL36" s="1051"/>
      <c r="BM36" s="1051"/>
      <c r="BN36" s="1051"/>
      <c r="BO36" s="1051"/>
      <c r="BP36" s="1051"/>
      <c r="BQ36" s="1051"/>
      <c r="BR36" s="1051"/>
      <c r="BS36" s="1051"/>
      <c r="BT36" s="1051"/>
      <c r="BU36" s="1051"/>
      <c r="BV36" s="1051"/>
      <c r="BW36" s="1051"/>
      <c r="BX36" s="1051"/>
      <c r="BY36" s="1051"/>
      <c r="BZ36" s="1051"/>
      <c r="CA36" s="1051"/>
      <c r="CB36" s="1051"/>
      <c r="CC36" s="1051"/>
      <c r="CD36" s="1051"/>
      <c r="CE36" s="1051"/>
      <c r="CF36" s="1051"/>
      <c r="CG36" s="1051"/>
      <c r="CH36" s="1051"/>
      <c r="CI36" s="1051"/>
      <c r="CJ36" s="1051"/>
      <c r="CK36" s="1051"/>
      <c r="CL36" s="1051"/>
      <c r="CM36" s="1051"/>
      <c r="CN36" s="1051"/>
      <c r="CO36" s="1051"/>
      <c r="CP36" s="1051"/>
      <c r="CQ36" s="1051"/>
      <c r="CR36" s="1051"/>
      <c r="CS36" s="1051"/>
      <c r="CT36" s="1051"/>
      <c r="CU36" s="1051"/>
      <c r="CV36" s="1051"/>
      <c r="CW36" s="1051"/>
      <c r="CX36" s="1051"/>
      <c r="CY36" s="1051"/>
      <c r="CZ36" s="1051"/>
      <c r="DA36" s="1051"/>
      <c r="DB36" s="1051"/>
      <c r="DC36" s="1051"/>
      <c r="DD36" s="1051"/>
      <c r="DE36" s="1051"/>
      <c r="DF36" s="1051"/>
      <c r="DG36" s="1051"/>
      <c r="DH36" s="1051"/>
      <c r="DI36" s="1051"/>
      <c r="DJ36" s="1051"/>
      <c r="DK36" s="1051"/>
      <c r="DL36" s="1051"/>
      <c r="DM36" s="1051"/>
      <c r="DN36" s="1051"/>
      <c r="DO36" s="1051"/>
      <c r="DP36" s="1051"/>
      <c r="DQ36" s="1051"/>
      <c r="DR36" s="1051"/>
      <c r="DS36" s="1051"/>
      <c r="DT36" s="1051"/>
      <c r="DU36" s="1051"/>
      <c r="DV36" s="1051"/>
      <c r="DW36" s="1051"/>
      <c r="DX36" s="1051"/>
      <c r="DY36" s="1051"/>
      <c r="DZ36" s="1051"/>
      <c r="EA36" s="1051"/>
      <c r="EB36" s="1051"/>
      <c r="EC36" s="1051"/>
      <c r="ED36" s="1051"/>
      <c r="EE36" s="1051"/>
      <c r="EF36" s="1051"/>
      <c r="EG36" s="1051"/>
      <c r="EH36" s="1051"/>
      <c r="EI36" s="1051"/>
      <c r="EJ36" s="1051"/>
      <c r="EK36" s="1051"/>
      <c r="EL36" s="1051"/>
      <c r="EM36" s="1051"/>
      <c r="EN36" s="1051"/>
      <c r="EO36" s="1051"/>
      <c r="EP36" s="1051"/>
      <c r="EQ36" s="1051"/>
      <c r="ER36" s="1051"/>
      <c r="ES36" s="1051"/>
      <c r="ET36" s="1051"/>
      <c r="EU36" s="1051"/>
      <c r="EV36" s="1051"/>
      <c r="EW36" s="1051"/>
      <c r="EX36" s="1051"/>
      <c r="EY36" s="1051"/>
      <c r="EZ36" s="1051"/>
      <c r="FA36" s="1051"/>
      <c r="FB36" s="1051"/>
      <c r="FC36" s="1051"/>
      <c r="FD36" s="1051"/>
      <c r="FE36" s="1051"/>
      <c r="FF36" s="1051"/>
      <c r="FG36" s="1051"/>
      <c r="FH36" s="1051"/>
      <c r="FI36" s="1051"/>
      <c r="FJ36" s="1051"/>
      <c r="FK36" s="1051"/>
      <c r="FL36" s="1051"/>
      <c r="FM36" s="1051"/>
      <c r="FN36" s="1051"/>
      <c r="FO36" s="1051"/>
      <c r="FP36" s="1051"/>
      <c r="FQ36" s="1051"/>
      <c r="FR36" s="1051"/>
      <c r="FS36" s="1051"/>
      <c r="FT36" s="1051"/>
      <c r="FU36" s="1051"/>
      <c r="FV36" s="1051"/>
      <c r="FW36" s="1051"/>
      <c r="FX36" s="1051"/>
      <c r="FY36" s="1051"/>
      <c r="FZ36" s="1051"/>
      <c r="GA36" s="1051"/>
      <c r="GB36" s="1051"/>
      <c r="GC36" s="1051"/>
      <c r="GD36" s="1051"/>
      <c r="GE36" s="1051"/>
      <c r="GF36" s="1051"/>
      <c r="GG36" s="1051"/>
      <c r="GH36" s="1051"/>
      <c r="GI36" s="1051"/>
      <c r="GJ36" s="1051"/>
      <c r="GK36" s="1051"/>
      <c r="GL36" s="1051"/>
      <c r="GM36" s="1051"/>
      <c r="GN36" s="1051"/>
      <c r="GO36" s="1051"/>
      <c r="GP36" s="1051"/>
      <c r="GQ36" s="1051"/>
      <c r="GR36" s="1051"/>
      <c r="GS36" s="1051"/>
      <c r="GT36" s="1051"/>
      <c r="GU36" s="1051"/>
      <c r="GV36" s="1051"/>
      <c r="GW36" s="1051"/>
      <c r="GX36" s="1051"/>
      <c r="GY36" s="1051"/>
      <c r="GZ36" s="1051"/>
      <c r="HA36" s="1051"/>
      <c r="HB36" s="1051"/>
      <c r="HC36" s="1051"/>
      <c r="HD36" s="1051"/>
      <c r="HE36" s="1051"/>
      <c r="HF36" s="1051"/>
      <c r="HG36" s="1051"/>
      <c r="HH36" s="1051"/>
      <c r="HI36" s="1051"/>
      <c r="HJ36" s="1051"/>
      <c r="HK36" s="1051"/>
      <c r="HL36" s="1051"/>
      <c r="HM36" s="1051"/>
      <c r="HN36" s="1051"/>
      <c r="HO36" s="1051"/>
      <c r="HP36" s="1051"/>
      <c r="HQ36" s="1051"/>
      <c r="HR36" s="1051"/>
      <c r="HS36" s="1051"/>
      <c r="HT36" s="1051"/>
      <c r="HU36" s="1051"/>
      <c r="HV36" s="1051"/>
      <c r="HW36" s="1051"/>
      <c r="HX36" s="1051"/>
      <c r="HY36" s="1051"/>
      <c r="HZ36" s="1051"/>
      <c r="IA36" s="1051"/>
      <c r="IB36" s="1051"/>
      <c r="IC36" s="1051"/>
      <c r="ID36" s="1051"/>
      <c r="IE36" s="1051"/>
      <c r="IF36" s="1051"/>
      <c r="IG36" s="1051"/>
      <c r="IH36" s="1051"/>
      <c r="II36" s="1051"/>
      <c r="IJ36" s="1051"/>
      <c r="IK36" s="1051"/>
      <c r="IL36" s="1051"/>
      <c r="IM36" s="1051"/>
      <c r="IN36" s="1051"/>
      <c r="IO36" s="1051"/>
      <c r="IP36" s="1051"/>
      <c r="IQ36" s="1051"/>
      <c r="IR36" s="1051"/>
      <c r="IS36" s="1051"/>
      <c r="IT36" s="1051"/>
      <c r="IU36" s="1051"/>
      <c r="IV36" s="1051"/>
    </row>
    <row r="37" spans="1:256" x14ac:dyDescent="0.2">
      <c r="A37" s="1548" t="s">
        <v>11</v>
      </c>
      <c r="B37" s="1559"/>
      <c r="C37" s="1043">
        <f>SUM(C35:C36)</f>
        <v>1270000</v>
      </c>
      <c r="D37" s="1043">
        <f>SUM(D35:D36)</f>
        <v>0</v>
      </c>
      <c r="E37" s="1043">
        <f>SUM(E35:E36)</f>
        <v>0</v>
      </c>
      <c r="F37" s="1045" t="s">
        <v>446</v>
      </c>
      <c r="G37" s="1051"/>
      <c r="H37" s="1051"/>
      <c r="I37" s="1051"/>
      <c r="J37" s="1051"/>
      <c r="K37" s="1051"/>
      <c r="L37" s="1051"/>
      <c r="M37" s="1051"/>
      <c r="N37" s="1051"/>
      <c r="O37" s="1051"/>
      <c r="P37" s="1051"/>
      <c r="Q37" s="1051"/>
      <c r="R37" s="1051"/>
      <c r="S37" s="1051"/>
      <c r="T37" s="1051"/>
      <c r="U37" s="1051"/>
      <c r="V37" s="1051"/>
      <c r="W37" s="1051"/>
      <c r="X37" s="1051"/>
      <c r="Y37" s="1051"/>
      <c r="Z37" s="1051"/>
      <c r="AA37" s="1051"/>
      <c r="AB37" s="1051"/>
      <c r="AC37" s="1051"/>
      <c r="AD37" s="1051"/>
      <c r="AE37" s="1051"/>
      <c r="AF37" s="1051"/>
      <c r="AG37" s="1051"/>
      <c r="AH37" s="1051"/>
      <c r="AI37" s="1051"/>
      <c r="AJ37" s="1051"/>
      <c r="AK37" s="1051"/>
      <c r="AL37" s="1051"/>
      <c r="AM37" s="1051"/>
      <c r="AN37" s="1051"/>
      <c r="AO37" s="1051"/>
      <c r="AP37" s="1051"/>
      <c r="AQ37" s="1051"/>
      <c r="AR37" s="1051"/>
      <c r="AS37" s="1051"/>
      <c r="AT37" s="1051"/>
      <c r="AU37" s="1051"/>
      <c r="AV37" s="1051"/>
      <c r="AW37" s="1051"/>
      <c r="AX37" s="1051"/>
      <c r="AY37" s="1051"/>
      <c r="AZ37" s="1051"/>
      <c r="BA37" s="1051"/>
      <c r="BB37" s="1051"/>
      <c r="BC37" s="1051"/>
      <c r="BD37" s="1051"/>
      <c r="BE37" s="1051"/>
      <c r="BF37" s="1051"/>
      <c r="BG37" s="1051"/>
      <c r="BH37" s="1051"/>
      <c r="BI37" s="1051"/>
      <c r="BJ37" s="1051"/>
      <c r="BK37" s="1051"/>
      <c r="BL37" s="1051"/>
      <c r="BM37" s="1051"/>
      <c r="BN37" s="1051"/>
      <c r="BO37" s="1051"/>
      <c r="BP37" s="1051"/>
      <c r="BQ37" s="1051"/>
      <c r="BR37" s="1051"/>
      <c r="BS37" s="1051"/>
      <c r="BT37" s="1051"/>
      <c r="BU37" s="1051"/>
      <c r="BV37" s="1051"/>
      <c r="BW37" s="1051"/>
      <c r="BX37" s="1051"/>
      <c r="BY37" s="1051"/>
      <c r="BZ37" s="1051"/>
      <c r="CA37" s="1051"/>
      <c r="CB37" s="1051"/>
      <c r="CC37" s="1051"/>
      <c r="CD37" s="1051"/>
      <c r="CE37" s="1051"/>
      <c r="CF37" s="1051"/>
      <c r="CG37" s="1051"/>
      <c r="CH37" s="1051"/>
      <c r="CI37" s="1051"/>
      <c r="CJ37" s="1051"/>
      <c r="CK37" s="1051"/>
      <c r="CL37" s="1051"/>
      <c r="CM37" s="1051"/>
      <c r="CN37" s="1051"/>
      <c r="CO37" s="1051"/>
      <c r="CP37" s="1051"/>
      <c r="CQ37" s="1051"/>
      <c r="CR37" s="1051"/>
      <c r="CS37" s="1051"/>
      <c r="CT37" s="1051"/>
      <c r="CU37" s="1051"/>
      <c r="CV37" s="1051"/>
      <c r="CW37" s="1051"/>
      <c r="CX37" s="1051"/>
      <c r="CY37" s="1051"/>
      <c r="CZ37" s="1051"/>
      <c r="DA37" s="1051"/>
      <c r="DB37" s="1051"/>
      <c r="DC37" s="1051"/>
      <c r="DD37" s="1051"/>
      <c r="DE37" s="1051"/>
      <c r="DF37" s="1051"/>
      <c r="DG37" s="1051"/>
      <c r="DH37" s="1051"/>
      <c r="DI37" s="1051"/>
      <c r="DJ37" s="1051"/>
      <c r="DK37" s="1051"/>
      <c r="DL37" s="1051"/>
      <c r="DM37" s="1051"/>
      <c r="DN37" s="1051"/>
      <c r="DO37" s="1051"/>
      <c r="DP37" s="1051"/>
      <c r="DQ37" s="1051"/>
      <c r="DR37" s="1051"/>
      <c r="DS37" s="1051"/>
      <c r="DT37" s="1051"/>
      <c r="DU37" s="1051"/>
      <c r="DV37" s="1051"/>
      <c r="DW37" s="1051"/>
      <c r="DX37" s="1051"/>
      <c r="DY37" s="1051"/>
      <c r="DZ37" s="1051"/>
      <c r="EA37" s="1051"/>
      <c r="EB37" s="1051"/>
      <c r="EC37" s="1051"/>
      <c r="ED37" s="1051"/>
      <c r="EE37" s="1051"/>
      <c r="EF37" s="1051"/>
      <c r="EG37" s="1051"/>
      <c r="EH37" s="1051"/>
      <c r="EI37" s="1051"/>
      <c r="EJ37" s="1051"/>
      <c r="EK37" s="1051"/>
      <c r="EL37" s="1051"/>
      <c r="EM37" s="1051"/>
      <c r="EN37" s="1051"/>
      <c r="EO37" s="1051"/>
      <c r="EP37" s="1051"/>
      <c r="EQ37" s="1051"/>
      <c r="ER37" s="1051"/>
      <c r="ES37" s="1051"/>
      <c r="ET37" s="1051"/>
      <c r="EU37" s="1051"/>
      <c r="EV37" s="1051"/>
      <c r="EW37" s="1051"/>
      <c r="EX37" s="1051"/>
      <c r="EY37" s="1051"/>
      <c r="EZ37" s="1051"/>
      <c r="FA37" s="1051"/>
      <c r="FB37" s="1051"/>
      <c r="FC37" s="1051"/>
      <c r="FD37" s="1051"/>
      <c r="FE37" s="1051"/>
      <c r="FF37" s="1051"/>
      <c r="FG37" s="1051"/>
      <c r="FH37" s="1051"/>
      <c r="FI37" s="1051"/>
      <c r="FJ37" s="1051"/>
      <c r="FK37" s="1051"/>
      <c r="FL37" s="1051"/>
      <c r="FM37" s="1051"/>
      <c r="FN37" s="1051"/>
      <c r="FO37" s="1051"/>
      <c r="FP37" s="1051"/>
      <c r="FQ37" s="1051"/>
      <c r="FR37" s="1051"/>
      <c r="FS37" s="1051"/>
      <c r="FT37" s="1051"/>
      <c r="FU37" s="1051"/>
      <c r="FV37" s="1051"/>
      <c r="FW37" s="1051"/>
      <c r="FX37" s="1051"/>
      <c r="FY37" s="1051"/>
      <c r="FZ37" s="1051"/>
      <c r="GA37" s="1051"/>
      <c r="GB37" s="1051"/>
      <c r="GC37" s="1051"/>
      <c r="GD37" s="1051"/>
      <c r="GE37" s="1051"/>
      <c r="GF37" s="1051"/>
      <c r="GG37" s="1051"/>
      <c r="GH37" s="1051"/>
      <c r="GI37" s="1051"/>
      <c r="GJ37" s="1051"/>
      <c r="GK37" s="1051"/>
      <c r="GL37" s="1051"/>
      <c r="GM37" s="1051"/>
      <c r="GN37" s="1051"/>
      <c r="GO37" s="1051"/>
      <c r="GP37" s="1051"/>
      <c r="GQ37" s="1051"/>
      <c r="GR37" s="1051"/>
      <c r="GS37" s="1051"/>
      <c r="GT37" s="1051"/>
      <c r="GU37" s="1051"/>
      <c r="GV37" s="1051"/>
      <c r="GW37" s="1051"/>
      <c r="GX37" s="1051"/>
      <c r="GY37" s="1051"/>
      <c r="GZ37" s="1051"/>
      <c r="HA37" s="1051"/>
      <c r="HB37" s="1051"/>
      <c r="HC37" s="1051"/>
      <c r="HD37" s="1051"/>
      <c r="HE37" s="1051"/>
      <c r="HF37" s="1051"/>
      <c r="HG37" s="1051"/>
      <c r="HH37" s="1051"/>
      <c r="HI37" s="1051"/>
      <c r="HJ37" s="1051"/>
      <c r="HK37" s="1051"/>
      <c r="HL37" s="1051"/>
      <c r="HM37" s="1051"/>
      <c r="HN37" s="1051"/>
      <c r="HO37" s="1051"/>
      <c r="HP37" s="1051"/>
      <c r="HQ37" s="1051"/>
      <c r="HR37" s="1051"/>
      <c r="HS37" s="1051"/>
      <c r="HT37" s="1051"/>
      <c r="HU37" s="1051"/>
      <c r="HV37" s="1051"/>
      <c r="HW37" s="1051"/>
      <c r="HX37" s="1051"/>
      <c r="HY37" s="1051"/>
      <c r="HZ37" s="1051"/>
      <c r="IA37" s="1051"/>
      <c r="IB37" s="1051"/>
      <c r="IC37" s="1051"/>
      <c r="ID37" s="1051"/>
      <c r="IE37" s="1051"/>
      <c r="IF37" s="1051"/>
      <c r="IG37" s="1051"/>
      <c r="IH37" s="1051"/>
      <c r="II37" s="1051"/>
      <c r="IJ37" s="1051"/>
      <c r="IK37" s="1051"/>
      <c r="IL37" s="1051"/>
      <c r="IM37" s="1051"/>
      <c r="IN37" s="1051"/>
      <c r="IO37" s="1051"/>
      <c r="IP37" s="1051"/>
      <c r="IQ37" s="1051"/>
      <c r="IR37" s="1051"/>
      <c r="IS37" s="1051"/>
      <c r="IT37" s="1051"/>
      <c r="IU37" s="1051"/>
      <c r="IV37" s="1051"/>
    </row>
    <row r="38" spans="1:256" x14ac:dyDescent="0.2">
      <c r="A38" s="1549" t="s">
        <v>73</v>
      </c>
      <c r="B38" s="1575"/>
      <c r="C38" s="1046">
        <f>C34+C37</f>
        <v>2113000</v>
      </c>
      <c r="D38" s="1046">
        <f>D34+D37</f>
        <v>843000</v>
      </c>
      <c r="E38" s="1046">
        <f>E34+E37</f>
        <v>675089</v>
      </c>
      <c r="F38" s="1047">
        <f t="shared" si="1"/>
        <v>0.80081731909845788</v>
      </c>
    </row>
    <row r="39" spans="1:256" x14ac:dyDescent="0.2">
      <c r="A39" s="1552" t="s">
        <v>169</v>
      </c>
      <c r="B39" s="1553"/>
      <c r="C39" s="1553"/>
      <c r="D39" s="1553"/>
      <c r="E39" s="1553"/>
      <c r="F39" s="1554"/>
    </row>
    <row r="40" spans="1:256" x14ac:dyDescent="0.2">
      <c r="A40" s="1065" t="s">
        <v>70</v>
      </c>
      <c r="B40" s="1066" t="s">
        <v>71</v>
      </c>
      <c r="C40" s="1038" t="s">
        <v>687</v>
      </c>
      <c r="D40" s="1038" t="s">
        <v>688</v>
      </c>
      <c r="E40" s="1039" t="s">
        <v>689</v>
      </c>
      <c r="F40" s="1040" t="s">
        <v>690</v>
      </c>
    </row>
    <row r="41" spans="1:256" x14ac:dyDescent="0.2">
      <c r="A41" s="1041" t="s">
        <v>683</v>
      </c>
      <c r="B41" s="1042" t="s">
        <v>713</v>
      </c>
      <c r="C41" s="1043">
        <v>2370000</v>
      </c>
      <c r="D41" s="1050">
        <v>850000</v>
      </c>
      <c r="E41" s="1050">
        <v>542400</v>
      </c>
      <c r="F41" s="1067">
        <f>E41/D41</f>
        <v>0.63811764705882357</v>
      </c>
    </row>
    <row r="42" spans="1:256" x14ac:dyDescent="0.2">
      <c r="A42" s="1041" t="s">
        <v>714</v>
      </c>
      <c r="B42" s="1042" t="s">
        <v>715</v>
      </c>
      <c r="C42" s="1043">
        <v>4900000</v>
      </c>
      <c r="D42" s="1050">
        <v>6420000</v>
      </c>
      <c r="E42" s="1050">
        <v>6411593</v>
      </c>
      <c r="F42" s="1067">
        <f t="shared" ref="F42:F60" si="2">E42/D42</f>
        <v>0.99869049844236757</v>
      </c>
    </row>
    <row r="43" spans="1:256" x14ac:dyDescent="0.2">
      <c r="A43" s="1041" t="s">
        <v>517</v>
      </c>
      <c r="B43" s="1042" t="s">
        <v>691</v>
      </c>
      <c r="C43" s="1043">
        <v>50000</v>
      </c>
      <c r="D43" s="1061">
        <v>50000</v>
      </c>
      <c r="E43" s="1050">
        <v>10798</v>
      </c>
      <c r="F43" s="1067">
        <f t="shared" si="2"/>
        <v>0.21596000000000001</v>
      </c>
    </row>
    <row r="44" spans="1:256" x14ac:dyDescent="0.2">
      <c r="A44" s="1041" t="s">
        <v>675</v>
      </c>
      <c r="B44" s="1042" t="s">
        <v>234</v>
      </c>
      <c r="C44" s="1043">
        <v>0</v>
      </c>
      <c r="D44" s="1061">
        <v>252610</v>
      </c>
      <c r="E44" s="1050">
        <v>265179</v>
      </c>
      <c r="F44" s="1067">
        <f t="shared" si="2"/>
        <v>1.049756541704604</v>
      </c>
    </row>
    <row r="45" spans="1:256" x14ac:dyDescent="0.2">
      <c r="A45" s="1564" t="s">
        <v>20</v>
      </c>
      <c r="B45" s="1559"/>
      <c r="C45" s="1043">
        <f>SUM(C41:C44)</f>
        <v>7320000</v>
      </c>
      <c r="D45" s="1043">
        <f>SUM(D41:D44)</f>
        <v>7572610</v>
      </c>
      <c r="E45" s="1043">
        <f>SUM(E41:E44)</f>
        <v>7229970</v>
      </c>
      <c r="F45" s="1067">
        <f t="shared" si="2"/>
        <v>0.95475272066037997</v>
      </c>
    </row>
    <row r="46" spans="1:256" ht="25.5" x14ac:dyDescent="0.2">
      <c r="A46" s="1056" t="s">
        <v>716</v>
      </c>
      <c r="B46" s="1064" t="s">
        <v>717</v>
      </c>
      <c r="C46" s="1043">
        <v>2518000</v>
      </c>
      <c r="D46" s="1061">
        <v>2140300</v>
      </c>
      <c r="E46" s="1050">
        <v>2140298</v>
      </c>
      <c r="F46" s="1067">
        <f t="shared" si="2"/>
        <v>0.99999906555155815</v>
      </c>
      <c r="G46" s="1051"/>
      <c r="H46" s="1051"/>
      <c r="I46" s="1051"/>
      <c r="J46" s="1051"/>
      <c r="K46" s="1051"/>
      <c r="L46" s="1051"/>
      <c r="M46" s="1051"/>
      <c r="N46" s="1051"/>
      <c r="O46" s="1051"/>
      <c r="P46" s="1051"/>
      <c r="Q46" s="1051"/>
      <c r="R46" s="1051"/>
      <c r="S46" s="1051"/>
      <c r="T46" s="1051"/>
      <c r="U46" s="1051"/>
      <c r="V46" s="1051"/>
      <c r="W46" s="1051"/>
      <c r="X46" s="1051"/>
      <c r="Y46" s="1051"/>
      <c r="Z46" s="1051"/>
      <c r="AA46" s="1051"/>
      <c r="AB46" s="1051"/>
      <c r="AC46" s="1051"/>
      <c r="AD46" s="1051"/>
      <c r="AE46" s="1051"/>
      <c r="AF46" s="1051"/>
      <c r="AG46" s="1051"/>
      <c r="AH46" s="1051"/>
      <c r="AI46" s="1051"/>
      <c r="AJ46" s="1051"/>
      <c r="AK46" s="1051"/>
      <c r="AL46" s="1051"/>
      <c r="AM46" s="1051"/>
      <c r="AN46" s="1051"/>
      <c r="AO46" s="1051"/>
      <c r="AP46" s="1051"/>
      <c r="AQ46" s="1051"/>
      <c r="AR46" s="1051"/>
      <c r="AS46" s="1051"/>
      <c r="AT46" s="1051"/>
      <c r="AU46" s="1051"/>
      <c r="AV46" s="1051"/>
      <c r="AW46" s="1051"/>
      <c r="AX46" s="1051"/>
      <c r="AY46" s="1051"/>
      <c r="AZ46" s="1051"/>
      <c r="BA46" s="1051"/>
      <c r="BB46" s="1051"/>
      <c r="BC46" s="1051"/>
      <c r="BD46" s="1051"/>
      <c r="BE46" s="1051"/>
      <c r="BF46" s="1051"/>
      <c r="BG46" s="1051"/>
      <c r="BH46" s="1051"/>
      <c r="BI46" s="1051"/>
      <c r="BJ46" s="1051"/>
      <c r="BK46" s="1051"/>
      <c r="BL46" s="1051"/>
      <c r="BM46" s="1051"/>
      <c r="BN46" s="1051"/>
      <c r="BO46" s="1051"/>
      <c r="BP46" s="1051"/>
      <c r="BQ46" s="1051"/>
      <c r="BR46" s="1051"/>
      <c r="BS46" s="1051"/>
      <c r="BT46" s="1051"/>
      <c r="BU46" s="1051"/>
      <c r="BV46" s="1051"/>
      <c r="BW46" s="1051"/>
      <c r="BX46" s="1051"/>
      <c r="BY46" s="1051"/>
      <c r="BZ46" s="1051"/>
      <c r="CA46" s="1051"/>
      <c r="CB46" s="1051"/>
      <c r="CC46" s="1051"/>
      <c r="CD46" s="1051"/>
      <c r="CE46" s="1051"/>
      <c r="CF46" s="1051"/>
      <c r="CG46" s="1051"/>
      <c r="CH46" s="1051"/>
      <c r="CI46" s="1051"/>
      <c r="CJ46" s="1051"/>
      <c r="CK46" s="1051"/>
      <c r="CL46" s="1051"/>
      <c r="CM46" s="1051"/>
      <c r="CN46" s="1051"/>
      <c r="CO46" s="1051"/>
      <c r="CP46" s="1051"/>
      <c r="CQ46" s="1051"/>
      <c r="CR46" s="1051"/>
      <c r="CS46" s="1051"/>
      <c r="CT46" s="1051"/>
      <c r="CU46" s="1051"/>
      <c r="CV46" s="1051"/>
      <c r="CW46" s="1051"/>
      <c r="CX46" s="1051"/>
      <c r="CY46" s="1051"/>
      <c r="CZ46" s="1051"/>
      <c r="DA46" s="1051"/>
      <c r="DB46" s="1051"/>
      <c r="DC46" s="1051"/>
      <c r="DD46" s="1051"/>
      <c r="DE46" s="1051"/>
      <c r="DF46" s="1051"/>
      <c r="DG46" s="1051"/>
      <c r="DH46" s="1051"/>
      <c r="DI46" s="1051"/>
      <c r="DJ46" s="1051"/>
      <c r="DK46" s="1051"/>
      <c r="DL46" s="1051"/>
      <c r="DM46" s="1051"/>
      <c r="DN46" s="1051"/>
      <c r="DO46" s="1051"/>
      <c r="DP46" s="1051"/>
      <c r="DQ46" s="1051"/>
      <c r="DR46" s="1051"/>
      <c r="DS46" s="1051"/>
      <c r="DT46" s="1051"/>
      <c r="DU46" s="1051"/>
      <c r="DV46" s="1051"/>
      <c r="DW46" s="1051"/>
      <c r="DX46" s="1051"/>
      <c r="DY46" s="1051"/>
      <c r="DZ46" s="1051"/>
      <c r="EA46" s="1051"/>
      <c r="EB46" s="1051"/>
      <c r="EC46" s="1051"/>
      <c r="ED46" s="1051"/>
      <c r="EE46" s="1051"/>
      <c r="EF46" s="1051"/>
      <c r="EG46" s="1051"/>
      <c r="EH46" s="1051"/>
      <c r="EI46" s="1051"/>
      <c r="EJ46" s="1051"/>
      <c r="EK46" s="1051"/>
      <c r="EL46" s="1051"/>
      <c r="EM46" s="1051"/>
      <c r="EN46" s="1051"/>
      <c r="EO46" s="1051"/>
      <c r="EP46" s="1051"/>
      <c r="EQ46" s="1051"/>
      <c r="ER46" s="1051"/>
      <c r="ES46" s="1051"/>
      <c r="ET46" s="1051"/>
      <c r="EU46" s="1051"/>
      <c r="EV46" s="1051"/>
      <c r="EW46" s="1051"/>
      <c r="EX46" s="1051"/>
      <c r="EY46" s="1051"/>
      <c r="EZ46" s="1051"/>
      <c r="FA46" s="1051"/>
      <c r="FB46" s="1051"/>
      <c r="FC46" s="1051"/>
      <c r="FD46" s="1051"/>
      <c r="FE46" s="1051"/>
      <c r="FF46" s="1051"/>
      <c r="FG46" s="1051"/>
      <c r="FH46" s="1051"/>
      <c r="FI46" s="1051"/>
      <c r="FJ46" s="1051"/>
      <c r="FK46" s="1051"/>
      <c r="FL46" s="1051"/>
      <c r="FM46" s="1051"/>
      <c r="FN46" s="1051"/>
      <c r="FO46" s="1051"/>
      <c r="FP46" s="1051"/>
      <c r="FQ46" s="1051"/>
      <c r="FR46" s="1051"/>
      <c r="FS46" s="1051"/>
      <c r="FT46" s="1051"/>
      <c r="FU46" s="1051"/>
      <c r="FV46" s="1051"/>
      <c r="FW46" s="1051"/>
      <c r="FX46" s="1051"/>
      <c r="FY46" s="1051"/>
      <c r="FZ46" s="1051"/>
      <c r="GA46" s="1051"/>
      <c r="GB46" s="1051"/>
      <c r="GC46" s="1051"/>
      <c r="GD46" s="1051"/>
      <c r="GE46" s="1051"/>
      <c r="GF46" s="1051"/>
      <c r="GG46" s="1051"/>
      <c r="GH46" s="1051"/>
      <c r="GI46" s="1051"/>
      <c r="GJ46" s="1051"/>
      <c r="GK46" s="1051"/>
      <c r="GL46" s="1051"/>
      <c r="GM46" s="1051"/>
      <c r="GN46" s="1051"/>
      <c r="GO46" s="1051"/>
      <c r="GP46" s="1051"/>
      <c r="GQ46" s="1051"/>
      <c r="GR46" s="1051"/>
      <c r="GS46" s="1051"/>
      <c r="GT46" s="1051"/>
      <c r="GU46" s="1051"/>
      <c r="GV46" s="1051"/>
      <c r="GW46" s="1051"/>
      <c r="GX46" s="1051"/>
      <c r="GY46" s="1051"/>
      <c r="GZ46" s="1051"/>
      <c r="HA46" s="1051"/>
      <c r="HB46" s="1051"/>
      <c r="HC46" s="1051"/>
      <c r="HD46" s="1051"/>
      <c r="HE46" s="1051"/>
      <c r="HF46" s="1051"/>
      <c r="HG46" s="1051"/>
      <c r="HH46" s="1051"/>
      <c r="HI46" s="1051"/>
      <c r="HJ46" s="1051"/>
      <c r="HK46" s="1051"/>
      <c r="HL46" s="1051"/>
      <c r="HM46" s="1051"/>
      <c r="HN46" s="1051"/>
      <c r="HO46" s="1051"/>
      <c r="HP46" s="1051"/>
      <c r="HQ46" s="1051"/>
      <c r="HR46" s="1051"/>
      <c r="HS46" s="1051"/>
      <c r="HT46" s="1051"/>
      <c r="HU46" s="1051"/>
      <c r="HV46" s="1051"/>
      <c r="HW46" s="1051"/>
      <c r="HX46" s="1051"/>
      <c r="HY46" s="1051"/>
      <c r="HZ46" s="1051"/>
      <c r="IA46" s="1051"/>
      <c r="IB46" s="1051"/>
      <c r="IC46" s="1051"/>
      <c r="ID46" s="1051"/>
      <c r="IE46" s="1051"/>
      <c r="IF46" s="1051"/>
      <c r="IG46" s="1051"/>
      <c r="IH46" s="1051"/>
      <c r="II46" s="1051"/>
      <c r="IJ46" s="1051"/>
      <c r="IK46" s="1051"/>
      <c r="IL46" s="1051"/>
      <c r="IM46" s="1051"/>
      <c r="IN46" s="1051"/>
      <c r="IO46" s="1051"/>
      <c r="IP46" s="1051"/>
      <c r="IQ46" s="1051"/>
      <c r="IR46" s="1051"/>
      <c r="IS46" s="1051"/>
      <c r="IT46" s="1051"/>
      <c r="IU46" s="1051"/>
      <c r="IV46" s="1051"/>
    </row>
    <row r="47" spans="1:256" x14ac:dyDescent="0.2">
      <c r="A47" s="1550" t="s">
        <v>96</v>
      </c>
      <c r="B47" s="1551"/>
      <c r="C47" s="1043">
        <f>SUM(C46)</f>
        <v>2518000</v>
      </c>
      <c r="D47" s="1043">
        <f>SUM(D46)</f>
        <v>2140300</v>
      </c>
      <c r="E47" s="1043">
        <f>SUM(E46)</f>
        <v>2140298</v>
      </c>
      <c r="F47" s="1067">
        <f t="shared" si="2"/>
        <v>0.99999906555155815</v>
      </c>
      <c r="G47" s="1051"/>
      <c r="H47" s="1051"/>
      <c r="I47" s="1051"/>
      <c r="J47" s="1051"/>
      <c r="K47" s="1051"/>
      <c r="L47" s="1051"/>
      <c r="M47" s="1051"/>
      <c r="N47" s="1051"/>
      <c r="O47" s="1051"/>
      <c r="P47" s="1051"/>
      <c r="Q47" s="1051"/>
      <c r="R47" s="1051"/>
      <c r="S47" s="1051"/>
      <c r="T47" s="1051"/>
      <c r="U47" s="1051"/>
      <c r="V47" s="1051"/>
      <c r="W47" s="1051"/>
      <c r="X47" s="1051"/>
      <c r="Y47" s="1051"/>
      <c r="Z47" s="1051"/>
      <c r="AA47" s="1051"/>
      <c r="AB47" s="1051"/>
      <c r="AC47" s="1051"/>
      <c r="AD47" s="1051"/>
      <c r="AE47" s="1051"/>
      <c r="AF47" s="1051"/>
      <c r="AG47" s="1051"/>
      <c r="AH47" s="1051"/>
      <c r="AI47" s="1051"/>
      <c r="AJ47" s="1051"/>
      <c r="AK47" s="1051"/>
      <c r="AL47" s="1051"/>
      <c r="AM47" s="1051"/>
      <c r="AN47" s="1051"/>
      <c r="AO47" s="1051"/>
      <c r="AP47" s="1051"/>
      <c r="AQ47" s="1051"/>
      <c r="AR47" s="1051"/>
      <c r="AS47" s="1051"/>
      <c r="AT47" s="1051"/>
      <c r="AU47" s="1051"/>
      <c r="AV47" s="1051"/>
      <c r="AW47" s="1051"/>
      <c r="AX47" s="1051"/>
      <c r="AY47" s="1051"/>
      <c r="AZ47" s="1051"/>
      <c r="BA47" s="1051"/>
      <c r="BB47" s="1051"/>
      <c r="BC47" s="1051"/>
      <c r="BD47" s="1051"/>
      <c r="BE47" s="1051"/>
      <c r="BF47" s="1051"/>
      <c r="BG47" s="1051"/>
      <c r="BH47" s="1051"/>
      <c r="BI47" s="1051"/>
      <c r="BJ47" s="1051"/>
      <c r="BK47" s="1051"/>
      <c r="BL47" s="1051"/>
      <c r="BM47" s="1051"/>
      <c r="BN47" s="1051"/>
      <c r="BO47" s="1051"/>
      <c r="BP47" s="1051"/>
      <c r="BQ47" s="1051"/>
      <c r="BR47" s="1051"/>
      <c r="BS47" s="1051"/>
      <c r="BT47" s="1051"/>
      <c r="BU47" s="1051"/>
      <c r="BV47" s="1051"/>
      <c r="BW47" s="1051"/>
      <c r="BX47" s="1051"/>
      <c r="BY47" s="1051"/>
      <c r="BZ47" s="1051"/>
      <c r="CA47" s="1051"/>
      <c r="CB47" s="1051"/>
      <c r="CC47" s="1051"/>
      <c r="CD47" s="1051"/>
      <c r="CE47" s="1051"/>
      <c r="CF47" s="1051"/>
      <c r="CG47" s="1051"/>
      <c r="CH47" s="1051"/>
      <c r="CI47" s="1051"/>
      <c r="CJ47" s="1051"/>
      <c r="CK47" s="1051"/>
      <c r="CL47" s="1051"/>
      <c r="CM47" s="1051"/>
      <c r="CN47" s="1051"/>
      <c r="CO47" s="1051"/>
      <c r="CP47" s="1051"/>
      <c r="CQ47" s="1051"/>
      <c r="CR47" s="1051"/>
      <c r="CS47" s="1051"/>
      <c r="CT47" s="1051"/>
      <c r="CU47" s="1051"/>
      <c r="CV47" s="1051"/>
      <c r="CW47" s="1051"/>
      <c r="CX47" s="1051"/>
      <c r="CY47" s="1051"/>
      <c r="CZ47" s="1051"/>
      <c r="DA47" s="1051"/>
      <c r="DB47" s="1051"/>
      <c r="DC47" s="1051"/>
      <c r="DD47" s="1051"/>
      <c r="DE47" s="1051"/>
      <c r="DF47" s="1051"/>
      <c r="DG47" s="1051"/>
      <c r="DH47" s="1051"/>
      <c r="DI47" s="1051"/>
      <c r="DJ47" s="1051"/>
      <c r="DK47" s="1051"/>
      <c r="DL47" s="1051"/>
      <c r="DM47" s="1051"/>
      <c r="DN47" s="1051"/>
      <c r="DO47" s="1051"/>
      <c r="DP47" s="1051"/>
      <c r="DQ47" s="1051"/>
      <c r="DR47" s="1051"/>
      <c r="DS47" s="1051"/>
      <c r="DT47" s="1051"/>
      <c r="DU47" s="1051"/>
      <c r="DV47" s="1051"/>
      <c r="DW47" s="1051"/>
      <c r="DX47" s="1051"/>
      <c r="DY47" s="1051"/>
      <c r="DZ47" s="1051"/>
      <c r="EA47" s="1051"/>
      <c r="EB47" s="1051"/>
      <c r="EC47" s="1051"/>
      <c r="ED47" s="1051"/>
      <c r="EE47" s="1051"/>
      <c r="EF47" s="1051"/>
      <c r="EG47" s="1051"/>
      <c r="EH47" s="1051"/>
      <c r="EI47" s="1051"/>
      <c r="EJ47" s="1051"/>
      <c r="EK47" s="1051"/>
      <c r="EL47" s="1051"/>
      <c r="EM47" s="1051"/>
      <c r="EN47" s="1051"/>
      <c r="EO47" s="1051"/>
      <c r="EP47" s="1051"/>
      <c r="EQ47" s="1051"/>
      <c r="ER47" s="1051"/>
      <c r="ES47" s="1051"/>
      <c r="ET47" s="1051"/>
      <c r="EU47" s="1051"/>
      <c r="EV47" s="1051"/>
      <c r="EW47" s="1051"/>
      <c r="EX47" s="1051"/>
      <c r="EY47" s="1051"/>
      <c r="EZ47" s="1051"/>
      <c r="FA47" s="1051"/>
      <c r="FB47" s="1051"/>
      <c r="FC47" s="1051"/>
      <c r="FD47" s="1051"/>
      <c r="FE47" s="1051"/>
      <c r="FF47" s="1051"/>
      <c r="FG47" s="1051"/>
      <c r="FH47" s="1051"/>
      <c r="FI47" s="1051"/>
      <c r="FJ47" s="1051"/>
      <c r="FK47" s="1051"/>
      <c r="FL47" s="1051"/>
      <c r="FM47" s="1051"/>
      <c r="FN47" s="1051"/>
      <c r="FO47" s="1051"/>
      <c r="FP47" s="1051"/>
      <c r="FQ47" s="1051"/>
      <c r="FR47" s="1051"/>
      <c r="FS47" s="1051"/>
      <c r="FT47" s="1051"/>
      <c r="FU47" s="1051"/>
      <c r="FV47" s="1051"/>
      <c r="FW47" s="1051"/>
      <c r="FX47" s="1051"/>
      <c r="FY47" s="1051"/>
      <c r="FZ47" s="1051"/>
      <c r="GA47" s="1051"/>
      <c r="GB47" s="1051"/>
      <c r="GC47" s="1051"/>
      <c r="GD47" s="1051"/>
      <c r="GE47" s="1051"/>
      <c r="GF47" s="1051"/>
      <c r="GG47" s="1051"/>
      <c r="GH47" s="1051"/>
      <c r="GI47" s="1051"/>
      <c r="GJ47" s="1051"/>
      <c r="GK47" s="1051"/>
      <c r="GL47" s="1051"/>
      <c r="GM47" s="1051"/>
      <c r="GN47" s="1051"/>
      <c r="GO47" s="1051"/>
      <c r="GP47" s="1051"/>
      <c r="GQ47" s="1051"/>
      <c r="GR47" s="1051"/>
      <c r="GS47" s="1051"/>
      <c r="GT47" s="1051"/>
      <c r="GU47" s="1051"/>
      <c r="GV47" s="1051"/>
      <c r="GW47" s="1051"/>
      <c r="GX47" s="1051"/>
      <c r="GY47" s="1051"/>
      <c r="GZ47" s="1051"/>
      <c r="HA47" s="1051"/>
      <c r="HB47" s="1051"/>
      <c r="HC47" s="1051"/>
      <c r="HD47" s="1051"/>
      <c r="HE47" s="1051"/>
      <c r="HF47" s="1051"/>
      <c r="HG47" s="1051"/>
      <c r="HH47" s="1051"/>
      <c r="HI47" s="1051"/>
      <c r="HJ47" s="1051"/>
      <c r="HK47" s="1051"/>
      <c r="HL47" s="1051"/>
      <c r="HM47" s="1051"/>
      <c r="HN47" s="1051"/>
      <c r="HO47" s="1051"/>
      <c r="HP47" s="1051"/>
      <c r="HQ47" s="1051"/>
      <c r="HR47" s="1051"/>
      <c r="HS47" s="1051"/>
      <c r="HT47" s="1051"/>
      <c r="HU47" s="1051"/>
      <c r="HV47" s="1051"/>
      <c r="HW47" s="1051"/>
      <c r="HX47" s="1051"/>
      <c r="HY47" s="1051"/>
      <c r="HZ47" s="1051"/>
      <c r="IA47" s="1051"/>
      <c r="IB47" s="1051"/>
      <c r="IC47" s="1051"/>
      <c r="ID47" s="1051"/>
      <c r="IE47" s="1051"/>
      <c r="IF47" s="1051"/>
      <c r="IG47" s="1051"/>
      <c r="IH47" s="1051"/>
      <c r="II47" s="1051"/>
      <c r="IJ47" s="1051"/>
      <c r="IK47" s="1051"/>
      <c r="IL47" s="1051"/>
      <c r="IM47" s="1051"/>
      <c r="IN47" s="1051"/>
      <c r="IO47" s="1051"/>
      <c r="IP47" s="1051"/>
      <c r="IQ47" s="1051"/>
      <c r="IR47" s="1051"/>
      <c r="IS47" s="1051"/>
      <c r="IT47" s="1051"/>
      <c r="IU47" s="1051"/>
      <c r="IV47" s="1051"/>
    </row>
    <row r="48" spans="1:256" x14ac:dyDescent="0.2">
      <c r="A48" s="1549" t="s">
        <v>74</v>
      </c>
      <c r="B48" s="1575"/>
      <c r="C48" s="1046">
        <f>C45+C47</f>
        <v>9838000</v>
      </c>
      <c r="D48" s="1046">
        <f>D45+D47</f>
        <v>9712910</v>
      </c>
      <c r="E48" s="1046">
        <f>E45+E47</f>
        <v>9370268</v>
      </c>
      <c r="F48" s="1047">
        <f t="shared" si="2"/>
        <v>0.96472303357078359</v>
      </c>
    </row>
    <row r="49" spans="1:256" x14ac:dyDescent="0.2">
      <c r="A49" s="1041" t="s">
        <v>709</v>
      </c>
      <c r="B49" s="1042" t="s">
        <v>718</v>
      </c>
      <c r="C49" s="1043">
        <v>400000</v>
      </c>
      <c r="D49" s="1050">
        <v>2220000</v>
      </c>
      <c r="E49" s="1068">
        <v>2216401</v>
      </c>
      <c r="F49" s="1067">
        <f t="shared" si="2"/>
        <v>0.99837882882882878</v>
      </c>
    </row>
    <row r="50" spans="1:256" x14ac:dyDescent="0.2">
      <c r="A50" s="1041" t="s">
        <v>698</v>
      </c>
      <c r="B50" s="1042" t="s">
        <v>719</v>
      </c>
      <c r="C50" s="1043">
        <v>1500000</v>
      </c>
      <c r="D50" s="1069">
        <v>1500000</v>
      </c>
      <c r="E50" s="1069">
        <v>765292</v>
      </c>
      <c r="F50" s="1067">
        <f t="shared" si="2"/>
        <v>0.51019466666666669</v>
      </c>
    </row>
    <row r="51" spans="1:256" x14ac:dyDescent="0.2">
      <c r="A51" s="1041" t="s">
        <v>703</v>
      </c>
      <c r="B51" s="1042" t="s">
        <v>557</v>
      </c>
      <c r="C51" s="1043">
        <v>62000</v>
      </c>
      <c r="D51" s="1069">
        <v>693000</v>
      </c>
      <c r="E51" s="1069">
        <v>611232</v>
      </c>
      <c r="F51" s="1067">
        <f t="shared" si="2"/>
        <v>0.88200865800865802</v>
      </c>
    </row>
    <row r="52" spans="1:256" x14ac:dyDescent="0.2">
      <c r="A52" s="1041" t="s">
        <v>720</v>
      </c>
      <c r="B52" s="1042" t="s">
        <v>721</v>
      </c>
      <c r="C52" s="1070">
        <v>200000</v>
      </c>
      <c r="D52" s="1043">
        <v>0</v>
      </c>
      <c r="E52" s="1052">
        <v>0</v>
      </c>
      <c r="F52" s="1067">
        <v>0</v>
      </c>
    </row>
    <row r="53" spans="1:256" x14ac:dyDescent="0.2">
      <c r="A53" s="1548" t="s">
        <v>168</v>
      </c>
      <c r="B53" s="1559"/>
      <c r="C53" s="1043">
        <f>SUM(C49:C52)</f>
        <v>2162000</v>
      </c>
      <c r="D53" s="1043">
        <f>SUM(D49:D52)</f>
        <v>4413000</v>
      </c>
      <c r="E53" s="1043">
        <f>SUM(E49:E52)</f>
        <v>3592925</v>
      </c>
      <c r="F53" s="1067">
        <f t="shared" si="2"/>
        <v>0.81416836619079991</v>
      </c>
      <c r="G53" s="1051"/>
      <c r="H53" s="1051"/>
      <c r="I53" s="1051"/>
      <c r="J53" s="1051"/>
      <c r="K53" s="1051"/>
      <c r="L53" s="1051"/>
      <c r="M53" s="1051"/>
      <c r="N53" s="1051"/>
      <c r="O53" s="1051"/>
      <c r="P53" s="1051"/>
      <c r="Q53" s="1051"/>
      <c r="R53" s="1051"/>
      <c r="S53" s="1051"/>
      <c r="T53" s="1051"/>
      <c r="U53" s="1051"/>
      <c r="V53" s="1051"/>
      <c r="W53" s="1051"/>
      <c r="X53" s="1051"/>
      <c r="Y53" s="1051"/>
      <c r="Z53" s="1051"/>
      <c r="AA53" s="1051"/>
      <c r="AB53" s="1051"/>
      <c r="AC53" s="1051"/>
      <c r="AD53" s="1051"/>
      <c r="AE53" s="1051"/>
      <c r="AF53" s="1051"/>
      <c r="AG53" s="1051"/>
      <c r="AH53" s="1051"/>
      <c r="AI53" s="1051"/>
      <c r="AJ53" s="1051"/>
      <c r="AK53" s="1051"/>
      <c r="AL53" s="1051"/>
      <c r="AM53" s="1051"/>
      <c r="AN53" s="1051"/>
      <c r="AO53" s="1051"/>
      <c r="AP53" s="1051"/>
      <c r="AQ53" s="1051"/>
      <c r="AR53" s="1051"/>
      <c r="AS53" s="1051"/>
      <c r="AT53" s="1051"/>
      <c r="AU53" s="1051"/>
      <c r="AV53" s="1051"/>
      <c r="AW53" s="1051"/>
      <c r="AX53" s="1051"/>
      <c r="AY53" s="1051"/>
      <c r="AZ53" s="1051"/>
      <c r="BA53" s="1051"/>
      <c r="BB53" s="1051"/>
      <c r="BC53" s="1051"/>
      <c r="BD53" s="1051"/>
      <c r="BE53" s="1051"/>
      <c r="BF53" s="1051"/>
      <c r="BG53" s="1051"/>
      <c r="BH53" s="1051"/>
      <c r="BI53" s="1051"/>
      <c r="BJ53" s="1051"/>
      <c r="BK53" s="1051"/>
      <c r="BL53" s="1051"/>
      <c r="BM53" s="1051"/>
      <c r="BN53" s="1051"/>
      <c r="BO53" s="1051"/>
      <c r="BP53" s="1051"/>
      <c r="BQ53" s="1051"/>
      <c r="BR53" s="1051"/>
      <c r="BS53" s="1051"/>
      <c r="BT53" s="1051"/>
      <c r="BU53" s="1051"/>
      <c r="BV53" s="1051"/>
      <c r="BW53" s="1051"/>
      <c r="BX53" s="1051"/>
      <c r="BY53" s="1051"/>
      <c r="BZ53" s="1051"/>
      <c r="CA53" s="1051"/>
      <c r="CB53" s="1051"/>
      <c r="CC53" s="1051"/>
      <c r="CD53" s="1051"/>
      <c r="CE53" s="1051"/>
      <c r="CF53" s="1051"/>
      <c r="CG53" s="1051"/>
      <c r="CH53" s="1051"/>
      <c r="CI53" s="1051"/>
      <c r="CJ53" s="1051"/>
      <c r="CK53" s="1051"/>
      <c r="CL53" s="1051"/>
      <c r="CM53" s="1051"/>
      <c r="CN53" s="1051"/>
      <c r="CO53" s="1051"/>
      <c r="CP53" s="1051"/>
      <c r="CQ53" s="1051"/>
      <c r="CR53" s="1051"/>
      <c r="CS53" s="1051"/>
      <c r="CT53" s="1051"/>
      <c r="CU53" s="1051"/>
      <c r="CV53" s="1051"/>
      <c r="CW53" s="1051"/>
      <c r="CX53" s="1051"/>
      <c r="CY53" s="1051"/>
      <c r="CZ53" s="1051"/>
      <c r="DA53" s="1051"/>
      <c r="DB53" s="1051"/>
      <c r="DC53" s="1051"/>
      <c r="DD53" s="1051"/>
      <c r="DE53" s="1051"/>
      <c r="DF53" s="1051"/>
      <c r="DG53" s="1051"/>
      <c r="DH53" s="1051"/>
      <c r="DI53" s="1051"/>
      <c r="DJ53" s="1051"/>
      <c r="DK53" s="1051"/>
      <c r="DL53" s="1051"/>
      <c r="DM53" s="1051"/>
      <c r="DN53" s="1051"/>
      <c r="DO53" s="1051"/>
      <c r="DP53" s="1051"/>
      <c r="DQ53" s="1051"/>
      <c r="DR53" s="1051"/>
      <c r="DS53" s="1051"/>
      <c r="DT53" s="1051"/>
      <c r="DU53" s="1051"/>
      <c r="DV53" s="1051"/>
      <c r="DW53" s="1051"/>
      <c r="DX53" s="1051"/>
      <c r="DY53" s="1051"/>
      <c r="DZ53" s="1051"/>
      <c r="EA53" s="1051"/>
      <c r="EB53" s="1051"/>
      <c r="EC53" s="1051"/>
      <c r="ED53" s="1051"/>
      <c r="EE53" s="1051"/>
      <c r="EF53" s="1051"/>
      <c r="EG53" s="1051"/>
      <c r="EH53" s="1051"/>
      <c r="EI53" s="1051"/>
      <c r="EJ53" s="1051"/>
      <c r="EK53" s="1051"/>
      <c r="EL53" s="1051"/>
      <c r="EM53" s="1051"/>
      <c r="EN53" s="1051"/>
      <c r="EO53" s="1051"/>
      <c r="EP53" s="1051"/>
      <c r="EQ53" s="1051"/>
      <c r="ER53" s="1051"/>
      <c r="ES53" s="1051"/>
      <c r="ET53" s="1051"/>
      <c r="EU53" s="1051"/>
      <c r="EV53" s="1051"/>
      <c r="EW53" s="1051"/>
      <c r="EX53" s="1051"/>
      <c r="EY53" s="1051"/>
      <c r="EZ53" s="1051"/>
      <c r="FA53" s="1051"/>
      <c r="FB53" s="1051"/>
      <c r="FC53" s="1051"/>
      <c r="FD53" s="1051"/>
      <c r="FE53" s="1051"/>
      <c r="FF53" s="1051"/>
      <c r="FG53" s="1051"/>
      <c r="FH53" s="1051"/>
      <c r="FI53" s="1051"/>
      <c r="FJ53" s="1051"/>
      <c r="FK53" s="1051"/>
      <c r="FL53" s="1051"/>
      <c r="FM53" s="1051"/>
      <c r="FN53" s="1051"/>
      <c r="FO53" s="1051"/>
      <c r="FP53" s="1051"/>
      <c r="FQ53" s="1051"/>
      <c r="FR53" s="1051"/>
      <c r="FS53" s="1051"/>
      <c r="FT53" s="1051"/>
      <c r="FU53" s="1051"/>
      <c r="FV53" s="1051"/>
      <c r="FW53" s="1051"/>
      <c r="FX53" s="1051"/>
      <c r="FY53" s="1051"/>
      <c r="FZ53" s="1051"/>
      <c r="GA53" s="1051"/>
      <c r="GB53" s="1051"/>
      <c r="GC53" s="1051"/>
      <c r="GD53" s="1051"/>
      <c r="GE53" s="1051"/>
      <c r="GF53" s="1051"/>
      <c r="GG53" s="1051"/>
      <c r="GH53" s="1051"/>
      <c r="GI53" s="1051"/>
      <c r="GJ53" s="1051"/>
      <c r="GK53" s="1051"/>
      <c r="GL53" s="1051"/>
      <c r="GM53" s="1051"/>
      <c r="GN53" s="1051"/>
      <c r="GO53" s="1051"/>
      <c r="GP53" s="1051"/>
      <c r="GQ53" s="1051"/>
      <c r="GR53" s="1051"/>
      <c r="GS53" s="1051"/>
      <c r="GT53" s="1051"/>
      <c r="GU53" s="1051"/>
      <c r="GV53" s="1051"/>
      <c r="GW53" s="1051"/>
      <c r="GX53" s="1051"/>
      <c r="GY53" s="1051"/>
      <c r="GZ53" s="1051"/>
      <c r="HA53" s="1051"/>
      <c r="HB53" s="1051"/>
      <c r="HC53" s="1051"/>
      <c r="HD53" s="1051"/>
      <c r="HE53" s="1051"/>
      <c r="HF53" s="1051"/>
      <c r="HG53" s="1051"/>
      <c r="HH53" s="1051"/>
      <c r="HI53" s="1051"/>
      <c r="HJ53" s="1051"/>
      <c r="HK53" s="1051"/>
      <c r="HL53" s="1051"/>
      <c r="HM53" s="1051"/>
      <c r="HN53" s="1051"/>
      <c r="HO53" s="1051"/>
      <c r="HP53" s="1051"/>
      <c r="HQ53" s="1051"/>
      <c r="HR53" s="1051"/>
      <c r="HS53" s="1051"/>
      <c r="HT53" s="1051"/>
      <c r="HU53" s="1051"/>
      <c r="HV53" s="1051"/>
      <c r="HW53" s="1051"/>
      <c r="HX53" s="1051"/>
      <c r="HY53" s="1051"/>
      <c r="HZ53" s="1051"/>
      <c r="IA53" s="1051"/>
      <c r="IB53" s="1051"/>
      <c r="IC53" s="1051"/>
      <c r="ID53" s="1051"/>
      <c r="IE53" s="1051"/>
      <c r="IF53" s="1051"/>
      <c r="IG53" s="1051"/>
      <c r="IH53" s="1051"/>
      <c r="II53" s="1051"/>
      <c r="IJ53" s="1051"/>
      <c r="IK53" s="1051"/>
      <c r="IL53" s="1051"/>
      <c r="IM53" s="1051"/>
      <c r="IN53" s="1051"/>
      <c r="IO53" s="1051"/>
      <c r="IP53" s="1051"/>
      <c r="IQ53" s="1051"/>
      <c r="IR53" s="1051"/>
      <c r="IS53" s="1051"/>
      <c r="IT53" s="1051"/>
      <c r="IU53" s="1051"/>
      <c r="IV53" s="1051"/>
    </row>
    <row r="54" spans="1:256" x14ac:dyDescent="0.2">
      <c r="A54" s="1056" t="s">
        <v>611</v>
      </c>
      <c r="B54" s="1064" t="s">
        <v>722</v>
      </c>
      <c r="C54" s="1043">
        <v>5500000</v>
      </c>
      <c r="D54" s="1061">
        <v>3880000</v>
      </c>
      <c r="E54" s="1050">
        <v>1888603</v>
      </c>
      <c r="F54" s="1067">
        <f t="shared" si="2"/>
        <v>0.48675335051546392</v>
      </c>
      <c r="G54" s="1051"/>
      <c r="H54" s="1051"/>
      <c r="I54" s="1051"/>
      <c r="J54" s="1051"/>
      <c r="K54" s="1051"/>
      <c r="L54" s="1051"/>
      <c r="M54" s="1051"/>
      <c r="N54" s="1051"/>
      <c r="O54" s="1051"/>
      <c r="P54" s="1051"/>
      <c r="Q54" s="1051"/>
      <c r="R54" s="1051"/>
      <c r="S54" s="1051"/>
      <c r="T54" s="1051"/>
      <c r="U54" s="1051"/>
      <c r="V54" s="1051"/>
      <c r="W54" s="1051"/>
      <c r="X54" s="1051"/>
      <c r="Y54" s="1051"/>
      <c r="Z54" s="1051"/>
      <c r="AA54" s="1051"/>
      <c r="AB54" s="1051"/>
      <c r="AC54" s="1051"/>
      <c r="AD54" s="1051"/>
      <c r="AE54" s="1051"/>
      <c r="AF54" s="1051"/>
      <c r="AG54" s="1051"/>
      <c r="AH54" s="1051"/>
      <c r="AI54" s="1051"/>
      <c r="AJ54" s="1051"/>
      <c r="AK54" s="1051"/>
      <c r="AL54" s="1051"/>
      <c r="AM54" s="1051"/>
      <c r="AN54" s="1051"/>
      <c r="AO54" s="1051"/>
      <c r="AP54" s="1051"/>
      <c r="AQ54" s="1051"/>
      <c r="AR54" s="1051"/>
      <c r="AS54" s="1051"/>
      <c r="AT54" s="1051"/>
      <c r="AU54" s="1051"/>
      <c r="AV54" s="1051"/>
      <c r="AW54" s="1051"/>
      <c r="AX54" s="1051"/>
      <c r="AY54" s="1051"/>
      <c r="AZ54" s="1051"/>
      <c r="BA54" s="1051"/>
      <c r="BB54" s="1051"/>
      <c r="BC54" s="1051"/>
      <c r="BD54" s="1051"/>
      <c r="BE54" s="1051"/>
      <c r="BF54" s="1051"/>
      <c r="BG54" s="1051"/>
      <c r="BH54" s="1051"/>
      <c r="BI54" s="1051"/>
      <c r="BJ54" s="1051"/>
      <c r="BK54" s="1051"/>
      <c r="BL54" s="1051"/>
      <c r="BM54" s="1051"/>
      <c r="BN54" s="1051"/>
      <c r="BO54" s="1051"/>
      <c r="BP54" s="1051"/>
      <c r="BQ54" s="1051"/>
      <c r="BR54" s="1051"/>
      <c r="BS54" s="1051"/>
      <c r="BT54" s="1051"/>
      <c r="BU54" s="1051"/>
      <c r="BV54" s="1051"/>
      <c r="BW54" s="1051"/>
      <c r="BX54" s="1051"/>
      <c r="BY54" s="1051"/>
      <c r="BZ54" s="1051"/>
      <c r="CA54" s="1051"/>
      <c r="CB54" s="1051"/>
      <c r="CC54" s="1051"/>
      <c r="CD54" s="1051"/>
      <c r="CE54" s="1051"/>
      <c r="CF54" s="1051"/>
      <c r="CG54" s="1051"/>
      <c r="CH54" s="1051"/>
      <c r="CI54" s="1051"/>
      <c r="CJ54" s="1051"/>
      <c r="CK54" s="1051"/>
      <c r="CL54" s="1051"/>
      <c r="CM54" s="1051"/>
      <c r="CN54" s="1051"/>
      <c r="CO54" s="1051"/>
      <c r="CP54" s="1051"/>
      <c r="CQ54" s="1051"/>
      <c r="CR54" s="1051"/>
      <c r="CS54" s="1051"/>
      <c r="CT54" s="1051"/>
      <c r="CU54" s="1051"/>
      <c r="CV54" s="1051"/>
      <c r="CW54" s="1051"/>
      <c r="CX54" s="1051"/>
      <c r="CY54" s="1051"/>
      <c r="CZ54" s="1051"/>
      <c r="DA54" s="1051"/>
      <c r="DB54" s="1051"/>
      <c r="DC54" s="1051"/>
      <c r="DD54" s="1051"/>
      <c r="DE54" s="1051"/>
      <c r="DF54" s="1051"/>
      <c r="DG54" s="1051"/>
      <c r="DH54" s="1051"/>
      <c r="DI54" s="1051"/>
      <c r="DJ54" s="1051"/>
      <c r="DK54" s="1051"/>
      <c r="DL54" s="1051"/>
      <c r="DM54" s="1051"/>
      <c r="DN54" s="1051"/>
      <c r="DO54" s="1051"/>
      <c r="DP54" s="1051"/>
      <c r="DQ54" s="1051"/>
      <c r="DR54" s="1051"/>
      <c r="DS54" s="1051"/>
      <c r="DT54" s="1051"/>
      <c r="DU54" s="1051"/>
      <c r="DV54" s="1051"/>
      <c r="DW54" s="1051"/>
      <c r="DX54" s="1051"/>
      <c r="DY54" s="1051"/>
      <c r="DZ54" s="1051"/>
      <c r="EA54" s="1051"/>
      <c r="EB54" s="1051"/>
      <c r="EC54" s="1051"/>
      <c r="ED54" s="1051"/>
      <c r="EE54" s="1051"/>
      <c r="EF54" s="1051"/>
      <c r="EG54" s="1051"/>
      <c r="EH54" s="1051"/>
      <c r="EI54" s="1051"/>
      <c r="EJ54" s="1051"/>
      <c r="EK54" s="1051"/>
      <c r="EL54" s="1051"/>
      <c r="EM54" s="1051"/>
      <c r="EN54" s="1051"/>
      <c r="EO54" s="1051"/>
      <c r="EP54" s="1051"/>
      <c r="EQ54" s="1051"/>
      <c r="ER54" s="1051"/>
      <c r="ES54" s="1051"/>
      <c r="ET54" s="1051"/>
      <c r="EU54" s="1051"/>
      <c r="EV54" s="1051"/>
      <c r="EW54" s="1051"/>
      <c r="EX54" s="1051"/>
      <c r="EY54" s="1051"/>
      <c r="EZ54" s="1051"/>
      <c r="FA54" s="1051"/>
      <c r="FB54" s="1051"/>
      <c r="FC54" s="1051"/>
      <c r="FD54" s="1051"/>
      <c r="FE54" s="1051"/>
      <c r="FF54" s="1051"/>
      <c r="FG54" s="1051"/>
      <c r="FH54" s="1051"/>
      <c r="FI54" s="1051"/>
      <c r="FJ54" s="1051"/>
      <c r="FK54" s="1051"/>
      <c r="FL54" s="1051"/>
      <c r="FM54" s="1051"/>
      <c r="FN54" s="1051"/>
      <c r="FO54" s="1051"/>
      <c r="FP54" s="1051"/>
      <c r="FQ54" s="1051"/>
      <c r="FR54" s="1051"/>
      <c r="FS54" s="1051"/>
      <c r="FT54" s="1051"/>
      <c r="FU54" s="1051"/>
      <c r="FV54" s="1051"/>
      <c r="FW54" s="1051"/>
      <c r="FX54" s="1051"/>
      <c r="FY54" s="1051"/>
      <c r="FZ54" s="1051"/>
      <c r="GA54" s="1051"/>
      <c r="GB54" s="1051"/>
      <c r="GC54" s="1051"/>
      <c r="GD54" s="1051"/>
      <c r="GE54" s="1051"/>
      <c r="GF54" s="1051"/>
      <c r="GG54" s="1051"/>
      <c r="GH54" s="1051"/>
      <c r="GI54" s="1051"/>
      <c r="GJ54" s="1051"/>
      <c r="GK54" s="1051"/>
      <c r="GL54" s="1051"/>
      <c r="GM54" s="1051"/>
      <c r="GN54" s="1051"/>
      <c r="GO54" s="1051"/>
      <c r="GP54" s="1051"/>
      <c r="GQ54" s="1051"/>
      <c r="GR54" s="1051"/>
      <c r="GS54" s="1051"/>
      <c r="GT54" s="1051"/>
      <c r="GU54" s="1051"/>
      <c r="GV54" s="1051"/>
      <c r="GW54" s="1051"/>
      <c r="GX54" s="1051"/>
      <c r="GY54" s="1051"/>
      <c r="GZ54" s="1051"/>
      <c r="HA54" s="1051"/>
      <c r="HB54" s="1051"/>
      <c r="HC54" s="1051"/>
      <c r="HD54" s="1051"/>
      <c r="HE54" s="1051"/>
      <c r="HF54" s="1051"/>
      <c r="HG54" s="1051"/>
      <c r="HH54" s="1051"/>
      <c r="HI54" s="1051"/>
      <c r="HJ54" s="1051"/>
      <c r="HK54" s="1051"/>
      <c r="HL54" s="1051"/>
      <c r="HM54" s="1051"/>
      <c r="HN54" s="1051"/>
      <c r="HO54" s="1051"/>
      <c r="HP54" s="1051"/>
      <c r="HQ54" s="1051"/>
      <c r="HR54" s="1051"/>
      <c r="HS54" s="1051"/>
      <c r="HT54" s="1051"/>
      <c r="HU54" s="1051"/>
      <c r="HV54" s="1051"/>
      <c r="HW54" s="1051"/>
      <c r="HX54" s="1051"/>
      <c r="HY54" s="1051"/>
      <c r="HZ54" s="1051"/>
      <c r="IA54" s="1051"/>
      <c r="IB54" s="1051"/>
      <c r="IC54" s="1051"/>
      <c r="ID54" s="1051"/>
      <c r="IE54" s="1051"/>
      <c r="IF54" s="1051"/>
      <c r="IG54" s="1051"/>
      <c r="IH54" s="1051"/>
      <c r="II54" s="1051"/>
      <c r="IJ54" s="1051"/>
      <c r="IK54" s="1051"/>
      <c r="IL54" s="1051"/>
      <c r="IM54" s="1051"/>
      <c r="IN54" s="1051"/>
      <c r="IO54" s="1051"/>
      <c r="IP54" s="1051"/>
      <c r="IQ54" s="1051"/>
      <c r="IR54" s="1051"/>
      <c r="IS54" s="1051"/>
      <c r="IT54" s="1051"/>
      <c r="IU54" s="1051"/>
      <c r="IV54" s="1051"/>
    </row>
    <row r="55" spans="1:256" x14ac:dyDescent="0.2">
      <c r="A55" s="1056" t="s">
        <v>613</v>
      </c>
      <c r="B55" s="1064" t="s">
        <v>723</v>
      </c>
      <c r="C55" s="1043">
        <v>1485000</v>
      </c>
      <c r="D55" s="1061">
        <v>1050000</v>
      </c>
      <c r="E55" s="1050">
        <v>509922</v>
      </c>
      <c r="F55" s="1067">
        <f t="shared" si="2"/>
        <v>0.48564000000000002</v>
      </c>
      <c r="G55" s="1051"/>
      <c r="H55" s="1051"/>
      <c r="I55" s="1051"/>
      <c r="J55" s="1051"/>
      <c r="K55" s="1051"/>
      <c r="L55" s="1051"/>
      <c r="M55" s="1051"/>
      <c r="N55" s="1051"/>
      <c r="O55" s="1051"/>
      <c r="P55" s="1051"/>
      <c r="Q55" s="1051"/>
      <c r="R55" s="1051"/>
      <c r="S55" s="1051"/>
      <c r="T55" s="1051"/>
      <c r="U55" s="1051"/>
      <c r="V55" s="1051"/>
      <c r="W55" s="1051"/>
      <c r="X55" s="1051"/>
      <c r="Y55" s="1051"/>
      <c r="Z55" s="1051"/>
      <c r="AA55" s="1051"/>
      <c r="AB55" s="1051"/>
      <c r="AC55" s="1051"/>
      <c r="AD55" s="1051"/>
      <c r="AE55" s="1051"/>
      <c r="AF55" s="1051"/>
      <c r="AG55" s="1051"/>
      <c r="AH55" s="1051"/>
      <c r="AI55" s="1051"/>
      <c r="AJ55" s="1051"/>
      <c r="AK55" s="1051"/>
      <c r="AL55" s="1051"/>
      <c r="AM55" s="1051"/>
      <c r="AN55" s="1051"/>
      <c r="AO55" s="1051"/>
      <c r="AP55" s="1051"/>
      <c r="AQ55" s="1051"/>
      <c r="AR55" s="1051"/>
      <c r="AS55" s="1051"/>
      <c r="AT55" s="1051"/>
      <c r="AU55" s="1051"/>
      <c r="AV55" s="1051"/>
      <c r="AW55" s="1051"/>
      <c r="AX55" s="1051"/>
      <c r="AY55" s="1051"/>
      <c r="AZ55" s="1051"/>
      <c r="BA55" s="1051"/>
      <c r="BB55" s="1051"/>
      <c r="BC55" s="1051"/>
      <c r="BD55" s="1051"/>
      <c r="BE55" s="1051"/>
      <c r="BF55" s="1051"/>
      <c r="BG55" s="1051"/>
      <c r="BH55" s="1051"/>
      <c r="BI55" s="1051"/>
      <c r="BJ55" s="1051"/>
      <c r="BK55" s="1051"/>
      <c r="BL55" s="1051"/>
      <c r="BM55" s="1051"/>
      <c r="BN55" s="1051"/>
      <c r="BO55" s="1051"/>
      <c r="BP55" s="1051"/>
      <c r="BQ55" s="1051"/>
      <c r="BR55" s="1051"/>
      <c r="BS55" s="1051"/>
      <c r="BT55" s="1051"/>
      <c r="BU55" s="1051"/>
      <c r="BV55" s="1051"/>
      <c r="BW55" s="1051"/>
      <c r="BX55" s="1051"/>
      <c r="BY55" s="1051"/>
      <c r="BZ55" s="1051"/>
      <c r="CA55" s="1051"/>
      <c r="CB55" s="1051"/>
      <c r="CC55" s="1051"/>
      <c r="CD55" s="1051"/>
      <c r="CE55" s="1051"/>
      <c r="CF55" s="1051"/>
      <c r="CG55" s="1051"/>
      <c r="CH55" s="1051"/>
      <c r="CI55" s="1051"/>
      <c r="CJ55" s="1051"/>
      <c r="CK55" s="1051"/>
      <c r="CL55" s="1051"/>
      <c r="CM55" s="1051"/>
      <c r="CN55" s="1051"/>
      <c r="CO55" s="1051"/>
      <c r="CP55" s="1051"/>
      <c r="CQ55" s="1051"/>
      <c r="CR55" s="1051"/>
      <c r="CS55" s="1051"/>
      <c r="CT55" s="1051"/>
      <c r="CU55" s="1051"/>
      <c r="CV55" s="1051"/>
      <c r="CW55" s="1051"/>
      <c r="CX55" s="1051"/>
      <c r="CY55" s="1051"/>
      <c r="CZ55" s="1051"/>
      <c r="DA55" s="1051"/>
      <c r="DB55" s="1051"/>
      <c r="DC55" s="1051"/>
      <c r="DD55" s="1051"/>
      <c r="DE55" s="1051"/>
      <c r="DF55" s="1051"/>
      <c r="DG55" s="1051"/>
      <c r="DH55" s="1051"/>
      <c r="DI55" s="1051"/>
      <c r="DJ55" s="1051"/>
      <c r="DK55" s="1051"/>
      <c r="DL55" s="1051"/>
      <c r="DM55" s="1051"/>
      <c r="DN55" s="1051"/>
      <c r="DO55" s="1051"/>
      <c r="DP55" s="1051"/>
      <c r="DQ55" s="1051"/>
      <c r="DR55" s="1051"/>
      <c r="DS55" s="1051"/>
      <c r="DT55" s="1051"/>
      <c r="DU55" s="1051"/>
      <c r="DV55" s="1051"/>
      <c r="DW55" s="1051"/>
      <c r="DX55" s="1051"/>
      <c r="DY55" s="1051"/>
      <c r="DZ55" s="1051"/>
      <c r="EA55" s="1051"/>
      <c r="EB55" s="1051"/>
      <c r="EC55" s="1051"/>
      <c r="ED55" s="1051"/>
      <c r="EE55" s="1051"/>
      <c r="EF55" s="1051"/>
      <c r="EG55" s="1051"/>
      <c r="EH55" s="1051"/>
      <c r="EI55" s="1051"/>
      <c r="EJ55" s="1051"/>
      <c r="EK55" s="1051"/>
      <c r="EL55" s="1051"/>
      <c r="EM55" s="1051"/>
      <c r="EN55" s="1051"/>
      <c r="EO55" s="1051"/>
      <c r="EP55" s="1051"/>
      <c r="EQ55" s="1051"/>
      <c r="ER55" s="1051"/>
      <c r="ES55" s="1051"/>
      <c r="ET55" s="1051"/>
      <c r="EU55" s="1051"/>
      <c r="EV55" s="1051"/>
      <c r="EW55" s="1051"/>
      <c r="EX55" s="1051"/>
      <c r="EY55" s="1051"/>
      <c r="EZ55" s="1051"/>
      <c r="FA55" s="1051"/>
      <c r="FB55" s="1051"/>
      <c r="FC55" s="1051"/>
      <c r="FD55" s="1051"/>
      <c r="FE55" s="1051"/>
      <c r="FF55" s="1051"/>
      <c r="FG55" s="1051"/>
      <c r="FH55" s="1051"/>
      <c r="FI55" s="1051"/>
      <c r="FJ55" s="1051"/>
      <c r="FK55" s="1051"/>
      <c r="FL55" s="1051"/>
      <c r="FM55" s="1051"/>
      <c r="FN55" s="1051"/>
      <c r="FO55" s="1051"/>
      <c r="FP55" s="1051"/>
      <c r="FQ55" s="1051"/>
      <c r="FR55" s="1051"/>
      <c r="FS55" s="1051"/>
      <c r="FT55" s="1051"/>
      <c r="FU55" s="1051"/>
      <c r="FV55" s="1051"/>
      <c r="FW55" s="1051"/>
      <c r="FX55" s="1051"/>
      <c r="FY55" s="1051"/>
      <c r="FZ55" s="1051"/>
      <c r="GA55" s="1051"/>
      <c r="GB55" s="1051"/>
      <c r="GC55" s="1051"/>
      <c r="GD55" s="1051"/>
      <c r="GE55" s="1051"/>
      <c r="GF55" s="1051"/>
      <c r="GG55" s="1051"/>
      <c r="GH55" s="1051"/>
      <c r="GI55" s="1051"/>
      <c r="GJ55" s="1051"/>
      <c r="GK55" s="1051"/>
      <c r="GL55" s="1051"/>
      <c r="GM55" s="1051"/>
      <c r="GN55" s="1051"/>
      <c r="GO55" s="1051"/>
      <c r="GP55" s="1051"/>
      <c r="GQ55" s="1051"/>
      <c r="GR55" s="1051"/>
      <c r="GS55" s="1051"/>
      <c r="GT55" s="1051"/>
      <c r="GU55" s="1051"/>
      <c r="GV55" s="1051"/>
      <c r="GW55" s="1051"/>
      <c r="GX55" s="1051"/>
      <c r="GY55" s="1051"/>
      <c r="GZ55" s="1051"/>
      <c r="HA55" s="1051"/>
      <c r="HB55" s="1051"/>
      <c r="HC55" s="1051"/>
      <c r="HD55" s="1051"/>
      <c r="HE55" s="1051"/>
      <c r="HF55" s="1051"/>
      <c r="HG55" s="1051"/>
      <c r="HH55" s="1051"/>
      <c r="HI55" s="1051"/>
      <c r="HJ55" s="1051"/>
      <c r="HK55" s="1051"/>
      <c r="HL55" s="1051"/>
      <c r="HM55" s="1051"/>
      <c r="HN55" s="1051"/>
      <c r="HO55" s="1051"/>
      <c r="HP55" s="1051"/>
      <c r="HQ55" s="1051"/>
      <c r="HR55" s="1051"/>
      <c r="HS55" s="1051"/>
      <c r="HT55" s="1051"/>
      <c r="HU55" s="1051"/>
      <c r="HV55" s="1051"/>
      <c r="HW55" s="1051"/>
      <c r="HX55" s="1051"/>
      <c r="HY55" s="1051"/>
      <c r="HZ55" s="1051"/>
      <c r="IA55" s="1051"/>
      <c r="IB55" s="1051"/>
      <c r="IC55" s="1051"/>
      <c r="ID55" s="1051"/>
      <c r="IE55" s="1051"/>
      <c r="IF55" s="1051"/>
      <c r="IG55" s="1051"/>
      <c r="IH55" s="1051"/>
      <c r="II55" s="1051"/>
      <c r="IJ55" s="1051"/>
      <c r="IK55" s="1051"/>
      <c r="IL55" s="1051"/>
      <c r="IM55" s="1051"/>
      <c r="IN55" s="1051"/>
      <c r="IO55" s="1051"/>
      <c r="IP55" s="1051"/>
      <c r="IQ55" s="1051"/>
      <c r="IR55" s="1051"/>
      <c r="IS55" s="1051"/>
      <c r="IT55" s="1051"/>
      <c r="IU55" s="1051"/>
      <c r="IV55" s="1051"/>
    </row>
    <row r="56" spans="1:256" x14ac:dyDescent="0.2">
      <c r="A56" s="1548" t="s">
        <v>12</v>
      </c>
      <c r="B56" s="1559"/>
      <c r="C56" s="1043">
        <f>SUM(C54:C55)</f>
        <v>6985000</v>
      </c>
      <c r="D56" s="1043">
        <f>SUM(D54:D55)</f>
        <v>4930000</v>
      </c>
      <c r="E56" s="1043">
        <f>SUM(E54:E55)</f>
        <v>2398525</v>
      </c>
      <c r="F56" s="1067">
        <f t="shared" si="2"/>
        <v>0.48651622718052739</v>
      </c>
      <c r="G56" s="1051"/>
      <c r="H56" s="1051"/>
      <c r="I56" s="1051"/>
      <c r="J56" s="1051"/>
      <c r="K56" s="1051"/>
      <c r="L56" s="1051"/>
      <c r="M56" s="1051"/>
      <c r="N56" s="1051"/>
      <c r="O56" s="1051"/>
      <c r="P56" s="1051"/>
      <c r="Q56" s="1051"/>
      <c r="R56" s="1051"/>
      <c r="S56" s="1051"/>
      <c r="T56" s="1051"/>
      <c r="U56" s="1051"/>
      <c r="V56" s="1051"/>
      <c r="W56" s="1051"/>
      <c r="X56" s="1051"/>
      <c r="Y56" s="1051"/>
      <c r="Z56" s="1051"/>
      <c r="AA56" s="1051"/>
      <c r="AB56" s="1051"/>
      <c r="AC56" s="1051"/>
      <c r="AD56" s="1051"/>
      <c r="AE56" s="1051"/>
      <c r="AF56" s="1051"/>
      <c r="AG56" s="1051"/>
      <c r="AH56" s="1051"/>
      <c r="AI56" s="1051"/>
      <c r="AJ56" s="1051"/>
      <c r="AK56" s="1051"/>
      <c r="AL56" s="1051"/>
      <c r="AM56" s="1051"/>
      <c r="AN56" s="1051"/>
      <c r="AO56" s="1051"/>
      <c r="AP56" s="1051"/>
      <c r="AQ56" s="1051"/>
      <c r="AR56" s="1051"/>
      <c r="AS56" s="1051"/>
      <c r="AT56" s="1051"/>
      <c r="AU56" s="1051"/>
      <c r="AV56" s="1051"/>
      <c r="AW56" s="1051"/>
      <c r="AX56" s="1051"/>
      <c r="AY56" s="1051"/>
      <c r="AZ56" s="1051"/>
      <c r="BA56" s="1051"/>
      <c r="BB56" s="1051"/>
      <c r="BC56" s="1051"/>
      <c r="BD56" s="1051"/>
      <c r="BE56" s="1051"/>
      <c r="BF56" s="1051"/>
      <c r="BG56" s="1051"/>
      <c r="BH56" s="1051"/>
      <c r="BI56" s="1051"/>
      <c r="BJ56" s="1051"/>
      <c r="BK56" s="1051"/>
      <c r="BL56" s="1051"/>
      <c r="BM56" s="1051"/>
      <c r="BN56" s="1051"/>
      <c r="BO56" s="1051"/>
      <c r="BP56" s="1051"/>
      <c r="BQ56" s="1051"/>
      <c r="BR56" s="1051"/>
      <c r="BS56" s="1051"/>
      <c r="BT56" s="1051"/>
      <c r="BU56" s="1051"/>
      <c r="BV56" s="1051"/>
      <c r="BW56" s="1051"/>
      <c r="BX56" s="1051"/>
      <c r="BY56" s="1051"/>
      <c r="BZ56" s="1051"/>
      <c r="CA56" s="1051"/>
      <c r="CB56" s="1051"/>
      <c r="CC56" s="1051"/>
      <c r="CD56" s="1051"/>
      <c r="CE56" s="1051"/>
      <c r="CF56" s="1051"/>
      <c r="CG56" s="1051"/>
      <c r="CH56" s="1051"/>
      <c r="CI56" s="1051"/>
      <c r="CJ56" s="1051"/>
      <c r="CK56" s="1051"/>
      <c r="CL56" s="1051"/>
      <c r="CM56" s="1051"/>
      <c r="CN56" s="1051"/>
      <c r="CO56" s="1051"/>
      <c r="CP56" s="1051"/>
      <c r="CQ56" s="1051"/>
      <c r="CR56" s="1051"/>
      <c r="CS56" s="1051"/>
      <c r="CT56" s="1051"/>
      <c r="CU56" s="1051"/>
      <c r="CV56" s="1051"/>
      <c r="CW56" s="1051"/>
      <c r="CX56" s="1051"/>
      <c r="CY56" s="1051"/>
      <c r="CZ56" s="1051"/>
      <c r="DA56" s="1051"/>
      <c r="DB56" s="1051"/>
      <c r="DC56" s="1051"/>
      <c r="DD56" s="1051"/>
      <c r="DE56" s="1051"/>
      <c r="DF56" s="1051"/>
      <c r="DG56" s="1051"/>
      <c r="DH56" s="1051"/>
      <c r="DI56" s="1051"/>
      <c r="DJ56" s="1051"/>
      <c r="DK56" s="1051"/>
      <c r="DL56" s="1051"/>
      <c r="DM56" s="1051"/>
      <c r="DN56" s="1051"/>
      <c r="DO56" s="1051"/>
      <c r="DP56" s="1051"/>
      <c r="DQ56" s="1051"/>
      <c r="DR56" s="1051"/>
      <c r="DS56" s="1051"/>
      <c r="DT56" s="1051"/>
      <c r="DU56" s="1051"/>
      <c r="DV56" s="1051"/>
      <c r="DW56" s="1051"/>
      <c r="DX56" s="1051"/>
      <c r="DY56" s="1051"/>
      <c r="DZ56" s="1051"/>
      <c r="EA56" s="1051"/>
      <c r="EB56" s="1051"/>
      <c r="EC56" s="1051"/>
      <c r="ED56" s="1051"/>
      <c r="EE56" s="1051"/>
      <c r="EF56" s="1051"/>
      <c r="EG56" s="1051"/>
      <c r="EH56" s="1051"/>
      <c r="EI56" s="1051"/>
      <c r="EJ56" s="1051"/>
      <c r="EK56" s="1051"/>
      <c r="EL56" s="1051"/>
      <c r="EM56" s="1051"/>
      <c r="EN56" s="1051"/>
      <c r="EO56" s="1051"/>
      <c r="EP56" s="1051"/>
      <c r="EQ56" s="1051"/>
      <c r="ER56" s="1051"/>
      <c r="ES56" s="1051"/>
      <c r="ET56" s="1051"/>
      <c r="EU56" s="1051"/>
      <c r="EV56" s="1051"/>
      <c r="EW56" s="1051"/>
      <c r="EX56" s="1051"/>
      <c r="EY56" s="1051"/>
      <c r="EZ56" s="1051"/>
      <c r="FA56" s="1051"/>
      <c r="FB56" s="1051"/>
      <c r="FC56" s="1051"/>
      <c r="FD56" s="1051"/>
      <c r="FE56" s="1051"/>
      <c r="FF56" s="1051"/>
      <c r="FG56" s="1051"/>
      <c r="FH56" s="1051"/>
      <c r="FI56" s="1051"/>
      <c r="FJ56" s="1051"/>
      <c r="FK56" s="1051"/>
      <c r="FL56" s="1051"/>
      <c r="FM56" s="1051"/>
      <c r="FN56" s="1051"/>
      <c r="FO56" s="1051"/>
      <c r="FP56" s="1051"/>
      <c r="FQ56" s="1051"/>
      <c r="FR56" s="1051"/>
      <c r="FS56" s="1051"/>
      <c r="FT56" s="1051"/>
      <c r="FU56" s="1051"/>
      <c r="FV56" s="1051"/>
      <c r="FW56" s="1051"/>
      <c r="FX56" s="1051"/>
      <c r="FY56" s="1051"/>
      <c r="FZ56" s="1051"/>
      <c r="GA56" s="1051"/>
      <c r="GB56" s="1051"/>
      <c r="GC56" s="1051"/>
      <c r="GD56" s="1051"/>
      <c r="GE56" s="1051"/>
      <c r="GF56" s="1051"/>
      <c r="GG56" s="1051"/>
      <c r="GH56" s="1051"/>
      <c r="GI56" s="1051"/>
      <c r="GJ56" s="1051"/>
      <c r="GK56" s="1051"/>
      <c r="GL56" s="1051"/>
      <c r="GM56" s="1051"/>
      <c r="GN56" s="1051"/>
      <c r="GO56" s="1051"/>
      <c r="GP56" s="1051"/>
      <c r="GQ56" s="1051"/>
      <c r="GR56" s="1051"/>
      <c r="GS56" s="1051"/>
      <c r="GT56" s="1051"/>
      <c r="GU56" s="1051"/>
      <c r="GV56" s="1051"/>
      <c r="GW56" s="1051"/>
      <c r="GX56" s="1051"/>
      <c r="GY56" s="1051"/>
      <c r="GZ56" s="1051"/>
      <c r="HA56" s="1051"/>
      <c r="HB56" s="1051"/>
      <c r="HC56" s="1051"/>
      <c r="HD56" s="1051"/>
      <c r="HE56" s="1051"/>
      <c r="HF56" s="1051"/>
      <c r="HG56" s="1051"/>
      <c r="HH56" s="1051"/>
      <c r="HI56" s="1051"/>
      <c r="HJ56" s="1051"/>
      <c r="HK56" s="1051"/>
      <c r="HL56" s="1051"/>
      <c r="HM56" s="1051"/>
      <c r="HN56" s="1051"/>
      <c r="HO56" s="1051"/>
      <c r="HP56" s="1051"/>
      <c r="HQ56" s="1051"/>
      <c r="HR56" s="1051"/>
      <c r="HS56" s="1051"/>
      <c r="HT56" s="1051"/>
      <c r="HU56" s="1051"/>
      <c r="HV56" s="1051"/>
      <c r="HW56" s="1051"/>
      <c r="HX56" s="1051"/>
      <c r="HY56" s="1051"/>
      <c r="HZ56" s="1051"/>
      <c r="IA56" s="1051"/>
      <c r="IB56" s="1051"/>
      <c r="IC56" s="1051"/>
      <c r="ID56" s="1051"/>
      <c r="IE56" s="1051"/>
      <c r="IF56" s="1051"/>
      <c r="IG56" s="1051"/>
      <c r="IH56" s="1051"/>
      <c r="II56" s="1051"/>
      <c r="IJ56" s="1051"/>
      <c r="IK56" s="1051"/>
      <c r="IL56" s="1051"/>
      <c r="IM56" s="1051"/>
      <c r="IN56" s="1051"/>
      <c r="IO56" s="1051"/>
      <c r="IP56" s="1051"/>
      <c r="IQ56" s="1051"/>
      <c r="IR56" s="1051"/>
      <c r="IS56" s="1051"/>
      <c r="IT56" s="1051"/>
      <c r="IU56" s="1051"/>
      <c r="IV56" s="1051"/>
    </row>
    <row r="57" spans="1:256" x14ac:dyDescent="0.2">
      <c r="A57" s="1056" t="s">
        <v>614</v>
      </c>
      <c r="B57" s="1064" t="s">
        <v>711</v>
      </c>
      <c r="C57" s="1043">
        <v>400000</v>
      </c>
      <c r="D57" s="1043">
        <v>400000</v>
      </c>
      <c r="E57" s="1043">
        <v>0</v>
      </c>
      <c r="F57" s="1067">
        <f t="shared" si="2"/>
        <v>0</v>
      </c>
      <c r="G57" s="1051"/>
      <c r="H57" s="1051"/>
      <c r="I57" s="1051"/>
      <c r="J57" s="1051"/>
      <c r="K57" s="1051"/>
      <c r="L57" s="1051"/>
      <c r="M57" s="1051"/>
      <c r="N57" s="1051"/>
      <c r="O57" s="1051"/>
      <c r="P57" s="1051"/>
      <c r="Q57" s="1051"/>
      <c r="R57" s="1051"/>
      <c r="S57" s="1051"/>
      <c r="T57" s="1051"/>
      <c r="U57" s="1051"/>
      <c r="V57" s="1051"/>
      <c r="W57" s="1051"/>
      <c r="X57" s="1051"/>
      <c r="Y57" s="1051"/>
      <c r="Z57" s="1051"/>
      <c r="AA57" s="1051"/>
      <c r="AB57" s="1051"/>
      <c r="AC57" s="1051"/>
      <c r="AD57" s="1051"/>
      <c r="AE57" s="1051"/>
      <c r="AF57" s="1051"/>
      <c r="AG57" s="1051"/>
      <c r="AH57" s="1051"/>
      <c r="AI57" s="1051"/>
      <c r="AJ57" s="1051"/>
      <c r="AK57" s="1051"/>
      <c r="AL57" s="1051"/>
      <c r="AM57" s="1051"/>
      <c r="AN57" s="1051"/>
      <c r="AO57" s="1051"/>
      <c r="AP57" s="1051"/>
      <c r="AQ57" s="1051"/>
      <c r="AR57" s="1051"/>
      <c r="AS57" s="1051"/>
      <c r="AT57" s="1051"/>
      <c r="AU57" s="1051"/>
      <c r="AV57" s="1051"/>
      <c r="AW57" s="1051"/>
      <c r="AX57" s="1051"/>
      <c r="AY57" s="1051"/>
      <c r="AZ57" s="1051"/>
      <c r="BA57" s="1051"/>
      <c r="BB57" s="1051"/>
      <c r="BC57" s="1051"/>
      <c r="BD57" s="1051"/>
      <c r="BE57" s="1051"/>
      <c r="BF57" s="1051"/>
      <c r="BG57" s="1051"/>
      <c r="BH57" s="1051"/>
      <c r="BI57" s="1051"/>
      <c r="BJ57" s="1051"/>
      <c r="BK57" s="1051"/>
      <c r="BL57" s="1051"/>
      <c r="BM57" s="1051"/>
      <c r="BN57" s="1051"/>
      <c r="BO57" s="1051"/>
      <c r="BP57" s="1051"/>
      <c r="BQ57" s="1051"/>
      <c r="BR57" s="1051"/>
      <c r="BS57" s="1051"/>
      <c r="BT57" s="1051"/>
      <c r="BU57" s="1051"/>
      <c r="BV57" s="1051"/>
      <c r="BW57" s="1051"/>
      <c r="BX57" s="1051"/>
      <c r="BY57" s="1051"/>
      <c r="BZ57" s="1051"/>
      <c r="CA57" s="1051"/>
      <c r="CB57" s="1051"/>
      <c r="CC57" s="1051"/>
      <c r="CD57" s="1051"/>
      <c r="CE57" s="1051"/>
      <c r="CF57" s="1051"/>
      <c r="CG57" s="1051"/>
      <c r="CH57" s="1051"/>
      <c r="CI57" s="1051"/>
      <c r="CJ57" s="1051"/>
      <c r="CK57" s="1051"/>
      <c r="CL57" s="1051"/>
      <c r="CM57" s="1051"/>
      <c r="CN57" s="1051"/>
      <c r="CO57" s="1051"/>
      <c r="CP57" s="1051"/>
      <c r="CQ57" s="1051"/>
      <c r="CR57" s="1051"/>
      <c r="CS57" s="1051"/>
      <c r="CT57" s="1051"/>
      <c r="CU57" s="1051"/>
      <c r="CV57" s="1051"/>
      <c r="CW57" s="1051"/>
      <c r="CX57" s="1051"/>
      <c r="CY57" s="1051"/>
      <c r="CZ57" s="1051"/>
      <c r="DA57" s="1051"/>
      <c r="DB57" s="1051"/>
      <c r="DC57" s="1051"/>
      <c r="DD57" s="1051"/>
      <c r="DE57" s="1051"/>
      <c r="DF57" s="1051"/>
      <c r="DG57" s="1051"/>
      <c r="DH57" s="1051"/>
      <c r="DI57" s="1051"/>
      <c r="DJ57" s="1051"/>
      <c r="DK57" s="1051"/>
      <c r="DL57" s="1051"/>
      <c r="DM57" s="1051"/>
      <c r="DN57" s="1051"/>
      <c r="DO57" s="1051"/>
      <c r="DP57" s="1051"/>
      <c r="DQ57" s="1051"/>
      <c r="DR57" s="1051"/>
      <c r="DS57" s="1051"/>
      <c r="DT57" s="1051"/>
      <c r="DU57" s="1051"/>
      <c r="DV57" s="1051"/>
      <c r="DW57" s="1051"/>
      <c r="DX57" s="1051"/>
      <c r="DY57" s="1051"/>
      <c r="DZ57" s="1051"/>
      <c r="EA57" s="1051"/>
      <c r="EB57" s="1051"/>
      <c r="EC57" s="1051"/>
      <c r="ED57" s="1051"/>
      <c r="EE57" s="1051"/>
      <c r="EF57" s="1051"/>
      <c r="EG57" s="1051"/>
      <c r="EH57" s="1051"/>
      <c r="EI57" s="1051"/>
      <c r="EJ57" s="1051"/>
      <c r="EK57" s="1051"/>
      <c r="EL57" s="1051"/>
      <c r="EM57" s="1051"/>
      <c r="EN57" s="1051"/>
      <c r="EO57" s="1051"/>
      <c r="EP57" s="1051"/>
      <c r="EQ57" s="1051"/>
      <c r="ER57" s="1051"/>
      <c r="ES57" s="1051"/>
      <c r="ET57" s="1051"/>
      <c r="EU57" s="1051"/>
      <c r="EV57" s="1051"/>
      <c r="EW57" s="1051"/>
      <c r="EX57" s="1051"/>
      <c r="EY57" s="1051"/>
      <c r="EZ57" s="1051"/>
      <c r="FA57" s="1051"/>
      <c r="FB57" s="1051"/>
      <c r="FC57" s="1051"/>
      <c r="FD57" s="1051"/>
      <c r="FE57" s="1051"/>
      <c r="FF57" s="1051"/>
      <c r="FG57" s="1051"/>
      <c r="FH57" s="1051"/>
      <c r="FI57" s="1051"/>
      <c r="FJ57" s="1051"/>
      <c r="FK57" s="1051"/>
      <c r="FL57" s="1051"/>
      <c r="FM57" s="1051"/>
      <c r="FN57" s="1051"/>
      <c r="FO57" s="1051"/>
      <c r="FP57" s="1051"/>
      <c r="FQ57" s="1051"/>
      <c r="FR57" s="1051"/>
      <c r="FS57" s="1051"/>
      <c r="FT57" s="1051"/>
      <c r="FU57" s="1051"/>
      <c r="FV57" s="1051"/>
      <c r="FW57" s="1051"/>
      <c r="FX57" s="1051"/>
      <c r="FY57" s="1051"/>
      <c r="FZ57" s="1051"/>
      <c r="GA57" s="1051"/>
      <c r="GB57" s="1051"/>
      <c r="GC57" s="1051"/>
      <c r="GD57" s="1051"/>
      <c r="GE57" s="1051"/>
      <c r="GF57" s="1051"/>
      <c r="GG57" s="1051"/>
      <c r="GH57" s="1051"/>
      <c r="GI57" s="1051"/>
      <c r="GJ57" s="1051"/>
      <c r="GK57" s="1051"/>
      <c r="GL57" s="1051"/>
      <c r="GM57" s="1051"/>
      <c r="GN57" s="1051"/>
      <c r="GO57" s="1051"/>
      <c r="GP57" s="1051"/>
      <c r="GQ57" s="1051"/>
      <c r="GR57" s="1051"/>
      <c r="GS57" s="1051"/>
      <c r="GT57" s="1051"/>
      <c r="GU57" s="1051"/>
      <c r="GV57" s="1051"/>
      <c r="GW57" s="1051"/>
      <c r="GX57" s="1051"/>
      <c r="GY57" s="1051"/>
      <c r="GZ57" s="1051"/>
      <c r="HA57" s="1051"/>
      <c r="HB57" s="1051"/>
      <c r="HC57" s="1051"/>
      <c r="HD57" s="1051"/>
      <c r="HE57" s="1051"/>
      <c r="HF57" s="1051"/>
      <c r="HG57" s="1051"/>
      <c r="HH57" s="1051"/>
      <c r="HI57" s="1051"/>
      <c r="HJ57" s="1051"/>
      <c r="HK57" s="1051"/>
      <c r="HL57" s="1051"/>
      <c r="HM57" s="1051"/>
      <c r="HN57" s="1051"/>
      <c r="HO57" s="1051"/>
      <c r="HP57" s="1051"/>
      <c r="HQ57" s="1051"/>
      <c r="HR57" s="1051"/>
      <c r="HS57" s="1051"/>
      <c r="HT57" s="1051"/>
      <c r="HU57" s="1051"/>
      <c r="HV57" s="1051"/>
      <c r="HW57" s="1051"/>
      <c r="HX57" s="1051"/>
      <c r="HY57" s="1051"/>
      <c r="HZ57" s="1051"/>
      <c r="IA57" s="1051"/>
      <c r="IB57" s="1051"/>
      <c r="IC57" s="1051"/>
      <c r="ID57" s="1051"/>
      <c r="IE57" s="1051"/>
      <c r="IF57" s="1051"/>
      <c r="IG57" s="1051"/>
      <c r="IH57" s="1051"/>
      <c r="II57" s="1051"/>
      <c r="IJ57" s="1051"/>
      <c r="IK57" s="1051"/>
      <c r="IL57" s="1051"/>
      <c r="IM57" s="1051"/>
      <c r="IN57" s="1051"/>
      <c r="IO57" s="1051"/>
      <c r="IP57" s="1051"/>
      <c r="IQ57" s="1051"/>
      <c r="IR57" s="1051"/>
      <c r="IS57" s="1051"/>
      <c r="IT57" s="1051"/>
      <c r="IU57" s="1051"/>
      <c r="IV57" s="1051"/>
    </row>
    <row r="58" spans="1:256" x14ac:dyDescent="0.2">
      <c r="A58" s="1056" t="s">
        <v>615</v>
      </c>
      <c r="B58" s="1064" t="s">
        <v>712</v>
      </c>
      <c r="C58" s="1043">
        <v>108000</v>
      </c>
      <c r="D58" s="1043">
        <v>108000</v>
      </c>
      <c r="E58" s="1043">
        <v>0</v>
      </c>
      <c r="F58" s="1067">
        <f t="shared" si="2"/>
        <v>0</v>
      </c>
      <c r="G58" s="1051"/>
      <c r="H58" s="1051"/>
      <c r="I58" s="1051"/>
      <c r="J58" s="1051"/>
      <c r="K58" s="1051"/>
      <c r="L58" s="1051"/>
      <c r="M58" s="1051"/>
      <c r="N58" s="1051"/>
      <c r="O58" s="1051"/>
      <c r="P58" s="1051"/>
      <c r="Q58" s="1051"/>
      <c r="R58" s="1051"/>
      <c r="S58" s="1051"/>
      <c r="T58" s="1051"/>
      <c r="U58" s="1051"/>
      <c r="V58" s="1051"/>
      <c r="W58" s="1051"/>
      <c r="X58" s="1051"/>
      <c r="Y58" s="1051"/>
      <c r="Z58" s="1051"/>
      <c r="AA58" s="1051"/>
      <c r="AB58" s="1051"/>
      <c r="AC58" s="1051"/>
      <c r="AD58" s="1051"/>
      <c r="AE58" s="1051"/>
      <c r="AF58" s="1051"/>
      <c r="AG58" s="1051"/>
      <c r="AH58" s="1051"/>
      <c r="AI58" s="1051"/>
      <c r="AJ58" s="1051"/>
      <c r="AK58" s="1051"/>
      <c r="AL58" s="1051"/>
      <c r="AM58" s="1051"/>
      <c r="AN58" s="1051"/>
      <c r="AO58" s="1051"/>
      <c r="AP58" s="1051"/>
      <c r="AQ58" s="1051"/>
      <c r="AR58" s="1051"/>
      <c r="AS58" s="1051"/>
      <c r="AT58" s="1051"/>
      <c r="AU58" s="1051"/>
      <c r="AV58" s="1051"/>
      <c r="AW58" s="1051"/>
      <c r="AX58" s="1051"/>
      <c r="AY58" s="1051"/>
      <c r="AZ58" s="1051"/>
      <c r="BA58" s="1051"/>
      <c r="BB58" s="1051"/>
      <c r="BC58" s="1051"/>
      <c r="BD58" s="1051"/>
      <c r="BE58" s="1051"/>
      <c r="BF58" s="1051"/>
      <c r="BG58" s="1051"/>
      <c r="BH58" s="1051"/>
      <c r="BI58" s="1051"/>
      <c r="BJ58" s="1051"/>
      <c r="BK58" s="1051"/>
      <c r="BL58" s="1051"/>
      <c r="BM58" s="1051"/>
      <c r="BN58" s="1051"/>
      <c r="BO58" s="1051"/>
      <c r="BP58" s="1051"/>
      <c r="BQ58" s="1051"/>
      <c r="BR58" s="1051"/>
      <c r="BS58" s="1051"/>
      <c r="BT58" s="1051"/>
      <c r="BU58" s="1051"/>
      <c r="BV58" s="1051"/>
      <c r="BW58" s="1051"/>
      <c r="BX58" s="1051"/>
      <c r="BY58" s="1051"/>
      <c r="BZ58" s="1051"/>
      <c r="CA58" s="1051"/>
      <c r="CB58" s="1051"/>
      <c r="CC58" s="1051"/>
      <c r="CD58" s="1051"/>
      <c r="CE58" s="1051"/>
      <c r="CF58" s="1051"/>
      <c r="CG58" s="1051"/>
      <c r="CH58" s="1051"/>
      <c r="CI58" s="1051"/>
      <c r="CJ58" s="1051"/>
      <c r="CK58" s="1051"/>
      <c r="CL58" s="1051"/>
      <c r="CM58" s="1051"/>
      <c r="CN58" s="1051"/>
      <c r="CO58" s="1051"/>
      <c r="CP58" s="1051"/>
      <c r="CQ58" s="1051"/>
      <c r="CR58" s="1051"/>
      <c r="CS58" s="1051"/>
      <c r="CT58" s="1051"/>
      <c r="CU58" s="1051"/>
      <c r="CV58" s="1051"/>
      <c r="CW58" s="1051"/>
      <c r="CX58" s="1051"/>
      <c r="CY58" s="1051"/>
      <c r="CZ58" s="1051"/>
      <c r="DA58" s="1051"/>
      <c r="DB58" s="1051"/>
      <c r="DC58" s="1051"/>
      <c r="DD58" s="1051"/>
      <c r="DE58" s="1051"/>
      <c r="DF58" s="1051"/>
      <c r="DG58" s="1051"/>
      <c r="DH58" s="1051"/>
      <c r="DI58" s="1051"/>
      <c r="DJ58" s="1051"/>
      <c r="DK58" s="1051"/>
      <c r="DL58" s="1051"/>
      <c r="DM58" s="1051"/>
      <c r="DN58" s="1051"/>
      <c r="DO58" s="1051"/>
      <c r="DP58" s="1051"/>
      <c r="DQ58" s="1051"/>
      <c r="DR58" s="1051"/>
      <c r="DS58" s="1051"/>
      <c r="DT58" s="1051"/>
      <c r="DU58" s="1051"/>
      <c r="DV58" s="1051"/>
      <c r="DW58" s="1051"/>
      <c r="DX58" s="1051"/>
      <c r="DY58" s="1051"/>
      <c r="DZ58" s="1051"/>
      <c r="EA58" s="1051"/>
      <c r="EB58" s="1051"/>
      <c r="EC58" s="1051"/>
      <c r="ED58" s="1051"/>
      <c r="EE58" s="1051"/>
      <c r="EF58" s="1051"/>
      <c r="EG58" s="1051"/>
      <c r="EH58" s="1051"/>
      <c r="EI58" s="1051"/>
      <c r="EJ58" s="1051"/>
      <c r="EK58" s="1051"/>
      <c r="EL58" s="1051"/>
      <c r="EM58" s="1051"/>
      <c r="EN58" s="1051"/>
      <c r="EO58" s="1051"/>
      <c r="EP58" s="1051"/>
      <c r="EQ58" s="1051"/>
      <c r="ER58" s="1051"/>
      <c r="ES58" s="1051"/>
      <c r="ET58" s="1051"/>
      <c r="EU58" s="1051"/>
      <c r="EV58" s="1051"/>
      <c r="EW58" s="1051"/>
      <c r="EX58" s="1051"/>
      <c r="EY58" s="1051"/>
      <c r="EZ58" s="1051"/>
      <c r="FA58" s="1051"/>
      <c r="FB58" s="1051"/>
      <c r="FC58" s="1051"/>
      <c r="FD58" s="1051"/>
      <c r="FE58" s="1051"/>
      <c r="FF58" s="1051"/>
      <c r="FG58" s="1051"/>
      <c r="FH58" s="1051"/>
      <c r="FI58" s="1051"/>
      <c r="FJ58" s="1051"/>
      <c r="FK58" s="1051"/>
      <c r="FL58" s="1051"/>
      <c r="FM58" s="1051"/>
      <c r="FN58" s="1051"/>
      <c r="FO58" s="1051"/>
      <c r="FP58" s="1051"/>
      <c r="FQ58" s="1051"/>
      <c r="FR58" s="1051"/>
      <c r="FS58" s="1051"/>
      <c r="FT58" s="1051"/>
      <c r="FU58" s="1051"/>
      <c r="FV58" s="1051"/>
      <c r="FW58" s="1051"/>
      <c r="FX58" s="1051"/>
      <c r="FY58" s="1051"/>
      <c r="FZ58" s="1051"/>
      <c r="GA58" s="1051"/>
      <c r="GB58" s="1051"/>
      <c r="GC58" s="1051"/>
      <c r="GD58" s="1051"/>
      <c r="GE58" s="1051"/>
      <c r="GF58" s="1051"/>
      <c r="GG58" s="1051"/>
      <c r="GH58" s="1051"/>
      <c r="GI58" s="1051"/>
      <c r="GJ58" s="1051"/>
      <c r="GK58" s="1051"/>
      <c r="GL58" s="1051"/>
      <c r="GM58" s="1051"/>
      <c r="GN58" s="1051"/>
      <c r="GO58" s="1051"/>
      <c r="GP58" s="1051"/>
      <c r="GQ58" s="1051"/>
      <c r="GR58" s="1051"/>
      <c r="GS58" s="1051"/>
      <c r="GT58" s="1051"/>
      <c r="GU58" s="1051"/>
      <c r="GV58" s="1051"/>
      <c r="GW58" s="1051"/>
      <c r="GX58" s="1051"/>
      <c r="GY58" s="1051"/>
      <c r="GZ58" s="1051"/>
      <c r="HA58" s="1051"/>
      <c r="HB58" s="1051"/>
      <c r="HC58" s="1051"/>
      <c r="HD58" s="1051"/>
      <c r="HE58" s="1051"/>
      <c r="HF58" s="1051"/>
      <c r="HG58" s="1051"/>
      <c r="HH58" s="1051"/>
      <c r="HI58" s="1051"/>
      <c r="HJ58" s="1051"/>
      <c r="HK58" s="1051"/>
      <c r="HL58" s="1051"/>
      <c r="HM58" s="1051"/>
      <c r="HN58" s="1051"/>
      <c r="HO58" s="1051"/>
      <c r="HP58" s="1051"/>
      <c r="HQ58" s="1051"/>
      <c r="HR58" s="1051"/>
      <c r="HS58" s="1051"/>
      <c r="HT58" s="1051"/>
      <c r="HU58" s="1051"/>
      <c r="HV58" s="1051"/>
      <c r="HW58" s="1051"/>
      <c r="HX58" s="1051"/>
      <c r="HY58" s="1051"/>
      <c r="HZ58" s="1051"/>
      <c r="IA58" s="1051"/>
      <c r="IB58" s="1051"/>
      <c r="IC58" s="1051"/>
      <c r="ID58" s="1051"/>
      <c r="IE58" s="1051"/>
      <c r="IF58" s="1051"/>
      <c r="IG58" s="1051"/>
      <c r="IH58" s="1051"/>
      <c r="II58" s="1051"/>
      <c r="IJ58" s="1051"/>
      <c r="IK58" s="1051"/>
      <c r="IL58" s="1051"/>
      <c r="IM58" s="1051"/>
      <c r="IN58" s="1051"/>
      <c r="IO58" s="1051"/>
      <c r="IP58" s="1051"/>
      <c r="IQ58" s="1051"/>
      <c r="IR58" s="1051"/>
      <c r="IS58" s="1051"/>
      <c r="IT58" s="1051"/>
      <c r="IU58" s="1051"/>
      <c r="IV58" s="1051"/>
    </row>
    <row r="59" spans="1:256" x14ac:dyDescent="0.2">
      <c r="A59" s="1548" t="s">
        <v>11</v>
      </c>
      <c r="B59" s="1559"/>
      <c r="C59" s="1043">
        <f>SUM(C57:C58)</f>
        <v>508000</v>
      </c>
      <c r="D59" s="1043">
        <f>SUM(D57:D58)</f>
        <v>508000</v>
      </c>
      <c r="E59" s="1043">
        <f>SUM(E57:E58)</f>
        <v>0</v>
      </c>
      <c r="F59" s="1067">
        <f t="shared" si="2"/>
        <v>0</v>
      </c>
      <c r="G59" s="1051"/>
      <c r="H59" s="1051"/>
      <c r="I59" s="1051"/>
      <c r="J59" s="1051"/>
      <c r="K59" s="1051"/>
      <c r="L59" s="1051"/>
      <c r="M59" s="1051"/>
      <c r="N59" s="1051"/>
      <c r="O59" s="1051"/>
      <c r="P59" s="1051"/>
      <c r="Q59" s="1051"/>
      <c r="R59" s="1051"/>
      <c r="S59" s="1051"/>
      <c r="T59" s="1051"/>
      <c r="U59" s="1051"/>
      <c r="V59" s="1051"/>
      <c r="W59" s="1051"/>
      <c r="X59" s="1051"/>
      <c r="Y59" s="1051"/>
      <c r="Z59" s="1051"/>
      <c r="AA59" s="1051"/>
      <c r="AB59" s="1051"/>
      <c r="AC59" s="1051"/>
      <c r="AD59" s="1051"/>
      <c r="AE59" s="1051"/>
      <c r="AF59" s="1051"/>
      <c r="AG59" s="1051"/>
      <c r="AH59" s="1051"/>
      <c r="AI59" s="1051"/>
      <c r="AJ59" s="1051"/>
      <c r="AK59" s="1051"/>
      <c r="AL59" s="1051"/>
      <c r="AM59" s="1051"/>
      <c r="AN59" s="1051"/>
      <c r="AO59" s="1051"/>
      <c r="AP59" s="1051"/>
      <c r="AQ59" s="1051"/>
      <c r="AR59" s="1051"/>
      <c r="AS59" s="1051"/>
      <c r="AT59" s="1051"/>
      <c r="AU59" s="1051"/>
      <c r="AV59" s="1051"/>
      <c r="AW59" s="1051"/>
      <c r="AX59" s="1051"/>
      <c r="AY59" s="1051"/>
      <c r="AZ59" s="1051"/>
      <c r="BA59" s="1051"/>
      <c r="BB59" s="1051"/>
      <c r="BC59" s="1051"/>
      <c r="BD59" s="1051"/>
      <c r="BE59" s="1051"/>
      <c r="BF59" s="1051"/>
      <c r="BG59" s="1051"/>
      <c r="BH59" s="1051"/>
      <c r="BI59" s="1051"/>
      <c r="BJ59" s="1051"/>
      <c r="BK59" s="1051"/>
      <c r="BL59" s="1051"/>
      <c r="BM59" s="1051"/>
      <c r="BN59" s="1051"/>
      <c r="BO59" s="1051"/>
      <c r="BP59" s="1051"/>
      <c r="BQ59" s="1051"/>
      <c r="BR59" s="1051"/>
      <c r="BS59" s="1051"/>
      <c r="BT59" s="1051"/>
      <c r="BU59" s="1051"/>
      <c r="BV59" s="1051"/>
      <c r="BW59" s="1051"/>
      <c r="BX59" s="1051"/>
      <c r="BY59" s="1051"/>
      <c r="BZ59" s="1051"/>
      <c r="CA59" s="1051"/>
      <c r="CB59" s="1051"/>
      <c r="CC59" s="1051"/>
      <c r="CD59" s="1051"/>
      <c r="CE59" s="1051"/>
      <c r="CF59" s="1051"/>
      <c r="CG59" s="1051"/>
      <c r="CH59" s="1051"/>
      <c r="CI59" s="1051"/>
      <c r="CJ59" s="1051"/>
      <c r="CK59" s="1051"/>
      <c r="CL59" s="1051"/>
      <c r="CM59" s="1051"/>
      <c r="CN59" s="1051"/>
      <c r="CO59" s="1051"/>
      <c r="CP59" s="1051"/>
      <c r="CQ59" s="1051"/>
      <c r="CR59" s="1051"/>
      <c r="CS59" s="1051"/>
      <c r="CT59" s="1051"/>
      <c r="CU59" s="1051"/>
      <c r="CV59" s="1051"/>
      <c r="CW59" s="1051"/>
      <c r="CX59" s="1051"/>
      <c r="CY59" s="1051"/>
      <c r="CZ59" s="1051"/>
      <c r="DA59" s="1051"/>
      <c r="DB59" s="1051"/>
      <c r="DC59" s="1051"/>
      <c r="DD59" s="1051"/>
      <c r="DE59" s="1051"/>
      <c r="DF59" s="1051"/>
      <c r="DG59" s="1051"/>
      <c r="DH59" s="1051"/>
      <c r="DI59" s="1051"/>
      <c r="DJ59" s="1051"/>
      <c r="DK59" s="1051"/>
      <c r="DL59" s="1051"/>
      <c r="DM59" s="1051"/>
      <c r="DN59" s="1051"/>
      <c r="DO59" s="1051"/>
      <c r="DP59" s="1051"/>
      <c r="DQ59" s="1051"/>
      <c r="DR59" s="1051"/>
      <c r="DS59" s="1051"/>
      <c r="DT59" s="1051"/>
      <c r="DU59" s="1051"/>
      <c r="DV59" s="1051"/>
      <c r="DW59" s="1051"/>
      <c r="DX59" s="1051"/>
      <c r="DY59" s="1051"/>
      <c r="DZ59" s="1051"/>
      <c r="EA59" s="1051"/>
      <c r="EB59" s="1051"/>
      <c r="EC59" s="1051"/>
      <c r="ED59" s="1051"/>
      <c r="EE59" s="1051"/>
      <c r="EF59" s="1051"/>
      <c r="EG59" s="1051"/>
      <c r="EH59" s="1051"/>
      <c r="EI59" s="1051"/>
      <c r="EJ59" s="1051"/>
      <c r="EK59" s="1051"/>
      <c r="EL59" s="1051"/>
      <c r="EM59" s="1051"/>
      <c r="EN59" s="1051"/>
      <c r="EO59" s="1051"/>
      <c r="EP59" s="1051"/>
      <c r="EQ59" s="1051"/>
      <c r="ER59" s="1051"/>
      <c r="ES59" s="1051"/>
      <c r="ET59" s="1051"/>
      <c r="EU59" s="1051"/>
      <c r="EV59" s="1051"/>
      <c r="EW59" s="1051"/>
      <c r="EX59" s="1051"/>
      <c r="EY59" s="1051"/>
      <c r="EZ59" s="1051"/>
      <c r="FA59" s="1051"/>
      <c r="FB59" s="1051"/>
      <c r="FC59" s="1051"/>
      <c r="FD59" s="1051"/>
      <c r="FE59" s="1051"/>
      <c r="FF59" s="1051"/>
      <c r="FG59" s="1051"/>
      <c r="FH59" s="1051"/>
      <c r="FI59" s="1051"/>
      <c r="FJ59" s="1051"/>
      <c r="FK59" s="1051"/>
      <c r="FL59" s="1051"/>
      <c r="FM59" s="1051"/>
      <c r="FN59" s="1051"/>
      <c r="FO59" s="1051"/>
      <c r="FP59" s="1051"/>
      <c r="FQ59" s="1051"/>
      <c r="FR59" s="1051"/>
      <c r="FS59" s="1051"/>
      <c r="FT59" s="1051"/>
      <c r="FU59" s="1051"/>
      <c r="FV59" s="1051"/>
      <c r="FW59" s="1051"/>
      <c r="FX59" s="1051"/>
      <c r="FY59" s="1051"/>
      <c r="FZ59" s="1051"/>
      <c r="GA59" s="1051"/>
      <c r="GB59" s="1051"/>
      <c r="GC59" s="1051"/>
      <c r="GD59" s="1051"/>
      <c r="GE59" s="1051"/>
      <c r="GF59" s="1051"/>
      <c r="GG59" s="1051"/>
      <c r="GH59" s="1051"/>
      <c r="GI59" s="1051"/>
      <c r="GJ59" s="1051"/>
      <c r="GK59" s="1051"/>
      <c r="GL59" s="1051"/>
      <c r="GM59" s="1051"/>
      <c r="GN59" s="1051"/>
      <c r="GO59" s="1051"/>
      <c r="GP59" s="1051"/>
      <c r="GQ59" s="1051"/>
      <c r="GR59" s="1051"/>
      <c r="GS59" s="1051"/>
      <c r="GT59" s="1051"/>
      <c r="GU59" s="1051"/>
      <c r="GV59" s="1051"/>
      <c r="GW59" s="1051"/>
      <c r="GX59" s="1051"/>
      <c r="GY59" s="1051"/>
      <c r="GZ59" s="1051"/>
      <c r="HA59" s="1051"/>
      <c r="HB59" s="1051"/>
      <c r="HC59" s="1051"/>
      <c r="HD59" s="1051"/>
      <c r="HE59" s="1051"/>
      <c r="HF59" s="1051"/>
      <c r="HG59" s="1051"/>
      <c r="HH59" s="1051"/>
      <c r="HI59" s="1051"/>
      <c r="HJ59" s="1051"/>
      <c r="HK59" s="1051"/>
      <c r="HL59" s="1051"/>
      <c r="HM59" s="1051"/>
      <c r="HN59" s="1051"/>
      <c r="HO59" s="1051"/>
      <c r="HP59" s="1051"/>
      <c r="HQ59" s="1051"/>
      <c r="HR59" s="1051"/>
      <c r="HS59" s="1051"/>
      <c r="HT59" s="1051"/>
      <c r="HU59" s="1051"/>
      <c r="HV59" s="1051"/>
      <c r="HW59" s="1051"/>
      <c r="HX59" s="1051"/>
      <c r="HY59" s="1051"/>
      <c r="HZ59" s="1051"/>
      <c r="IA59" s="1051"/>
      <c r="IB59" s="1051"/>
      <c r="IC59" s="1051"/>
      <c r="ID59" s="1051"/>
      <c r="IE59" s="1051"/>
      <c r="IF59" s="1051"/>
      <c r="IG59" s="1051"/>
      <c r="IH59" s="1051"/>
      <c r="II59" s="1051"/>
      <c r="IJ59" s="1051"/>
      <c r="IK59" s="1051"/>
      <c r="IL59" s="1051"/>
      <c r="IM59" s="1051"/>
      <c r="IN59" s="1051"/>
      <c r="IO59" s="1051"/>
      <c r="IP59" s="1051"/>
      <c r="IQ59" s="1051"/>
      <c r="IR59" s="1051"/>
      <c r="IS59" s="1051"/>
      <c r="IT59" s="1051"/>
      <c r="IU59" s="1051"/>
      <c r="IV59" s="1051"/>
    </row>
    <row r="60" spans="1:256" x14ac:dyDescent="0.2">
      <c r="A60" s="1549" t="s">
        <v>73</v>
      </c>
      <c r="B60" s="1575"/>
      <c r="C60" s="1046">
        <f>C53+C56+C59</f>
        <v>9655000</v>
      </c>
      <c r="D60" s="1046">
        <f>D53+D56+D59</f>
        <v>9851000</v>
      </c>
      <c r="E60" s="1046">
        <f>E53+E56+E59</f>
        <v>5991450</v>
      </c>
      <c r="F60" s="1047">
        <f t="shared" si="2"/>
        <v>0.60820728860014217</v>
      </c>
    </row>
    <row r="61" spans="1:256" x14ac:dyDescent="0.2">
      <c r="A61" s="1576" t="s">
        <v>170</v>
      </c>
      <c r="B61" s="1577"/>
      <c r="C61" s="1577"/>
      <c r="D61" s="1577"/>
      <c r="E61" s="1577"/>
      <c r="F61" s="1578"/>
    </row>
    <row r="62" spans="1:256" x14ac:dyDescent="0.2">
      <c r="A62" s="1065" t="s">
        <v>70</v>
      </c>
      <c r="B62" s="1066" t="s">
        <v>71</v>
      </c>
      <c r="C62" s="1038" t="s">
        <v>687</v>
      </c>
      <c r="D62" s="1038" t="s">
        <v>688</v>
      </c>
      <c r="E62" s="1039" t="s">
        <v>689</v>
      </c>
      <c r="F62" s="1040" t="s">
        <v>690</v>
      </c>
    </row>
    <row r="63" spans="1:256" x14ac:dyDescent="0.2">
      <c r="A63" s="1041" t="s">
        <v>724</v>
      </c>
      <c r="B63" s="1042" t="s">
        <v>725</v>
      </c>
      <c r="C63" s="1043">
        <v>49614786</v>
      </c>
      <c r="D63" s="1061">
        <v>55988704</v>
      </c>
      <c r="E63" s="1050">
        <v>55988704</v>
      </c>
      <c r="F63" s="1045">
        <f>E63/D63</f>
        <v>1</v>
      </c>
    </row>
    <row r="64" spans="1:256" x14ac:dyDescent="0.2">
      <c r="A64" s="1041" t="s">
        <v>726</v>
      </c>
      <c r="B64" s="1042" t="s">
        <v>171</v>
      </c>
      <c r="C64" s="1043">
        <v>30037520</v>
      </c>
      <c r="D64" s="1061">
        <v>31813220</v>
      </c>
      <c r="E64" s="1050">
        <v>31813220</v>
      </c>
      <c r="F64" s="1045">
        <f t="shared" ref="F64:F84" si="3">E64/D64</f>
        <v>1</v>
      </c>
    </row>
    <row r="65" spans="1:256" ht="25.5" x14ac:dyDescent="0.2">
      <c r="A65" s="1041" t="s">
        <v>727</v>
      </c>
      <c r="B65" s="1042" t="s">
        <v>728</v>
      </c>
      <c r="C65" s="1043">
        <v>10871950</v>
      </c>
      <c r="D65" s="1061">
        <v>10957310</v>
      </c>
      <c r="E65" s="1050">
        <v>10957310</v>
      </c>
      <c r="F65" s="1045">
        <f t="shared" si="3"/>
        <v>1</v>
      </c>
    </row>
    <row r="66" spans="1:256" x14ac:dyDescent="0.2">
      <c r="A66" s="1041" t="s">
        <v>729</v>
      </c>
      <c r="B66" s="1042" t="s">
        <v>730</v>
      </c>
      <c r="C66" s="1043">
        <v>23348904</v>
      </c>
      <c r="D66" s="1061">
        <v>18585602</v>
      </c>
      <c r="E66" s="1050">
        <v>18585602</v>
      </c>
      <c r="F66" s="1045">
        <f t="shared" si="3"/>
        <v>1</v>
      </c>
    </row>
    <row r="67" spans="1:256" x14ac:dyDescent="0.2">
      <c r="A67" s="1041" t="s">
        <v>731</v>
      </c>
      <c r="B67" s="1042" t="s">
        <v>172</v>
      </c>
      <c r="C67" s="1043">
        <v>1833966</v>
      </c>
      <c r="D67" s="1061">
        <v>2464346</v>
      </c>
      <c r="E67" s="1050">
        <v>2464346</v>
      </c>
      <c r="F67" s="1045">
        <f t="shared" si="3"/>
        <v>1</v>
      </c>
    </row>
    <row r="68" spans="1:256" x14ac:dyDescent="0.2">
      <c r="A68" s="1041" t="s">
        <v>732</v>
      </c>
      <c r="B68" s="1042" t="s">
        <v>733</v>
      </c>
      <c r="C68" s="1043">
        <v>0</v>
      </c>
      <c r="D68" s="1061">
        <v>3469050</v>
      </c>
      <c r="E68" s="1050">
        <v>3469050</v>
      </c>
      <c r="F68" s="1045">
        <f t="shared" si="3"/>
        <v>1</v>
      </c>
    </row>
    <row r="69" spans="1:256" ht="25.5" x14ac:dyDescent="0.2">
      <c r="A69" s="1041" t="s">
        <v>734</v>
      </c>
      <c r="B69" s="1042" t="s">
        <v>735</v>
      </c>
      <c r="C69" s="1043">
        <v>0</v>
      </c>
      <c r="D69" s="1061">
        <v>756700</v>
      </c>
      <c r="E69" s="1050">
        <v>753480</v>
      </c>
      <c r="F69" s="1045">
        <f t="shared" si="3"/>
        <v>0.99574468085106382</v>
      </c>
    </row>
    <row r="70" spans="1:256" x14ac:dyDescent="0.2">
      <c r="A70" s="1548" t="s">
        <v>18</v>
      </c>
      <c r="B70" s="1559"/>
      <c r="C70" s="1043">
        <f>SUM(C63:C69)</f>
        <v>115707126</v>
      </c>
      <c r="D70" s="1043">
        <f>SUM(D63:D69)</f>
        <v>124034932</v>
      </c>
      <c r="E70" s="1043">
        <f>SUM(E63:E69)</f>
        <v>124031712</v>
      </c>
      <c r="F70" s="1045">
        <f>E70/D70</f>
        <v>0.99997403957136854</v>
      </c>
      <c r="G70" s="1051"/>
      <c r="H70" s="1051"/>
      <c r="I70" s="1051"/>
      <c r="J70" s="1051"/>
      <c r="K70" s="1051"/>
      <c r="L70" s="1051"/>
      <c r="M70" s="1051"/>
      <c r="N70" s="1051"/>
      <c r="O70" s="1051"/>
      <c r="P70" s="1051"/>
      <c r="Q70" s="1051"/>
      <c r="R70" s="1051"/>
      <c r="S70" s="1051"/>
      <c r="T70" s="1051"/>
      <c r="U70" s="1051"/>
      <c r="V70" s="1051"/>
      <c r="W70" s="1051"/>
      <c r="X70" s="1051"/>
      <c r="Y70" s="1051"/>
      <c r="Z70" s="1051"/>
      <c r="AA70" s="1051"/>
      <c r="AB70" s="1051"/>
      <c r="AC70" s="1051"/>
      <c r="AD70" s="1051"/>
      <c r="AE70" s="1051"/>
      <c r="AF70" s="1051"/>
      <c r="AG70" s="1051"/>
      <c r="AH70" s="1051"/>
      <c r="AI70" s="1051"/>
      <c r="AJ70" s="1051"/>
      <c r="AK70" s="1051"/>
      <c r="AL70" s="1051"/>
      <c r="AM70" s="1051"/>
      <c r="AN70" s="1051"/>
      <c r="AO70" s="1051"/>
      <c r="AP70" s="1051"/>
      <c r="AQ70" s="1051"/>
      <c r="AR70" s="1051"/>
      <c r="AS70" s="1051"/>
      <c r="AT70" s="1051"/>
      <c r="AU70" s="1051"/>
      <c r="AV70" s="1051"/>
      <c r="AW70" s="1051"/>
      <c r="AX70" s="1051"/>
      <c r="AY70" s="1051"/>
      <c r="AZ70" s="1051"/>
      <c r="BA70" s="1051"/>
      <c r="BB70" s="1051"/>
      <c r="BC70" s="1051"/>
      <c r="BD70" s="1051"/>
      <c r="BE70" s="1051"/>
      <c r="BF70" s="1051"/>
      <c r="BG70" s="1051"/>
      <c r="BH70" s="1051"/>
      <c r="BI70" s="1051"/>
      <c r="BJ70" s="1051"/>
      <c r="BK70" s="1051"/>
      <c r="BL70" s="1051"/>
      <c r="BM70" s="1051"/>
      <c r="BN70" s="1051"/>
      <c r="BO70" s="1051"/>
      <c r="BP70" s="1051"/>
      <c r="BQ70" s="1051"/>
      <c r="BR70" s="1051"/>
      <c r="BS70" s="1051"/>
      <c r="BT70" s="1051"/>
      <c r="BU70" s="1051"/>
      <c r="BV70" s="1051"/>
      <c r="BW70" s="1051"/>
      <c r="BX70" s="1051"/>
      <c r="BY70" s="1051"/>
      <c r="BZ70" s="1051"/>
      <c r="CA70" s="1051"/>
      <c r="CB70" s="1051"/>
      <c r="CC70" s="1051"/>
      <c r="CD70" s="1051"/>
      <c r="CE70" s="1051"/>
      <c r="CF70" s="1051"/>
      <c r="CG70" s="1051"/>
      <c r="CH70" s="1051"/>
      <c r="CI70" s="1051"/>
      <c r="CJ70" s="1051"/>
      <c r="CK70" s="1051"/>
      <c r="CL70" s="1051"/>
      <c r="CM70" s="1051"/>
      <c r="CN70" s="1051"/>
      <c r="CO70" s="1051"/>
      <c r="CP70" s="1051"/>
      <c r="CQ70" s="1051"/>
      <c r="CR70" s="1051"/>
      <c r="CS70" s="1051"/>
      <c r="CT70" s="1051"/>
      <c r="CU70" s="1051"/>
      <c r="CV70" s="1051"/>
      <c r="CW70" s="1051"/>
      <c r="CX70" s="1051"/>
      <c r="CY70" s="1051"/>
      <c r="CZ70" s="1051"/>
      <c r="DA70" s="1051"/>
      <c r="DB70" s="1051"/>
      <c r="DC70" s="1051"/>
      <c r="DD70" s="1051"/>
      <c r="DE70" s="1051"/>
      <c r="DF70" s="1051"/>
      <c r="DG70" s="1051"/>
      <c r="DH70" s="1051"/>
      <c r="DI70" s="1051"/>
      <c r="DJ70" s="1051"/>
      <c r="DK70" s="1051"/>
      <c r="DL70" s="1051"/>
      <c r="DM70" s="1051"/>
      <c r="DN70" s="1051"/>
      <c r="DO70" s="1051"/>
      <c r="DP70" s="1051"/>
      <c r="DQ70" s="1051"/>
      <c r="DR70" s="1051"/>
      <c r="DS70" s="1051"/>
      <c r="DT70" s="1051"/>
      <c r="DU70" s="1051"/>
      <c r="DV70" s="1051"/>
      <c r="DW70" s="1051"/>
      <c r="DX70" s="1051"/>
      <c r="DY70" s="1051"/>
      <c r="DZ70" s="1051"/>
      <c r="EA70" s="1051"/>
      <c r="EB70" s="1051"/>
      <c r="EC70" s="1051"/>
      <c r="ED70" s="1051"/>
      <c r="EE70" s="1051"/>
      <c r="EF70" s="1051"/>
      <c r="EG70" s="1051"/>
      <c r="EH70" s="1051"/>
      <c r="EI70" s="1051"/>
      <c r="EJ70" s="1051"/>
      <c r="EK70" s="1051"/>
      <c r="EL70" s="1051"/>
      <c r="EM70" s="1051"/>
      <c r="EN70" s="1051"/>
      <c r="EO70" s="1051"/>
      <c r="EP70" s="1051"/>
      <c r="EQ70" s="1051"/>
      <c r="ER70" s="1051"/>
      <c r="ES70" s="1051"/>
      <c r="ET70" s="1051"/>
      <c r="EU70" s="1051"/>
      <c r="EV70" s="1051"/>
      <c r="EW70" s="1051"/>
      <c r="EX70" s="1051"/>
      <c r="EY70" s="1051"/>
      <c r="EZ70" s="1051"/>
      <c r="FA70" s="1051"/>
      <c r="FB70" s="1051"/>
      <c r="FC70" s="1051"/>
      <c r="FD70" s="1051"/>
      <c r="FE70" s="1051"/>
      <c r="FF70" s="1051"/>
      <c r="FG70" s="1051"/>
      <c r="FH70" s="1051"/>
      <c r="FI70" s="1051"/>
      <c r="FJ70" s="1051"/>
      <c r="FK70" s="1051"/>
      <c r="FL70" s="1051"/>
      <c r="FM70" s="1051"/>
      <c r="FN70" s="1051"/>
      <c r="FO70" s="1051"/>
      <c r="FP70" s="1051"/>
      <c r="FQ70" s="1051"/>
      <c r="FR70" s="1051"/>
      <c r="FS70" s="1051"/>
      <c r="FT70" s="1051"/>
      <c r="FU70" s="1051"/>
      <c r="FV70" s="1051"/>
      <c r="FW70" s="1051"/>
      <c r="FX70" s="1051"/>
      <c r="FY70" s="1051"/>
      <c r="FZ70" s="1051"/>
      <c r="GA70" s="1051"/>
      <c r="GB70" s="1051"/>
      <c r="GC70" s="1051"/>
      <c r="GD70" s="1051"/>
      <c r="GE70" s="1051"/>
      <c r="GF70" s="1051"/>
      <c r="GG70" s="1051"/>
      <c r="GH70" s="1051"/>
      <c r="GI70" s="1051"/>
      <c r="GJ70" s="1051"/>
      <c r="GK70" s="1051"/>
      <c r="GL70" s="1051"/>
      <c r="GM70" s="1051"/>
      <c r="GN70" s="1051"/>
      <c r="GO70" s="1051"/>
      <c r="GP70" s="1051"/>
      <c r="GQ70" s="1051"/>
      <c r="GR70" s="1051"/>
      <c r="GS70" s="1051"/>
      <c r="GT70" s="1051"/>
      <c r="GU70" s="1051"/>
      <c r="GV70" s="1051"/>
      <c r="GW70" s="1051"/>
      <c r="GX70" s="1051"/>
      <c r="GY70" s="1051"/>
      <c r="GZ70" s="1051"/>
      <c r="HA70" s="1051"/>
      <c r="HB70" s="1051"/>
      <c r="HC70" s="1051"/>
      <c r="HD70" s="1051"/>
      <c r="HE70" s="1051"/>
      <c r="HF70" s="1051"/>
      <c r="HG70" s="1051"/>
      <c r="HH70" s="1051"/>
      <c r="HI70" s="1051"/>
      <c r="HJ70" s="1051"/>
      <c r="HK70" s="1051"/>
      <c r="HL70" s="1051"/>
      <c r="HM70" s="1051"/>
      <c r="HN70" s="1051"/>
      <c r="HO70" s="1051"/>
      <c r="HP70" s="1051"/>
      <c r="HQ70" s="1051"/>
      <c r="HR70" s="1051"/>
      <c r="HS70" s="1051"/>
      <c r="HT70" s="1051"/>
      <c r="HU70" s="1051"/>
      <c r="HV70" s="1051"/>
      <c r="HW70" s="1051"/>
      <c r="HX70" s="1051"/>
      <c r="HY70" s="1051"/>
      <c r="HZ70" s="1051"/>
      <c r="IA70" s="1051"/>
      <c r="IB70" s="1051"/>
      <c r="IC70" s="1051"/>
      <c r="ID70" s="1051"/>
      <c r="IE70" s="1051"/>
      <c r="IF70" s="1051"/>
      <c r="IG70" s="1051"/>
      <c r="IH70" s="1051"/>
      <c r="II70" s="1051"/>
      <c r="IJ70" s="1051"/>
      <c r="IK70" s="1051"/>
      <c r="IL70" s="1051"/>
      <c r="IM70" s="1051"/>
      <c r="IN70" s="1051"/>
      <c r="IO70" s="1051"/>
      <c r="IP70" s="1051"/>
      <c r="IQ70" s="1051"/>
      <c r="IR70" s="1051"/>
      <c r="IS70" s="1051"/>
      <c r="IT70" s="1051"/>
      <c r="IU70" s="1051"/>
      <c r="IV70" s="1051"/>
    </row>
    <row r="71" spans="1:256" x14ac:dyDescent="0.2">
      <c r="A71" s="1056" t="s">
        <v>675</v>
      </c>
      <c r="B71" s="1064" t="s">
        <v>234</v>
      </c>
      <c r="C71" s="1043">
        <v>0</v>
      </c>
      <c r="D71" s="1043">
        <v>220000</v>
      </c>
      <c r="E71" s="1043">
        <v>203319</v>
      </c>
      <c r="F71" s="1045">
        <f>E71/D71</f>
        <v>0.92417727272727268</v>
      </c>
      <c r="G71" s="1051"/>
      <c r="H71" s="1051"/>
      <c r="I71" s="1051"/>
      <c r="J71" s="1051"/>
      <c r="K71" s="1051"/>
      <c r="L71" s="1051"/>
      <c r="M71" s="1051"/>
      <c r="N71" s="1051"/>
      <c r="O71" s="1051"/>
      <c r="P71" s="1051"/>
      <c r="Q71" s="1051"/>
      <c r="R71" s="1051"/>
      <c r="S71" s="1051"/>
      <c r="T71" s="1051"/>
      <c r="U71" s="1051"/>
      <c r="V71" s="1051"/>
      <c r="W71" s="1051"/>
      <c r="X71" s="1051"/>
      <c r="Y71" s="1051"/>
      <c r="Z71" s="1051"/>
      <c r="AA71" s="1051"/>
      <c r="AB71" s="1051"/>
      <c r="AC71" s="1051"/>
      <c r="AD71" s="1051"/>
      <c r="AE71" s="1051"/>
      <c r="AF71" s="1051"/>
      <c r="AG71" s="1051"/>
      <c r="AH71" s="1051"/>
      <c r="AI71" s="1051"/>
      <c r="AJ71" s="1051"/>
      <c r="AK71" s="1051"/>
      <c r="AL71" s="1051"/>
      <c r="AM71" s="1051"/>
      <c r="AN71" s="1051"/>
      <c r="AO71" s="1051"/>
      <c r="AP71" s="1051"/>
      <c r="AQ71" s="1051"/>
      <c r="AR71" s="1051"/>
      <c r="AS71" s="1051"/>
      <c r="AT71" s="1051"/>
      <c r="AU71" s="1051"/>
      <c r="AV71" s="1051"/>
      <c r="AW71" s="1051"/>
      <c r="AX71" s="1051"/>
      <c r="AY71" s="1051"/>
      <c r="AZ71" s="1051"/>
      <c r="BA71" s="1051"/>
      <c r="BB71" s="1051"/>
      <c r="BC71" s="1051"/>
      <c r="BD71" s="1051"/>
      <c r="BE71" s="1051"/>
      <c r="BF71" s="1051"/>
      <c r="BG71" s="1051"/>
      <c r="BH71" s="1051"/>
      <c r="BI71" s="1051"/>
      <c r="BJ71" s="1051"/>
      <c r="BK71" s="1051"/>
      <c r="BL71" s="1051"/>
      <c r="BM71" s="1051"/>
      <c r="BN71" s="1051"/>
      <c r="BO71" s="1051"/>
      <c r="BP71" s="1051"/>
      <c r="BQ71" s="1051"/>
      <c r="BR71" s="1051"/>
      <c r="BS71" s="1051"/>
      <c r="BT71" s="1051"/>
      <c r="BU71" s="1051"/>
      <c r="BV71" s="1051"/>
      <c r="BW71" s="1051"/>
      <c r="BX71" s="1051"/>
      <c r="BY71" s="1051"/>
      <c r="BZ71" s="1051"/>
      <c r="CA71" s="1051"/>
      <c r="CB71" s="1051"/>
      <c r="CC71" s="1051"/>
      <c r="CD71" s="1051"/>
      <c r="CE71" s="1051"/>
      <c r="CF71" s="1051"/>
      <c r="CG71" s="1051"/>
      <c r="CH71" s="1051"/>
      <c r="CI71" s="1051"/>
      <c r="CJ71" s="1051"/>
      <c r="CK71" s="1051"/>
      <c r="CL71" s="1051"/>
      <c r="CM71" s="1051"/>
      <c r="CN71" s="1051"/>
      <c r="CO71" s="1051"/>
      <c r="CP71" s="1051"/>
      <c r="CQ71" s="1051"/>
      <c r="CR71" s="1051"/>
      <c r="CS71" s="1051"/>
      <c r="CT71" s="1051"/>
      <c r="CU71" s="1051"/>
      <c r="CV71" s="1051"/>
      <c r="CW71" s="1051"/>
      <c r="CX71" s="1051"/>
      <c r="CY71" s="1051"/>
      <c r="CZ71" s="1051"/>
      <c r="DA71" s="1051"/>
      <c r="DB71" s="1051"/>
      <c r="DC71" s="1051"/>
      <c r="DD71" s="1051"/>
      <c r="DE71" s="1051"/>
      <c r="DF71" s="1051"/>
      <c r="DG71" s="1051"/>
      <c r="DH71" s="1051"/>
      <c r="DI71" s="1051"/>
      <c r="DJ71" s="1051"/>
      <c r="DK71" s="1051"/>
      <c r="DL71" s="1051"/>
      <c r="DM71" s="1051"/>
      <c r="DN71" s="1051"/>
      <c r="DO71" s="1051"/>
      <c r="DP71" s="1051"/>
      <c r="DQ71" s="1051"/>
      <c r="DR71" s="1051"/>
      <c r="DS71" s="1051"/>
      <c r="DT71" s="1051"/>
      <c r="DU71" s="1051"/>
      <c r="DV71" s="1051"/>
      <c r="DW71" s="1051"/>
      <c r="DX71" s="1051"/>
      <c r="DY71" s="1051"/>
      <c r="DZ71" s="1051"/>
      <c r="EA71" s="1051"/>
      <c r="EB71" s="1051"/>
      <c r="EC71" s="1051"/>
      <c r="ED71" s="1051"/>
      <c r="EE71" s="1051"/>
      <c r="EF71" s="1051"/>
      <c r="EG71" s="1051"/>
      <c r="EH71" s="1051"/>
      <c r="EI71" s="1051"/>
      <c r="EJ71" s="1051"/>
      <c r="EK71" s="1051"/>
      <c r="EL71" s="1051"/>
      <c r="EM71" s="1051"/>
      <c r="EN71" s="1051"/>
      <c r="EO71" s="1051"/>
      <c r="EP71" s="1051"/>
      <c r="EQ71" s="1051"/>
      <c r="ER71" s="1051"/>
      <c r="ES71" s="1051"/>
      <c r="ET71" s="1051"/>
      <c r="EU71" s="1051"/>
      <c r="EV71" s="1051"/>
      <c r="EW71" s="1051"/>
      <c r="EX71" s="1051"/>
      <c r="EY71" s="1051"/>
      <c r="EZ71" s="1051"/>
      <c r="FA71" s="1051"/>
      <c r="FB71" s="1051"/>
      <c r="FC71" s="1051"/>
      <c r="FD71" s="1051"/>
      <c r="FE71" s="1051"/>
      <c r="FF71" s="1051"/>
      <c r="FG71" s="1051"/>
      <c r="FH71" s="1051"/>
      <c r="FI71" s="1051"/>
      <c r="FJ71" s="1051"/>
      <c r="FK71" s="1051"/>
      <c r="FL71" s="1051"/>
      <c r="FM71" s="1051"/>
      <c r="FN71" s="1051"/>
      <c r="FO71" s="1051"/>
      <c r="FP71" s="1051"/>
      <c r="FQ71" s="1051"/>
      <c r="FR71" s="1051"/>
      <c r="FS71" s="1051"/>
      <c r="FT71" s="1051"/>
      <c r="FU71" s="1051"/>
      <c r="FV71" s="1051"/>
      <c r="FW71" s="1051"/>
      <c r="FX71" s="1051"/>
      <c r="FY71" s="1051"/>
      <c r="FZ71" s="1051"/>
      <c r="GA71" s="1051"/>
      <c r="GB71" s="1051"/>
      <c r="GC71" s="1051"/>
      <c r="GD71" s="1051"/>
      <c r="GE71" s="1051"/>
      <c r="GF71" s="1051"/>
      <c r="GG71" s="1051"/>
      <c r="GH71" s="1051"/>
      <c r="GI71" s="1051"/>
      <c r="GJ71" s="1051"/>
      <c r="GK71" s="1051"/>
      <c r="GL71" s="1051"/>
      <c r="GM71" s="1051"/>
      <c r="GN71" s="1051"/>
      <c r="GO71" s="1051"/>
      <c r="GP71" s="1051"/>
      <c r="GQ71" s="1051"/>
      <c r="GR71" s="1051"/>
      <c r="GS71" s="1051"/>
      <c r="GT71" s="1051"/>
      <c r="GU71" s="1051"/>
      <c r="GV71" s="1051"/>
      <c r="GW71" s="1051"/>
      <c r="GX71" s="1051"/>
      <c r="GY71" s="1051"/>
      <c r="GZ71" s="1051"/>
      <c r="HA71" s="1051"/>
      <c r="HB71" s="1051"/>
      <c r="HC71" s="1051"/>
      <c r="HD71" s="1051"/>
      <c r="HE71" s="1051"/>
      <c r="HF71" s="1051"/>
      <c r="HG71" s="1051"/>
      <c r="HH71" s="1051"/>
      <c r="HI71" s="1051"/>
      <c r="HJ71" s="1051"/>
      <c r="HK71" s="1051"/>
      <c r="HL71" s="1051"/>
      <c r="HM71" s="1051"/>
      <c r="HN71" s="1051"/>
      <c r="HO71" s="1051"/>
      <c r="HP71" s="1051"/>
      <c r="HQ71" s="1051"/>
      <c r="HR71" s="1051"/>
      <c r="HS71" s="1051"/>
      <c r="HT71" s="1051"/>
      <c r="HU71" s="1051"/>
      <c r="HV71" s="1051"/>
      <c r="HW71" s="1051"/>
      <c r="HX71" s="1051"/>
      <c r="HY71" s="1051"/>
      <c r="HZ71" s="1051"/>
      <c r="IA71" s="1051"/>
      <c r="IB71" s="1051"/>
      <c r="IC71" s="1051"/>
      <c r="ID71" s="1051"/>
      <c r="IE71" s="1051"/>
      <c r="IF71" s="1051"/>
      <c r="IG71" s="1051"/>
      <c r="IH71" s="1051"/>
      <c r="II71" s="1051"/>
      <c r="IJ71" s="1051"/>
      <c r="IK71" s="1051"/>
      <c r="IL71" s="1051"/>
      <c r="IM71" s="1051"/>
      <c r="IN71" s="1051"/>
      <c r="IO71" s="1051"/>
      <c r="IP71" s="1051"/>
      <c r="IQ71" s="1051"/>
      <c r="IR71" s="1051"/>
      <c r="IS71" s="1051"/>
      <c r="IT71" s="1051"/>
      <c r="IU71" s="1051"/>
      <c r="IV71" s="1051"/>
    </row>
    <row r="72" spans="1:256" x14ac:dyDescent="0.2">
      <c r="A72" s="1555" t="s">
        <v>20</v>
      </c>
      <c r="B72" s="1556"/>
      <c r="C72" s="1043">
        <f>SUM(C71)</f>
        <v>0</v>
      </c>
      <c r="D72" s="1043">
        <f>SUM(D71)</f>
        <v>220000</v>
      </c>
      <c r="E72" s="1043">
        <f>SUM(E71)</f>
        <v>203319</v>
      </c>
      <c r="F72" s="1045">
        <f>E72/D72</f>
        <v>0.92417727272727268</v>
      </c>
      <c r="G72" s="1051"/>
      <c r="H72" s="1051"/>
      <c r="I72" s="1051"/>
      <c r="J72" s="1051"/>
      <c r="K72" s="1051"/>
      <c r="L72" s="1051"/>
      <c r="M72" s="1051"/>
      <c r="N72" s="1051"/>
      <c r="O72" s="1051"/>
      <c r="P72" s="1051"/>
      <c r="Q72" s="1051"/>
      <c r="R72" s="1051"/>
      <c r="S72" s="1051"/>
      <c r="T72" s="1051"/>
      <c r="U72" s="1051"/>
      <c r="V72" s="1051"/>
      <c r="W72" s="1051"/>
      <c r="X72" s="1051"/>
      <c r="Y72" s="1051"/>
      <c r="Z72" s="1051"/>
      <c r="AA72" s="1051"/>
      <c r="AB72" s="1051"/>
      <c r="AC72" s="1051"/>
      <c r="AD72" s="1051"/>
      <c r="AE72" s="1051"/>
      <c r="AF72" s="1051"/>
      <c r="AG72" s="1051"/>
      <c r="AH72" s="1051"/>
      <c r="AI72" s="1051"/>
      <c r="AJ72" s="1051"/>
      <c r="AK72" s="1051"/>
      <c r="AL72" s="1051"/>
      <c r="AM72" s="1051"/>
      <c r="AN72" s="1051"/>
      <c r="AO72" s="1051"/>
      <c r="AP72" s="1051"/>
      <c r="AQ72" s="1051"/>
      <c r="AR72" s="1051"/>
      <c r="AS72" s="1051"/>
      <c r="AT72" s="1051"/>
      <c r="AU72" s="1051"/>
      <c r="AV72" s="1051"/>
      <c r="AW72" s="1051"/>
      <c r="AX72" s="1051"/>
      <c r="AY72" s="1051"/>
      <c r="AZ72" s="1051"/>
      <c r="BA72" s="1051"/>
      <c r="BB72" s="1051"/>
      <c r="BC72" s="1051"/>
      <c r="BD72" s="1051"/>
      <c r="BE72" s="1051"/>
      <c r="BF72" s="1051"/>
      <c r="BG72" s="1051"/>
      <c r="BH72" s="1051"/>
      <c r="BI72" s="1051"/>
      <c r="BJ72" s="1051"/>
      <c r="BK72" s="1051"/>
      <c r="BL72" s="1051"/>
      <c r="BM72" s="1051"/>
      <c r="BN72" s="1051"/>
      <c r="BO72" s="1051"/>
      <c r="BP72" s="1051"/>
      <c r="BQ72" s="1051"/>
      <c r="BR72" s="1051"/>
      <c r="BS72" s="1051"/>
      <c r="BT72" s="1051"/>
      <c r="BU72" s="1051"/>
      <c r="BV72" s="1051"/>
      <c r="BW72" s="1051"/>
      <c r="BX72" s="1051"/>
      <c r="BY72" s="1051"/>
      <c r="BZ72" s="1051"/>
      <c r="CA72" s="1051"/>
      <c r="CB72" s="1051"/>
      <c r="CC72" s="1051"/>
      <c r="CD72" s="1051"/>
      <c r="CE72" s="1051"/>
      <c r="CF72" s="1051"/>
      <c r="CG72" s="1051"/>
      <c r="CH72" s="1051"/>
      <c r="CI72" s="1051"/>
      <c r="CJ72" s="1051"/>
      <c r="CK72" s="1051"/>
      <c r="CL72" s="1051"/>
      <c r="CM72" s="1051"/>
      <c r="CN72" s="1051"/>
      <c r="CO72" s="1051"/>
      <c r="CP72" s="1051"/>
      <c r="CQ72" s="1051"/>
      <c r="CR72" s="1051"/>
      <c r="CS72" s="1051"/>
      <c r="CT72" s="1051"/>
      <c r="CU72" s="1051"/>
      <c r="CV72" s="1051"/>
      <c r="CW72" s="1051"/>
      <c r="CX72" s="1051"/>
      <c r="CY72" s="1051"/>
      <c r="CZ72" s="1051"/>
      <c r="DA72" s="1051"/>
      <c r="DB72" s="1051"/>
      <c r="DC72" s="1051"/>
      <c r="DD72" s="1051"/>
      <c r="DE72" s="1051"/>
      <c r="DF72" s="1051"/>
      <c r="DG72" s="1051"/>
      <c r="DH72" s="1051"/>
      <c r="DI72" s="1051"/>
      <c r="DJ72" s="1051"/>
      <c r="DK72" s="1051"/>
      <c r="DL72" s="1051"/>
      <c r="DM72" s="1051"/>
      <c r="DN72" s="1051"/>
      <c r="DO72" s="1051"/>
      <c r="DP72" s="1051"/>
      <c r="DQ72" s="1051"/>
      <c r="DR72" s="1051"/>
      <c r="DS72" s="1051"/>
      <c r="DT72" s="1051"/>
      <c r="DU72" s="1051"/>
      <c r="DV72" s="1051"/>
      <c r="DW72" s="1051"/>
      <c r="DX72" s="1051"/>
      <c r="DY72" s="1051"/>
      <c r="DZ72" s="1051"/>
      <c r="EA72" s="1051"/>
      <c r="EB72" s="1051"/>
      <c r="EC72" s="1051"/>
      <c r="ED72" s="1051"/>
      <c r="EE72" s="1051"/>
      <c r="EF72" s="1051"/>
      <c r="EG72" s="1051"/>
      <c r="EH72" s="1051"/>
      <c r="EI72" s="1051"/>
      <c r="EJ72" s="1051"/>
      <c r="EK72" s="1051"/>
      <c r="EL72" s="1051"/>
      <c r="EM72" s="1051"/>
      <c r="EN72" s="1051"/>
      <c r="EO72" s="1051"/>
      <c r="EP72" s="1051"/>
      <c r="EQ72" s="1051"/>
      <c r="ER72" s="1051"/>
      <c r="ES72" s="1051"/>
      <c r="ET72" s="1051"/>
      <c r="EU72" s="1051"/>
      <c r="EV72" s="1051"/>
      <c r="EW72" s="1051"/>
      <c r="EX72" s="1051"/>
      <c r="EY72" s="1051"/>
      <c r="EZ72" s="1051"/>
      <c r="FA72" s="1051"/>
      <c r="FB72" s="1051"/>
      <c r="FC72" s="1051"/>
      <c r="FD72" s="1051"/>
      <c r="FE72" s="1051"/>
      <c r="FF72" s="1051"/>
      <c r="FG72" s="1051"/>
      <c r="FH72" s="1051"/>
      <c r="FI72" s="1051"/>
      <c r="FJ72" s="1051"/>
      <c r="FK72" s="1051"/>
      <c r="FL72" s="1051"/>
      <c r="FM72" s="1051"/>
      <c r="FN72" s="1051"/>
      <c r="FO72" s="1051"/>
      <c r="FP72" s="1051"/>
      <c r="FQ72" s="1051"/>
      <c r="FR72" s="1051"/>
      <c r="FS72" s="1051"/>
      <c r="FT72" s="1051"/>
      <c r="FU72" s="1051"/>
      <c r="FV72" s="1051"/>
      <c r="FW72" s="1051"/>
      <c r="FX72" s="1051"/>
      <c r="FY72" s="1051"/>
      <c r="FZ72" s="1051"/>
      <c r="GA72" s="1051"/>
      <c r="GB72" s="1051"/>
      <c r="GC72" s="1051"/>
      <c r="GD72" s="1051"/>
      <c r="GE72" s="1051"/>
      <c r="GF72" s="1051"/>
      <c r="GG72" s="1051"/>
      <c r="GH72" s="1051"/>
      <c r="GI72" s="1051"/>
      <c r="GJ72" s="1051"/>
      <c r="GK72" s="1051"/>
      <c r="GL72" s="1051"/>
      <c r="GM72" s="1051"/>
      <c r="GN72" s="1051"/>
      <c r="GO72" s="1051"/>
      <c r="GP72" s="1051"/>
      <c r="GQ72" s="1051"/>
      <c r="GR72" s="1051"/>
      <c r="GS72" s="1051"/>
      <c r="GT72" s="1051"/>
      <c r="GU72" s="1051"/>
      <c r="GV72" s="1051"/>
      <c r="GW72" s="1051"/>
      <c r="GX72" s="1051"/>
      <c r="GY72" s="1051"/>
      <c r="GZ72" s="1051"/>
      <c r="HA72" s="1051"/>
      <c r="HB72" s="1051"/>
      <c r="HC72" s="1051"/>
      <c r="HD72" s="1051"/>
      <c r="HE72" s="1051"/>
      <c r="HF72" s="1051"/>
      <c r="HG72" s="1051"/>
      <c r="HH72" s="1051"/>
      <c r="HI72" s="1051"/>
      <c r="HJ72" s="1051"/>
      <c r="HK72" s="1051"/>
      <c r="HL72" s="1051"/>
      <c r="HM72" s="1051"/>
      <c r="HN72" s="1051"/>
      <c r="HO72" s="1051"/>
      <c r="HP72" s="1051"/>
      <c r="HQ72" s="1051"/>
      <c r="HR72" s="1051"/>
      <c r="HS72" s="1051"/>
      <c r="HT72" s="1051"/>
      <c r="HU72" s="1051"/>
      <c r="HV72" s="1051"/>
      <c r="HW72" s="1051"/>
      <c r="HX72" s="1051"/>
      <c r="HY72" s="1051"/>
      <c r="HZ72" s="1051"/>
      <c r="IA72" s="1051"/>
      <c r="IB72" s="1051"/>
      <c r="IC72" s="1051"/>
      <c r="ID72" s="1051"/>
      <c r="IE72" s="1051"/>
      <c r="IF72" s="1051"/>
      <c r="IG72" s="1051"/>
      <c r="IH72" s="1051"/>
      <c r="II72" s="1051"/>
      <c r="IJ72" s="1051"/>
      <c r="IK72" s="1051"/>
      <c r="IL72" s="1051"/>
      <c r="IM72" s="1051"/>
      <c r="IN72" s="1051"/>
      <c r="IO72" s="1051"/>
      <c r="IP72" s="1051"/>
      <c r="IQ72" s="1051"/>
      <c r="IR72" s="1051"/>
      <c r="IS72" s="1051"/>
      <c r="IT72" s="1051"/>
      <c r="IU72" s="1051"/>
      <c r="IV72" s="1051"/>
    </row>
    <row r="73" spans="1:256" x14ac:dyDescent="0.2">
      <c r="A73" s="1056" t="s">
        <v>736</v>
      </c>
      <c r="B73" s="1064" t="s">
        <v>737</v>
      </c>
      <c r="C73" s="1043">
        <v>0</v>
      </c>
      <c r="D73" s="1043">
        <v>4792227</v>
      </c>
      <c r="E73" s="1043">
        <v>4792227</v>
      </c>
      <c r="F73" s="1045">
        <f>E73/D73</f>
        <v>1</v>
      </c>
      <c r="G73" s="1051"/>
      <c r="H73" s="1051"/>
      <c r="I73" s="1051"/>
      <c r="J73" s="1051"/>
      <c r="K73" s="1051"/>
      <c r="L73" s="1051"/>
      <c r="M73" s="1051"/>
      <c r="N73" s="1051"/>
      <c r="O73" s="1051"/>
      <c r="P73" s="1051"/>
      <c r="Q73" s="1051"/>
      <c r="R73" s="1051"/>
      <c r="S73" s="1051"/>
      <c r="T73" s="1051"/>
      <c r="U73" s="1051"/>
      <c r="V73" s="1051"/>
      <c r="W73" s="1051"/>
      <c r="X73" s="1051"/>
      <c r="Y73" s="1051"/>
      <c r="Z73" s="1051"/>
      <c r="AA73" s="1051"/>
      <c r="AB73" s="1051"/>
      <c r="AC73" s="1051"/>
      <c r="AD73" s="1051"/>
      <c r="AE73" s="1051"/>
      <c r="AF73" s="1051"/>
      <c r="AG73" s="1051"/>
      <c r="AH73" s="1051"/>
      <c r="AI73" s="1051"/>
      <c r="AJ73" s="1051"/>
      <c r="AK73" s="1051"/>
      <c r="AL73" s="1051"/>
      <c r="AM73" s="1051"/>
      <c r="AN73" s="1051"/>
      <c r="AO73" s="1051"/>
      <c r="AP73" s="1051"/>
      <c r="AQ73" s="1051"/>
      <c r="AR73" s="1051"/>
      <c r="AS73" s="1051"/>
      <c r="AT73" s="1051"/>
      <c r="AU73" s="1051"/>
      <c r="AV73" s="1051"/>
      <c r="AW73" s="1051"/>
      <c r="AX73" s="1051"/>
      <c r="AY73" s="1051"/>
      <c r="AZ73" s="1051"/>
      <c r="BA73" s="1051"/>
      <c r="BB73" s="1051"/>
      <c r="BC73" s="1051"/>
      <c r="BD73" s="1051"/>
      <c r="BE73" s="1051"/>
      <c r="BF73" s="1051"/>
      <c r="BG73" s="1051"/>
      <c r="BH73" s="1051"/>
      <c r="BI73" s="1051"/>
      <c r="BJ73" s="1051"/>
      <c r="BK73" s="1051"/>
      <c r="BL73" s="1051"/>
      <c r="BM73" s="1051"/>
      <c r="BN73" s="1051"/>
      <c r="BO73" s="1051"/>
      <c r="BP73" s="1051"/>
      <c r="BQ73" s="1051"/>
      <c r="BR73" s="1051"/>
      <c r="BS73" s="1051"/>
      <c r="BT73" s="1051"/>
      <c r="BU73" s="1051"/>
      <c r="BV73" s="1051"/>
      <c r="BW73" s="1051"/>
      <c r="BX73" s="1051"/>
      <c r="BY73" s="1051"/>
      <c r="BZ73" s="1051"/>
      <c r="CA73" s="1051"/>
      <c r="CB73" s="1051"/>
      <c r="CC73" s="1051"/>
      <c r="CD73" s="1051"/>
      <c r="CE73" s="1051"/>
      <c r="CF73" s="1051"/>
      <c r="CG73" s="1051"/>
      <c r="CH73" s="1051"/>
      <c r="CI73" s="1051"/>
      <c r="CJ73" s="1051"/>
      <c r="CK73" s="1051"/>
      <c r="CL73" s="1051"/>
      <c r="CM73" s="1051"/>
      <c r="CN73" s="1051"/>
      <c r="CO73" s="1051"/>
      <c r="CP73" s="1051"/>
      <c r="CQ73" s="1051"/>
      <c r="CR73" s="1051"/>
      <c r="CS73" s="1051"/>
      <c r="CT73" s="1051"/>
      <c r="CU73" s="1051"/>
      <c r="CV73" s="1051"/>
      <c r="CW73" s="1051"/>
      <c r="CX73" s="1051"/>
      <c r="CY73" s="1051"/>
      <c r="CZ73" s="1051"/>
      <c r="DA73" s="1051"/>
      <c r="DB73" s="1051"/>
      <c r="DC73" s="1051"/>
      <c r="DD73" s="1051"/>
      <c r="DE73" s="1051"/>
      <c r="DF73" s="1051"/>
      <c r="DG73" s="1051"/>
      <c r="DH73" s="1051"/>
      <c r="DI73" s="1051"/>
      <c r="DJ73" s="1051"/>
      <c r="DK73" s="1051"/>
      <c r="DL73" s="1051"/>
      <c r="DM73" s="1051"/>
      <c r="DN73" s="1051"/>
      <c r="DO73" s="1051"/>
      <c r="DP73" s="1051"/>
      <c r="DQ73" s="1051"/>
      <c r="DR73" s="1051"/>
      <c r="DS73" s="1051"/>
      <c r="DT73" s="1051"/>
      <c r="DU73" s="1051"/>
      <c r="DV73" s="1051"/>
      <c r="DW73" s="1051"/>
      <c r="DX73" s="1051"/>
      <c r="DY73" s="1051"/>
      <c r="DZ73" s="1051"/>
      <c r="EA73" s="1051"/>
      <c r="EB73" s="1051"/>
      <c r="EC73" s="1051"/>
      <c r="ED73" s="1051"/>
      <c r="EE73" s="1051"/>
      <c r="EF73" s="1051"/>
      <c r="EG73" s="1051"/>
      <c r="EH73" s="1051"/>
      <c r="EI73" s="1051"/>
      <c r="EJ73" s="1051"/>
      <c r="EK73" s="1051"/>
      <c r="EL73" s="1051"/>
      <c r="EM73" s="1051"/>
      <c r="EN73" s="1051"/>
      <c r="EO73" s="1051"/>
      <c r="EP73" s="1051"/>
      <c r="EQ73" s="1051"/>
      <c r="ER73" s="1051"/>
      <c r="ES73" s="1051"/>
      <c r="ET73" s="1051"/>
      <c r="EU73" s="1051"/>
      <c r="EV73" s="1051"/>
      <c r="EW73" s="1051"/>
      <c r="EX73" s="1051"/>
      <c r="EY73" s="1051"/>
      <c r="EZ73" s="1051"/>
      <c r="FA73" s="1051"/>
      <c r="FB73" s="1051"/>
      <c r="FC73" s="1051"/>
      <c r="FD73" s="1051"/>
      <c r="FE73" s="1051"/>
      <c r="FF73" s="1051"/>
      <c r="FG73" s="1051"/>
      <c r="FH73" s="1051"/>
      <c r="FI73" s="1051"/>
      <c r="FJ73" s="1051"/>
      <c r="FK73" s="1051"/>
      <c r="FL73" s="1051"/>
      <c r="FM73" s="1051"/>
      <c r="FN73" s="1051"/>
      <c r="FO73" s="1051"/>
      <c r="FP73" s="1051"/>
      <c r="FQ73" s="1051"/>
      <c r="FR73" s="1051"/>
      <c r="FS73" s="1051"/>
      <c r="FT73" s="1051"/>
      <c r="FU73" s="1051"/>
      <c r="FV73" s="1051"/>
      <c r="FW73" s="1051"/>
      <c r="FX73" s="1051"/>
      <c r="FY73" s="1051"/>
      <c r="FZ73" s="1051"/>
      <c r="GA73" s="1051"/>
      <c r="GB73" s="1051"/>
      <c r="GC73" s="1051"/>
      <c r="GD73" s="1051"/>
      <c r="GE73" s="1051"/>
      <c r="GF73" s="1051"/>
      <c r="GG73" s="1051"/>
      <c r="GH73" s="1051"/>
      <c r="GI73" s="1051"/>
      <c r="GJ73" s="1051"/>
      <c r="GK73" s="1051"/>
      <c r="GL73" s="1051"/>
      <c r="GM73" s="1051"/>
      <c r="GN73" s="1051"/>
      <c r="GO73" s="1051"/>
      <c r="GP73" s="1051"/>
      <c r="GQ73" s="1051"/>
      <c r="GR73" s="1051"/>
      <c r="GS73" s="1051"/>
      <c r="GT73" s="1051"/>
      <c r="GU73" s="1051"/>
      <c r="GV73" s="1051"/>
      <c r="GW73" s="1051"/>
      <c r="GX73" s="1051"/>
      <c r="GY73" s="1051"/>
      <c r="GZ73" s="1051"/>
      <c r="HA73" s="1051"/>
      <c r="HB73" s="1051"/>
      <c r="HC73" s="1051"/>
      <c r="HD73" s="1051"/>
      <c r="HE73" s="1051"/>
      <c r="HF73" s="1051"/>
      <c r="HG73" s="1051"/>
      <c r="HH73" s="1051"/>
      <c r="HI73" s="1051"/>
      <c r="HJ73" s="1051"/>
      <c r="HK73" s="1051"/>
      <c r="HL73" s="1051"/>
      <c r="HM73" s="1051"/>
      <c r="HN73" s="1051"/>
      <c r="HO73" s="1051"/>
      <c r="HP73" s="1051"/>
      <c r="HQ73" s="1051"/>
      <c r="HR73" s="1051"/>
      <c r="HS73" s="1051"/>
      <c r="HT73" s="1051"/>
      <c r="HU73" s="1051"/>
      <c r="HV73" s="1051"/>
      <c r="HW73" s="1051"/>
      <c r="HX73" s="1051"/>
      <c r="HY73" s="1051"/>
      <c r="HZ73" s="1051"/>
      <c r="IA73" s="1051"/>
      <c r="IB73" s="1051"/>
      <c r="IC73" s="1051"/>
      <c r="ID73" s="1051"/>
      <c r="IE73" s="1051"/>
      <c r="IF73" s="1051"/>
      <c r="IG73" s="1051"/>
      <c r="IH73" s="1051"/>
      <c r="II73" s="1051"/>
      <c r="IJ73" s="1051"/>
      <c r="IK73" s="1051"/>
      <c r="IL73" s="1051"/>
      <c r="IM73" s="1051"/>
      <c r="IN73" s="1051"/>
      <c r="IO73" s="1051"/>
      <c r="IP73" s="1051"/>
      <c r="IQ73" s="1051"/>
      <c r="IR73" s="1051"/>
      <c r="IS73" s="1051"/>
      <c r="IT73" s="1051"/>
      <c r="IU73" s="1051"/>
      <c r="IV73" s="1051"/>
    </row>
    <row r="74" spans="1:256" x14ac:dyDescent="0.2">
      <c r="A74" s="1555" t="s">
        <v>68</v>
      </c>
      <c r="B74" s="1556"/>
      <c r="C74" s="1043">
        <f>SUM(C73)</f>
        <v>0</v>
      </c>
      <c r="D74" s="1043">
        <f>SUM(D73)</f>
        <v>4792227</v>
      </c>
      <c r="E74" s="1043">
        <f>SUM(E73)</f>
        <v>4792227</v>
      </c>
      <c r="F74" s="1045">
        <f>E74/D74</f>
        <v>1</v>
      </c>
      <c r="G74" s="1051"/>
      <c r="H74" s="1051"/>
      <c r="I74" s="1051"/>
      <c r="J74" s="1051"/>
      <c r="K74" s="1051"/>
      <c r="L74" s="1051"/>
      <c r="M74" s="1051"/>
      <c r="N74" s="1051"/>
      <c r="O74" s="1051"/>
      <c r="P74" s="1051"/>
      <c r="Q74" s="1051"/>
      <c r="R74" s="1051"/>
      <c r="S74" s="1051"/>
      <c r="T74" s="1051"/>
      <c r="U74" s="1051"/>
      <c r="V74" s="1051"/>
      <c r="W74" s="1051"/>
      <c r="X74" s="1051"/>
      <c r="Y74" s="1051"/>
      <c r="Z74" s="1051"/>
      <c r="AA74" s="1051"/>
      <c r="AB74" s="1051"/>
      <c r="AC74" s="1051"/>
      <c r="AD74" s="1051"/>
      <c r="AE74" s="1051"/>
      <c r="AF74" s="1051"/>
      <c r="AG74" s="1051"/>
      <c r="AH74" s="1051"/>
      <c r="AI74" s="1051"/>
      <c r="AJ74" s="1051"/>
      <c r="AK74" s="1051"/>
      <c r="AL74" s="1051"/>
      <c r="AM74" s="1051"/>
      <c r="AN74" s="1051"/>
      <c r="AO74" s="1051"/>
      <c r="AP74" s="1051"/>
      <c r="AQ74" s="1051"/>
      <c r="AR74" s="1051"/>
      <c r="AS74" s="1051"/>
      <c r="AT74" s="1051"/>
      <c r="AU74" s="1051"/>
      <c r="AV74" s="1051"/>
      <c r="AW74" s="1051"/>
      <c r="AX74" s="1051"/>
      <c r="AY74" s="1051"/>
      <c r="AZ74" s="1051"/>
      <c r="BA74" s="1051"/>
      <c r="BB74" s="1051"/>
      <c r="BC74" s="1051"/>
      <c r="BD74" s="1051"/>
      <c r="BE74" s="1051"/>
      <c r="BF74" s="1051"/>
      <c r="BG74" s="1051"/>
      <c r="BH74" s="1051"/>
      <c r="BI74" s="1051"/>
      <c r="BJ74" s="1051"/>
      <c r="BK74" s="1051"/>
      <c r="BL74" s="1051"/>
      <c r="BM74" s="1051"/>
      <c r="BN74" s="1051"/>
      <c r="BO74" s="1051"/>
      <c r="BP74" s="1051"/>
      <c r="BQ74" s="1051"/>
      <c r="BR74" s="1051"/>
      <c r="BS74" s="1051"/>
      <c r="BT74" s="1051"/>
      <c r="BU74" s="1051"/>
      <c r="BV74" s="1051"/>
      <c r="BW74" s="1051"/>
      <c r="BX74" s="1051"/>
      <c r="BY74" s="1051"/>
      <c r="BZ74" s="1051"/>
      <c r="CA74" s="1051"/>
      <c r="CB74" s="1051"/>
      <c r="CC74" s="1051"/>
      <c r="CD74" s="1051"/>
      <c r="CE74" s="1051"/>
      <c r="CF74" s="1051"/>
      <c r="CG74" s="1051"/>
      <c r="CH74" s="1051"/>
      <c r="CI74" s="1051"/>
      <c r="CJ74" s="1051"/>
      <c r="CK74" s="1051"/>
      <c r="CL74" s="1051"/>
      <c r="CM74" s="1051"/>
      <c r="CN74" s="1051"/>
      <c r="CO74" s="1051"/>
      <c r="CP74" s="1051"/>
      <c r="CQ74" s="1051"/>
      <c r="CR74" s="1051"/>
      <c r="CS74" s="1051"/>
      <c r="CT74" s="1051"/>
      <c r="CU74" s="1051"/>
      <c r="CV74" s="1051"/>
      <c r="CW74" s="1051"/>
      <c r="CX74" s="1051"/>
      <c r="CY74" s="1051"/>
      <c r="CZ74" s="1051"/>
      <c r="DA74" s="1051"/>
      <c r="DB74" s="1051"/>
      <c r="DC74" s="1051"/>
      <c r="DD74" s="1051"/>
      <c r="DE74" s="1051"/>
      <c r="DF74" s="1051"/>
      <c r="DG74" s="1051"/>
      <c r="DH74" s="1051"/>
      <c r="DI74" s="1051"/>
      <c r="DJ74" s="1051"/>
      <c r="DK74" s="1051"/>
      <c r="DL74" s="1051"/>
      <c r="DM74" s="1051"/>
      <c r="DN74" s="1051"/>
      <c r="DO74" s="1051"/>
      <c r="DP74" s="1051"/>
      <c r="DQ74" s="1051"/>
      <c r="DR74" s="1051"/>
      <c r="DS74" s="1051"/>
      <c r="DT74" s="1051"/>
      <c r="DU74" s="1051"/>
      <c r="DV74" s="1051"/>
      <c r="DW74" s="1051"/>
      <c r="DX74" s="1051"/>
      <c r="DY74" s="1051"/>
      <c r="DZ74" s="1051"/>
      <c r="EA74" s="1051"/>
      <c r="EB74" s="1051"/>
      <c r="EC74" s="1051"/>
      <c r="ED74" s="1051"/>
      <c r="EE74" s="1051"/>
      <c r="EF74" s="1051"/>
      <c r="EG74" s="1051"/>
      <c r="EH74" s="1051"/>
      <c r="EI74" s="1051"/>
      <c r="EJ74" s="1051"/>
      <c r="EK74" s="1051"/>
      <c r="EL74" s="1051"/>
      <c r="EM74" s="1051"/>
      <c r="EN74" s="1051"/>
      <c r="EO74" s="1051"/>
      <c r="EP74" s="1051"/>
      <c r="EQ74" s="1051"/>
      <c r="ER74" s="1051"/>
      <c r="ES74" s="1051"/>
      <c r="ET74" s="1051"/>
      <c r="EU74" s="1051"/>
      <c r="EV74" s="1051"/>
      <c r="EW74" s="1051"/>
      <c r="EX74" s="1051"/>
      <c r="EY74" s="1051"/>
      <c r="EZ74" s="1051"/>
      <c r="FA74" s="1051"/>
      <c r="FB74" s="1051"/>
      <c r="FC74" s="1051"/>
      <c r="FD74" s="1051"/>
      <c r="FE74" s="1051"/>
      <c r="FF74" s="1051"/>
      <c r="FG74" s="1051"/>
      <c r="FH74" s="1051"/>
      <c r="FI74" s="1051"/>
      <c r="FJ74" s="1051"/>
      <c r="FK74" s="1051"/>
      <c r="FL74" s="1051"/>
      <c r="FM74" s="1051"/>
      <c r="FN74" s="1051"/>
      <c r="FO74" s="1051"/>
      <c r="FP74" s="1051"/>
      <c r="FQ74" s="1051"/>
      <c r="FR74" s="1051"/>
      <c r="FS74" s="1051"/>
      <c r="FT74" s="1051"/>
      <c r="FU74" s="1051"/>
      <c r="FV74" s="1051"/>
      <c r="FW74" s="1051"/>
      <c r="FX74" s="1051"/>
      <c r="FY74" s="1051"/>
      <c r="FZ74" s="1051"/>
      <c r="GA74" s="1051"/>
      <c r="GB74" s="1051"/>
      <c r="GC74" s="1051"/>
      <c r="GD74" s="1051"/>
      <c r="GE74" s="1051"/>
      <c r="GF74" s="1051"/>
      <c r="GG74" s="1051"/>
      <c r="GH74" s="1051"/>
      <c r="GI74" s="1051"/>
      <c r="GJ74" s="1051"/>
      <c r="GK74" s="1051"/>
      <c r="GL74" s="1051"/>
      <c r="GM74" s="1051"/>
      <c r="GN74" s="1051"/>
      <c r="GO74" s="1051"/>
      <c r="GP74" s="1051"/>
      <c r="GQ74" s="1051"/>
      <c r="GR74" s="1051"/>
      <c r="GS74" s="1051"/>
      <c r="GT74" s="1051"/>
      <c r="GU74" s="1051"/>
      <c r="GV74" s="1051"/>
      <c r="GW74" s="1051"/>
      <c r="GX74" s="1051"/>
      <c r="GY74" s="1051"/>
      <c r="GZ74" s="1051"/>
      <c r="HA74" s="1051"/>
      <c r="HB74" s="1051"/>
      <c r="HC74" s="1051"/>
      <c r="HD74" s="1051"/>
      <c r="HE74" s="1051"/>
      <c r="HF74" s="1051"/>
      <c r="HG74" s="1051"/>
      <c r="HH74" s="1051"/>
      <c r="HI74" s="1051"/>
      <c r="HJ74" s="1051"/>
      <c r="HK74" s="1051"/>
      <c r="HL74" s="1051"/>
      <c r="HM74" s="1051"/>
      <c r="HN74" s="1051"/>
      <c r="HO74" s="1051"/>
      <c r="HP74" s="1051"/>
      <c r="HQ74" s="1051"/>
      <c r="HR74" s="1051"/>
      <c r="HS74" s="1051"/>
      <c r="HT74" s="1051"/>
      <c r="HU74" s="1051"/>
      <c r="HV74" s="1051"/>
      <c r="HW74" s="1051"/>
      <c r="HX74" s="1051"/>
      <c r="HY74" s="1051"/>
      <c r="HZ74" s="1051"/>
      <c r="IA74" s="1051"/>
      <c r="IB74" s="1051"/>
      <c r="IC74" s="1051"/>
      <c r="ID74" s="1051"/>
      <c r="IE74" s="1051"/>
      <c r="IF74" s="1051"/>
      <c r="IG74" s="1051"/>
      <c r="IH74" s="1051"/>
      <c r="II74" s="1051"/>
      <c r="IJ74" s="1051"/>
      <c r="IK74" s="1051"/>
      <c r="IL74" s="1051"/>
      <c r="IM74" s="1051"/>
      <c r="IN74" s="1051"/>
      <c r="IO74" s="1051"/>
      <c r="IP74" s="1051"/>
      <c r="IQ74" s="1051"/>
      <c r="IR74" s="1051"/>
      <c r="IS74" s="1051"/>
      <c r="IT74" s="1051"/>
      <c r="IU74" s="1051"/>
      <c r="IV74" s="1051"/>
    </row>
    <row r="75" spans="1:256" x14ac:dyDescent="0.2">
      <c r="A75" s="1549" t="s">
        <v>74</v>
      </c>
      <c r="B75" s="1569"/>
      <c r="C75" s="1046">
        <f>C70+C72+C74</f>
        <v>115707126</v>
      </c>
      <c r="D75" s="1046">
        <f>D70+D72+D74</f>
        <v>129047159</v>
      </c>
      <c r="E75" s="1046">
        <f>E70+E72+E74</f>
        <v>129027258</v>
      </c>
      <c r="F75" s="1047">
        <f t="shared" si="3"/>
        <v>0.99984578505908839</v>
      </c>
    </row>
    <row r="76" spans="1:256" x14ac:dyDescent="0.2">
      <c r="A76" s="1071" t="s">
        <v>738</v>
      </c>
      <c r="B76" s="1072" t="s">
        <v>739</v>
      </c>
      <c r="C76" s="1073">
        <v>0</v>
      </c>
      <c r="D76" s="1074">
        <v>477042</v>
      </c>
      <c r="E76" s="1074">
        <v>477042</v>
      </c>
      <c r="F76" s="1045">
        <f t="shared" si="3"/>
        <v>1</v>
      </c>
    </row>
    <row r="77" spans="1:256" x14ac:dyDescent="0.2">
      <c r="A77" s="1071" t="s">
        <v>673</v>
      </c>
      <c r="B77" s="1072" t="s">
        <v>268</v>
      </c>
      <c r="C77" s="1073">
        <v>0</v>
      </c>
      <c r="D77" s="1074">
        <v>20000</v>
      </c>
      <c r="E77" s="1074">
        <v>5988</v>
      </c>
      <c r="F77" s="1045">
        <f t="shared" si="3"/>
        <v>0.2994</v>
      </c>
    </row>
    <row r="78" spans="1:256" x14ac:dyDescent="0.2">
      <c r="A78" s="1071" t="s">
        <v>740</v>
      </c>
      <c r="B78" s="1072" t="s">
        <v>741</v>
      </c>
      <c r="C78" s="1073">
        <v>0</v>
      </c>
      <c r="D78" s="1074">
        <v>1583100</v>
      </c>
      <c r="E78" s="1074">
        <v>1583100</v>
      </c>
      <c r="F78" s="1045">
        <f t="shared" si="3"/>
        <v>1</v>
      </c>
    </row>
    <row r="79" spans="1:256" x14ac:dyDescent="0.2">
      <c r="A79" s="1075" t="s">
        <v>742</v>
      </c>
      <c r="B79" s="1076" t="s">
        <v>743</v>
      </c>
      <c r="C79" s="1077">
        <v>9627794</v>
      </c>
      <c r="D79" s="1077">
        <v>15769052</v>
      </c>
      <c r="E79" s="1052">
        <v>0</v>
      </c>
      <c r="F79" s="1045">
        <f t="shared" si="3"/>
        <v>0</v>
      </c>
    </row>
    <row r="80" spans="1:256" x14ac:dyDescent="0.2">
      <c r="A80" s="1071" t="s">
        <v>742</v>
      </c>
      <c r="B80" s="1072" t="s">
        <v>744</v>
      </c>
      <c r="C80" s="1073">
        <v>5964021</v>
      </c>
      <c r="D80" s="1077">
        <f>23022613-D79</f>
        <v>7253561</v>
      </c>
      <c r="E80" s="1052">
        <v>0</v>
      </c>
      <c r="F80" s="1045">
        <f t="shared" si="3"/>
        <v>0</v>
      </c>
    </row>
    <row r="81" spans="1:256" x14ac:dyDescent="0.2">
      <c r="A81" s="1548" t="s">
        <v>24</v>
      </c>
      <c r="B81" s="1559"/>
      <c r="C81" s="1078">
        <f>SUM(C76:C80)</f>
        <v>15591815</v>
      </c>
      <c r="D81" s="1078">
        <f>SUM(D76:D80)</f>
        <v>25102755</v>
      </c>
      <c r="E81" s="1078">
        <f>SUM(E76:E80)</f>
        <v>2066130</v>
      </c>
      <c r="F81" s="1045">
        <f t="shared" si="3"/>
        <v>8.2306902170697999E-2</v>
      </c>
      <c r="G81" s="1051"/>
      <c r="H81" s="1051"/>
      <c r="I81" s="1051"/>
      <c r="J81" s="1051"/>
      <c r="K81" s="1051"/>
      <c r="L81" s="1051"/>
      <c r="M81" s="1051"/>
      <c r="N81" s="1051"/>
      <c r="O81" s="1051"/>
      <c r="P81" s="1051"/>
      <c r="Q81" s="1051"/>
      <c r="R81" s="1051"/>
      <c r="S81" s="1051"/>
      <c r="T81" s="1051"/>
      <c r="U81" s="1051"/>
      <c r="V81" s="1051"/>
      <c r="W81" s="1051"/>
      <c r="X81" s="1051"/>
      <c r="Y81" s="1051"/>
      <c r="Z81" s="1051"/>
      <c r="AA81" s="1051"/>
      <c r="AB81" s="1051"/>
      <c r="AC81" s="1051"/>
      <c r="AD81" s="1051"/>
      <c r="AE81" s="1051"/>
      <c r="AF81" s="1051"/>
      <c r="AG81" s="1051"/>
      <c r="AH81" s="1051"/>
      <c r="AI81" s="1051"/>
      <c r="AJ81" s="1051"/>
      <c r="AK81" s="1051"/>
      <c r="AL81" s="1051"/>
      <c r="AM81" s="1051"/>
      <c r="AN81" s="1051"/>
      <c r="AO81" s="1051"/>
      <c r="AP81" s="1051"/>
      <c r="AQ81" s="1051"/>
      <c r="AR81" s="1051"/>
      <c r="AS81" s="1051"/>
      <c r="AT81" s="1051"/>
      <c r="AU81" s="1051"/>
      <c r="AV81" s="1051"/>
      <c r="AW81" s="1051"/>
      <c r="AX81" s="1051"/>
      <c r="AY81" s="1051"/>
      <c r="AZ81" s="1051"/>
      <c r="BA81" s="1051"/>
      <c r="BB81" s="1051"/>
      <c r="BC81" s="1051"/>
      <c r="BD81" s="1051"/>
      <c r="BE81" s="1051"/>
      <c r="BF81" s="1051"/>
      <c r="BG81" s="1051"/>
      <c r="BH81" s="1051"/>
      <c r="BI81" s="1051"/>
      <c r="BJ81" s="1051"/>
      <c r="BK81" s="1051"/>
      <c r="BL81" s="1051"/>
      <c r="BM81" s="1051"/>
      <c r="BN81" s="1051"/>
      <c r="BO81" s="1051"/>
      <c r="BP81" s="1051"/>
      <c r="BQ81" s="1051"/>
      <c r="BR81" s="1051"/>
      <c r="BS81" s="1051"/>
      <c r="BT81" s="1051"/>
      <c r="BU81" s="1051"/>
      <c r="BV81" s="1051"/>
      <c r="BW81" s="1051"/>
      <c r="BX81" s="1051"/>
      <c r="BY81" s="1051"/>
      <c r="BZ81" s="1051"/>
      <c r="CA81" s="1051"/>
      <c r="CB81" s="1051"/>
      <c r="CC81" s="1051"/>
      <c r="CD81" s="1051"/>
      <c r="CE81" s="1051"/>
      <c r="CF81" s="1051"/>
      <c r="CG81" s="1051"/>
      <c r="CH81" s="1051"/>
      <c r="CI81" s="1051"/>
      <c r="CJ81" s="1051"/>
      <c r="CK81" s="1051"/>
      <c r="CL81" s="1051"/>
      <c r="CM81" s="1051"/>
      <c r="CN81" s="1051"/>
      <c r="CO81" s="1051"/>
      <c r="CP81" s="1051"/>
      <c r="CQ81" s="1051"/>
      <c r="CR81" s="1051"/>
      <c r="CS81" s="1051"/>
      <c r="CT81" s="1051"/>
      <c r="CU81" s="1051"/>
      <c r="CV81" s="1051"/>
      <c r="CW81" s="1051"/>
      <c r="CX81" s="1051"/>
      <c r="CY81" s="1051"/>
      <c r="CZ81" s="1051"/>
      <c r="DA81" s="1051"/>
      <c r="DB81" s="1051"/>
      <c r="DC81" s="1051"/>
      <c r="DD81" s="1051"/>
      <c r="DE81" s="1051"/>
      <c r="DF81" s="1051"/>
      <c r="DG81" s="1051"/>
      <c r="DH81" s="1051"/>
      <c r="DI81" s="1051"/>
      <c r="DJ81" s="1051"/>
      <c r="DK81" s="1051"/>
      <c r="DL81" s="1051"/>
      <c r="DM81" s="1051"/>
      <c r="DN81" s="1051"/>
      <c r="DO81" s="1051"/>
      <c r="DP81" s="1051"/>
      <c r="DQ81" s="1051"/>
      <c r="DR81" s="1051"/>
      <c r="DS81" s="1051"/>
      <c r="DT81" s="1051"/>
      <c r="DU81" s="1051"/>
      <c r="DV81" s="1051"/>
      <c r="DW81" s="1051"/>
      <c r="DX81" s="1051"/>
      <c r="DY81" s="1051"/>
      <c r="DZ81" s="1051"/>
      <c r="EA81" s="1051"/>
      <c r="EB81" s="1051"/>
      <c r="EC81" s="1051"/>
      <c r="ED81" s="1051"/>
      <c r="EE81" s="1051"/>
      <c r="EF81" s="1051"/>
      <c r="EG81" s="1051"/>
      <c r="EH81" s="1051"/>
      <c r="EI81" s="1051"/>
      <c r="EJ81" s="1051"/>
      <c r="EK81" s="1051"/>
      <c r="EL81" s="1051"/>
      <c r="EM81" s="1051"/>
      <c r="EN81" s="1051"/>
      <c r="EO81" s="1051"/>
      <c r="EP81" s="1051"/>
      <c r="EQ81" s="1051"/>
      <c r="ER81" s="1051"/>
      <c r="ES81" s="1051"/>
      <c r="ET81" s="1051"/>
      <c r="EU81" s="1051"/>
      <c r="EV81" s="1051"/>
      <c r="EW81" s="1051"/>
      <c r="EX81" s="1051"/>
      <c r="EY81" s="1051"/>
      <c r="EZ81" s="1051"/>
      <c r="FA81" s="1051"/>
      <c r="FB81" s="1051"/>
      <c r="FC81" s="1051"/>
      <c r="FD81" s="1051"/>
      <c r="FE81" s="1051"/>
      <c r="FF81" s="1051"/>
      <c r="FG81" s="1051"/>
      <c r="FH81" s="1051"/>
      <c r="FI81" s="1051"/>
      <c r="FJ81" s="1051"/>
      <c r="FK81" s="1051"/>
      <c r="FL81" s="1051"/>
      <c r="FM81" s="1051"/>
      <c r="FN81" s="1051"/>
      <c r="FO81" s="1051"/>
      <c r="FP81" s="1051"/>
      <c r="FQ81" s="1051"/>
      <c r="FR81" s="1051"/>
      <c r="FS81" s="1051"/>
      <c r="FT81" s="1051"/>
      <c r="FU81" s="1051"/>
      <c r="FV81" s="1051"/>
      <c r="FW81" s="1051"/>
      <c r="FX81" s="1051"/>
      <c r="FY81" s="1051"/>
      <c r="FZ81" s="1051"/>
      <c r="GA81" s="1051"/>
      <c r="GB81" s="1051"/>
      <c r="GC81" s="1051"/>
      <c r="GD81" s="1051"/>
      <c r="GE81" s="1051"/>
      <c r="GF81" s="1051"/>
      <c r="GG81" s="1051"/>
      <c r="GH81" s="1051"/>
      <c r="GI81" s="1051"/>
      <c r="GJ81" s="1051"/>
      <c r="GK81" s="1051"/>
      <c r="GL81" s="1051"/>
      <c r="GM81" s="1051"/>
      <c r="GN81" s="1051"/>
      <c r="GO81" s="1051"/>
      <c r="GP81" s="1051"/>
      <c r="GQ81" s="1051"/>
      <c r="GR81" s="1051"/>
      <c r="GS81" s="1051"/>
      <c r="GT81" s="1051"/>
      <c r="GU81" s="1051"/>
      <c r="GV81" s="1051"/>
      <c r="GW81" s="1051"/>
      <c r="GX81" s="1051"/>
      <c r="GY81" s="1051"/>
      <c r="GZ81" s="1051"/>
      <c r="HA81" s="1051"/>
      <c r="HB81" s="1051"/>
      <c r="HC81" s="1051"/>
      <c r="HD81" s="1051"/>
      <c r="HE81" s="1051"/>
      <c r="HF81" s="1051"/>
      <c r="HG81" s="1051"/>
      <c r="HH81" s="1051"/>
      <c r="HI81" s="1051"/>
      <c r="HJ81" s="1051"/>
      <c r="HK81" s="1051"/>
      <c r="HL81" s="1051"/>
      <c r="HM81" s="1051"/>
      <c r="HN81" s="1051"/>
      <c r="HO81" s="1051"/>
      <c r="HP81" s="1051"/>
      <c r="HQ81" s="1051"/>
      <c r="HR81" s="1051"/>
      <c r="HS81" s="1051"/>
      <c r="HT81" s="1051"/>
      <c r="HU81" s="1051"/>
      <c r="HV81" s="1051"/>
      <c r="HW81" s="1051"/>
      <c r="HX81" s="1051"/>
      <c r="HY81" s="1051"/>
      <c r="HZ81" s="1051"/>
      <c r="IA81" s="1051"/>
      <c r="IB81" s="1051"/>
      <c r="IC81" s="1051"/>
      <c r="ID81" s="1051"/>
      <c r="IE81" s="1051"/>
      <c r="IF81" s="1051"/>
      <c r="IG81" s="1051"/>
      <c r="IH81" s="1051"/>
      <c r="II81" s="1051"/>
      <c r="IJ81" s="1051"/>
      <c r="IK81" s="1051"/>
      <c r="IL81" s="1051"/>
      <c r="IM81" s="1051"/>
      <c r="IN81" s="1051"/>
      <c r="IO81" s="1051"/>
      <c r="IP81" s="1051"/>
      <c r="IQ81" s="1051"/>
      <c r="IR81" s="1051"/>
      <c r="IS81" s="1051"/>
      <c r="IT81" s="1051"/>
      <c r="IU81" s="1051"/>
      <c r="IV81" s="1051"/>
    </row>
    <row r="82" spans="1:256" x14ac:dyDescent="0.2">
      <c r="A82" s="1079" t="s">
        <v>745</v>
      </c>
      <c r="B82" s="1054" t="s">
        <v>737</v>
      </c>
      <c r="C82" s="1078">
        <v>4628285</v>
      </c>
      <c r="D82" s="1080">
        <v>4628285</v>
      </c>
      <c r="E82" s="1050">
        <v>4628285</v>
      </c>
      <c r="F82" s="1045">
        <f t="shared" si="3"/>
        <v>1</v>
      </c>
      <c r="G82" s="1051"/>
      <c r="H82" s="1051"/>
      <c r="I82" s="1051"/>
      <c r="J82" s="1051"/>
      <c r="K82" s="1051"/>
      <c r="L82" s="1051"/>
      <c r="M82" s="1051"/>
      <c r="N82" s="1051"/>
      <c r="O82" s="1051"/>
      <c r="P82" s="1051"/>
      <c r="Q82" s="1051"/>
      <c r="R82" s="1051"/>
      <c r="S82" s="1051"/>
      <c r="T82" s="1051"/>
      <c r="U82" s="1051"/>
      <c r="V82" s="1051"/>
      <c r="W82" s="1051"/>
      <c r="X82" s="1051"/>
      <c r="Y82" s="1051"/>
      <c r="Z82" s="1051"/>
      <c r="AA82" s="1051"/>
      <c r="AB82" s="1051"/>
      <c r="AC82" s="1051"/>
      <c r="AD82" s="1051"/>
      <c r="AE82" s="1051"/>
      <c r="AF82" s="1051"/>
      <c r="AG82" s="1051"/>
      <c r="AH82" s="1051"/>
      <c r="AI82" s="1051"/>
      <c r="AJ82" s="1051"/>
      <c r="AK82" s="1051"/>
      <c r="AL82" s="1051"/>
      <c r="AM82" s="1051"/>
      <c r="AN82" s="1051"/>
      <c r="AO82" s="1051"/>
      <c r="AP82" s="1051"/>
      <c r="AQ82" s="1051"/>
      <c r="AR82" s="1051"/>
      <c r="AS82" s="1051"/>
      <c r="AT82" s="1051"/>
      <c r="AU82" s="1051"/>
      <c r="AV82" s="1051"/>
      <c r="AW82" s="1051"/>
      <c r="AX82" s="1051"/>
      <c r="AY82" s="1051"/>
      <c r="AZ82" s="1051"/>
      <c r="BA82" s="1051"/>
      <c r="BB82" s="1051"/>
      <c r="BC82" s="1051"/>
      <c r="BD82" s="1051"/>
      <c r="BE82" s="1051"/>
      <c r="BF82" s="1051"/>
      <c r="BG82" s="1051"/>
      <c r="BH82" s="1051"/>
      <c r="BI82" s="1051"/>
      <c r="BJ82" s="1051"/>
      <c r="BK82" s="1051"/>
      <c r="BL82" s="1051"/>
      <c r="BM82" s="1051"/>
      <c r="BN82" s="1051"/>
      <c r="BO82" s="1051"/>
      <c r="BP82" s="1051"/>
      <c r="BQ82" s="1051"/>
      <c r="BR82" s="1051"/>
      <c r="BS82" s="1051"/>
      <c r="BT82" s="1051"/>
      <c r="BU82" s="1051"/>
      <c r="BV82" s="1051"/>
      <c r="BW82" s="1051"/>
      <c r="BX82" s="1051"/>
      <c r="BY82" s="1051"/>
      <c r="BZ82" s="1051"/>
      <c r="CA82" s="1051"/>
      <c r="CB82" s="1051"/>
      <c r="CC82" s="1051"/>
      <c r="CD82" s="1051"/>
      <c r="CE82" s="1051"/>
      <c r="CF82" s="1051"/>
      <c r="CG82" s="1051"/>
      <c r="CH82" s="1051"/>
      <c r="CI82" s="1051"/>
      <c r="CJ82" s="1051"/>
      <c r="CK82" s="1051"/>
      <c r="CL82" s="1051"/>
      <c r="CM82" s="1051"/>
      <c r="CN82" s="1051"/>
      <c r="CO82" s="1051"/>
      <c r="CP82" s="1051"/>
      <c r="CQ82" s="1051"/>
      <c r="CR82" s="1051"/>
      <c r="CS82" s="1051"/>
      <c r="CT82" s="1051"/>
      <c r="CU82" s="1051"/>
      <c r="CV82" s="1051"/>
      <c r="CW82" s="1051"/>
      <c r="CX82" s="1051"/>
      <c r="CY82" s="1051"/>
      <c r="CZ82" s="1051"/>
      <c r="DA82" s="1051"/>
      <c r="DB82" s="1051"/>
      <c r="DC82" s="1051"/>
      <c r="DD82" s="1051"/>
      <c r="DE82" s="1051"/>
      <c r="DF82" s="1051"/>
      <c r="DG82" s="1051"/>
      <c r="DH82" s="1051"/>
      <c r="DI82" s="1051"/>
      <c r="DJ82" s="1051"/>
      <c r="DK82" s="1051"/>
      <c r="DL82" s="1051"/>
      <c r="DM82" s="1051"/>
      <c r="DN82" s="1051"/>
      <c r="DO82" s="1051"/>
      <c r="DP82" s="1051"/>
      <c r="DQ82" s="1051"/>
      <c r="DR82" s="1051"/>
      <c r="DS82" s="1051"/>
      <c r="DT82" s="1051"/>
      <c r="DU82" s="1051"/>
      <c r="DV82" s="1051"/>
      <c r="DW82" s="1051"/>
      <c r="DX82" s="1051"/>
      <c r="DY82" s="1051"/>
      <c r="DZ82" s="1051"/>
      <c r="EA82" s="1051"/>
      <c r="EB82" s="1051"/>
      <c r="EC82" s="1051"/>
      <c r="ED82" s="1051"/>
      <c r="EE82" s="1051"/>
      <c r="EF82" s="1051"/>
      <c r="EG82" s="1051"/>
      <c r="EH82" s="1051"/>
      <c r="EI82" s="1051"/>
      <c r="EJ82" s="1051"/>
      <c r="EK82" s="1051"/>
      <c r="EL82" s="1051"/>
      <c r="EM82" s="1051"/>
      <c r="EN82" s="1051"/>
      <c r="EO82" s="1051"/>
      <c r="EP82" s="1051"/>
      <c r="EQ82" s="1051"/>
      <c r="ER82" s="1051"/>
      <c r="ES82" s="1051"/>
      <c r="ET82" s="1051"/>
      <c r="EU82" s="1051"/>
      <c r="EV82" s="1051"/>
      <c r="EW82" s="1051"/>
      <c r="EX82" s="1051"/>
      <c r="EY82" s="1051"/>
      <c r="EZ82" s="1051"/>
      <c r="FA82" s="1051"/>
      <c r="FB82" s="1051"/>
      <c r="FC82" s="1051"/>
      <c r="FD82" s="1051"/>
      <c r="FE82" s="1051"/>
      <c r="FF82" s="1051"/>
      <c r="FG82" s="1051"/>
      <c r="FH82" s="1051"/>
      <c r="FI82" s="1051"/>
      <c r="FJ82" s="1051"/>
      <c r="FK82" s="1051"/>
      <c r="FL82" s="1051"/>
      <c r="FM82" s="1051"/>
      <c r="FN82" s="1051"/>
      <c r="FO82" s="1051"/>
      <c r="FP82" s="1051"/>
      <c r="FQ82" s="1051"/>
      <c r="FR82" s="1051"/>
      <c r="FS82" s="1051"/>
      <c r="FT82" s="1051"/>
      <c r="FU82" s="1051"/>
      <c r="FV82" s="1051"/>
      <c r="FW82" s="1051"/>
      <c r="FX82" s="1051"/>
      <c r="FY82" s="1051"/>
      <c r="FZ82" s="1051"/>
      <c r="GA82" s="1051"/>
      <c r="GB82" s="1051"/>
      <c r="GC82" s="1051"/>
      <c r="GD82" s="1051"/>
      <c r="GE82" s="1051"/>
      <c r="GF82" s="1051"/>
      <c r="GG82" s="1051"/>
      <c r="GH82" s="1051"/>
      <c r="GI82" s="1051"/>
      <c r="GJ82" s="1051"/>
      <c r="GK82" s="1051"/>
      <c r="GL82" s="1051"/>
      <c r="GM82" s="1051"/>
      <c r="GN82" s="1051"/>
      <c r="GO82" s="1051"/>
      <c r="GP82" s="1051"/>
      <c r="GQ82" s="1051"/>
      <c r="GR82" s="1051"/>
      <c r="GS82" s="1051"/>
      <c r="GT82" s="1051"/>
      <c r="GU82" s="1051"/>
      <c r="GV82" s="1051"/>
      <c r="GW82" s="1051"/>
      <c r="GX82" s="1051"/>
      <c r="GY82" s="1051"/>
      <c r="GZ82" s="1051"/>
      <c r="HA82" s="1051"/>
      <c r="HB82" s="1051"/>
      <c r="HC82" s="1051"/>
      <c r="HD82" s="1051"/>
      <c r="HE82" s="1051"/>
      <c r="HF82" s="1051"/>
      <c r="HG82" s="1051"/>
      <c r="HH82" s="1051"/>
      <c r="HI82" s="1051"/>
      <c r="HJ82" s="1051"/>
      <c r="HK82" s="1051"/>
      <c r="HL82" s="1051"/>
      <c r="HM82" s="1051"/>
      <c r="HN82" s="1051"/>
      <c r="HO82" s="1051"/>
      <c r="HP82" s="1051"/>
      <c r="HQ82" s="1051"/>
      <c r="HR82" s="1051"/>
      <c r="HS82" s="1051"/>
      <c r="HT82" s="1051"/>
      <c r="HU82" s="1051"/>
      <c r="HV82" s="1051"/>
      <c r="HW82" s="1051"/>
      <c r="HX82" s="1051"/>
      <c r="HY82" s="1051"/>
      <c r="HZ82" s="1051"/>
      <c r="IA82" s="1051"/>
      <c r="IB82" s="1051"/>
      <c r="IC82" s="1051"/>
      <c r="ID82" s="1051"/>
      <c r="IE82" s="1051"/>
      <c r="IF82" s="1051"/>
      <c r="IG82" s="1051"/>
      <c r="IH82" s="1051"/>
      <c r="II82" s="1051"/>
      <c r="IJ82" s="1051"/>
      <c r="IK82" s="1051"/>
      <c r="IL82" s="1051"/>
      <c r="IM82" s="1051"/>
      <c r="IN82" s="1051"/>
      <c r="IO82" s="1051"/>
      <c r="IP82" s="1051"/>
      <c r="IQ82" s="1051"/>
      <c r="IR82" s="1051"/>
      <c r="IS82" s="1051"/>
      <c r="IT82" s="1051"/>
      <c r="IU82" s="1051"/>
      <c r="IV82" s="1051"/>
    </row>
    <row r="83" spans="1:256" x14ac:dyDescent="0.2">
      <c r="A83" s="1548" t="s">
        <v>69</v>
      </c>
      <c r="B83" s="1559"/>
      <c r="C83" s="1078">
        <f>SUM(C82)</f>
        <v>4628285</v>
      </c>
      <c r="D83" s="1078">
        <f>SUM(D82)</f>
        <v>4628285</v>
      </c>
      <c r="E83" s="1078">
        <f>SUM(E82)</f>
        <v>4628285</v>
      </c>
      <c r="F83" s="1045">
        <f t="shared" si="3"/>
        <v>1</v>
      </c>
      <c r="G83" s="1051"/>
      <c r="H83" s="1051"/>
      <c r="I83" s="1051"/>
      <c r="J83" s="1051"/>
      <c r="K83" s="1051"/>
      <c r="L83" s="1051"/>
      <c r="M83" s="1051"/>
      <c r="N83" s="1051"/>
      <c r="O83" s="1051"/>
      <c r="P83" s="1051"/>
      <c r="Q83" s="1051"/>
      <c r="R83" s="1051"/>
      <c r="S83" s="1051"/>
      <c r="T83" s="1051"/>
      <c r="U83" s="1051"/>
      <c r="V83" s="1051"/>
      <c r="W83" s="1051"/>
      <c r="X83" s="1051"/>
      <c r="Y83" s="1051"/>
      <c r="Z83" s="1051"/>
      <c r="AA83" s="1051"/>
      <c r="AB83" s="1051"/>
      <c r="AC83" s="1051"/>
      <c r="AD83" s="1051"/>
      <c r="AE83" s="1051"/>
      <c r="AF83" s="1051"/>
      <c r="AG83" s="1051"/>
      <c r="AH83" s="1051"/>
      <c r="AI83" s="1051"/>
      <c r="AJ83" s="1051"/>
      <c r="AK83" s="1051"/>
      <c r="AL83" s="1051"/>
      <c r="AM83" s="1051"/>
      <c r="AN83" s="1051"/>
      <c r="AO83" s="1051"/>
      <c r="AP83" s="1051"/>
      <c r="AQ83" s="1051"/>
      <c r="AR83" s="1051"/>
      <c r="AS83" s="1051"/>
      <c r="AT83" s="1051"/>
      <c r="AU83" s="1051"/>
      <c r="AV83" s="1051"/>
      <c r="AW83" s="1051"/>
      <c r="AX83" s="1051"/>
      <c r="AY83" s="1051"/>
      <c r="AZ83" s="1051"/>
      <c r="BA83" s="1051"/>
      <c r="BB83" s="1051"/>
      <c r="BC83" s="1051"/>
      <c r="BD83" s="1051"/>
      <c r="BE83" s="1051"/>
      <c r="BF83" s="1051"/>
      <c r="BG83" s="1051"/>
      <c r="BH83" s="1051"/>
      <c r="BI83" s="1051"/>
      <c r="BJ83" s="1051"/>
      <c r="BK83" s="1051"/>
      <c r="BL83" s="1051"/>
      <c r="BM83" s="1051"/>
      <c r="BN83" s="1051"/>
      <c r="BO83" s="1051"/>
      <c r="BP83" s="1051"/>
      <c r="BQ83" s="1051"/>
      <c r="BR83" s="1051"/>
      <c r="BS83" s="1051"/>
      <c r="BT83" s="1051"/>
      <c r="BU83" s="1051"/>
      <c r="BV83" s="1051"/>
      <c r="BW83" s="1051"/>
      <c r="BX83" s="1051"/>
      <c r="BY83" s="1051"/>
      <c r="BZ83" s="1051"/>
      <c r="CA83" s="1051"/>
      <c r="CB83" s="1051"/>
      <c r="CC83" s="1051"/>
      <c r="CD83" s="1051"/>
      <c r="CE83" s="1051"/>
      <c r="CF83" s="1051"/>
      <c r="CG83" s="1051"/>
      <c r="CH83" s="1051"/>
      <c r="CI83" s="1051"/>
      <c r="CJ83" s="1051"/>
      <c r="CK83" s="1051"/>
      <c r="CL83" s="1051"/>
      <c r="CM83" s="1051"/>
      <c r="CN83" s="1051"/>
      <c r="CO83" s="1051"/>
      <c r="CP83" s="1051"/>
      <c r="CQ83" s="1051"/>
      <c r="CR83" s="1051"/>
      <c r="CS83" s="1051"/>
      <c r="CT83" s="1051"/>
      <c r="CU83" s="1051"/>
      <c r="CV83" s="1051"/>
      <c r="CW83" s="1051"/>
      <c r="CX83" s="1051"/>
      <c r="CY83" s="1051"/>
      <c r="CZ83" s="1051"/>
      <c r="DA83" s="1051"/>
      <c r="DB83" s="1051"/>
      <c r="DC83" s="1051"/>
      <c r="DD83" s="1051"/>
      <c r="DE83" s="1051"/>
      <c r="DF83" s="1051"/>
      <c r="DG83" s="1051"/>
      <c r="DH83" s="1051"/>
      <c r="DI83" s="1051"/>
      <c r="DJ83" s="1051"/>
      <c r="DK83" s="1051"/>
      <c r="DL83" s="1051"/>
      <c r="DM83" s="1051"/>
      <c r="DN83" s="1051"/>
      <c r="DO83" s="1051"/>
      <c r="DP83" s="1051"/>
      <c r="DQ83" s="1051"/>
      <c r="DR83" s="1051"/>
      <c r="DS83" s="1051"/>
      <c r="DT83" s="1051"/>
      <c r="DU83" s="1051"/>
      <c r="DV83" s="1051"/>
      <c r="DW83" s="1051"/>
      <c r="DX83" s="1051"/>
      <c r="DY83" s="1051"/>
      <c r="DZ83" s="1051"/>
      <c r="EA83" s="1051"/>
      <c r="EB83" s="1051"/>
      <c r="EC83" s="1051"/>
      <c r="ED83" s="1051"/>
      <c r="EE83" s="1051"/>
      <c r="EF83" s="1051"/>
      <c r="EG83" s="1051"/>
      <c r="EH83" s="1051"/>
      <c r="EI83" s="1051"/>
      <c r="EJ83" s="1051"/>
      <c r="EK83" s="1051"/>
      <c r="EL83" s="1051"/>
      <c r="EM83" s="1051"/>
      <c r="EN83" s="1051"/>
      <c r="EO83" s="1051"/>
      <c r="EP83" s="1051"/>
      <c r="EQ83" s="1051"/>
      <c r="ER83" s="1051"/>
      <c r="ES83" s="1051"/>
      <c r="ET83" s="1051"/>
      <c r="EU83" s="1051"/>
      <c r="EV83" s="1051"/>
      <c r="EW83" s="1051"/>
      <c r="EX83" s="1051"/>
      <c r="EY83" s="1051"/>
      <c r="EZ83" s="1051"/>
      <c r="FA83" s="1051"/>
      <c r="FB83" s="1051"/>
      <c r="FC83" s="1051"/>
      <c r="FD83" s="1051"/>
      <c r="FE83" s="1051"/>
      <c r="FF83" s="1051"/>
      <c r="FG83" s="1051"/>
      <c r="FH83" s="1051"/>
      <c r="FI83" s="1051"/>
      <c r="FJ83" s="1051"/>
      <c r="FK83" s="1051"/>
      <c r="FL83" s="1051"/>
      <c r="FM83" s="1051"/>
      <c r="FN83" s="1051"/>
      <c r="FO83" s="1051"/>
      <c r="FP83" s="1051"/>
      <c r="FQ83" s="1051"/>
      <c r="FR83" s="1051"/>
      <c r="FS83" s="1051"/>
      <c r="FT83" s="1051"/>
      <c r="FU83" s="1051"/>
      <c r="FV83" s="1051"/>
      <c r="FW83" s="1051"/>
      <c r="FX83" s="1051"/>
      <c r="FY83" s="1051"/>
      <c r="FZ83" s="1051"/>
      <c r="GA83" s="1051"/>
      <c r="GB83" s="1051"/>
      <c r="GC83" s="1051"/>
      <c r="GD83" s="1051"/>
      <c r="GE83" s="1051"/>
      <c r="GF83" s="1051"/>
      <c r="GG83" s="1051"/>
      <c r="GH83" s="1051"/>
      <c r="GI83" s="1051"/>
      <c r="GJ83" s="1051"/>
      <c r="GK83" s="1051"/>
      <c r="GL83" s="1051"/>
      <c r="GM83" s="1051"/>
      <c r="GN83" s="1051"/>
      <c r="GO83" s="1051"/>
      <c r="GP83" s="1051"/>
      <c r="GQ83" s="1051"/>
      <c r="GR83" s="1051"/>
      <c r="GS83" s="1051"/>
      <c r="GT83" s="1051"/>
      <c r="GU83" s="1051"/>
      <c r="GV83" s="1051"/>
      <c r="GW83" s="1051"/>
      <c r="GX83" s="1051"/>
      <c r="GY83" s="1051"/>
      <c r="GZ83" s="1051"/>
      <c r="HA83" s="1051"/>
      <c r="HB83" s="1051"/>
      <c r="HC83" s="1051"/>
      <c r="HD83" s="1051"/>
      <c r="HE83" s="1051"/>
      <c r="HF83" s="1051"/>
      <c r="HG83" s="1051"/>
      <c r="HH83" s="1051"/>
      <c r="HI83" s="1051"/>
      <c r="HJ83" s="1051"/>
      <c r="HK83" s="1051"/>
      <c r="HL83" s="1051"/>
      <c r="HM83" s="1051"/>
      <c r="HN83" s="1051"/>
      <c r="HO83" s="1051"/>
      <c r="HP83" s="1051"/>
      <c r="HQ83" s="1051"/>
      <c r="HR83" s="1051"/>
      <c r="HS83" s="1051"/>
      <c r="HT83" s="1051"/>
      <c r="HU83" s="1051"/>
      <c r="HV83" s="1051"/>
      <c r="HW83" s="1051"/>
      <c r="HX83" s="1051"/>
      <c r="HY83" s="1051"/>
      <c r="HZ83" s="1051"/>
      <c r="IA83" s="1051"/>
      <c r="IB83" s="1051"/>
      <c r="IC83" s="1051"/>
      <c r="ID83" s="1051"/>
      <c r="IE83" s="1051"/>
      <c r="IF83" s="1051"/>
      <c r="IG83" s="1051"/>
      <c r="IH83" s="1051"/>
      <c r="II83" s="1051"/>
      <c r="IJ83" s="1051"/>
      <c r="IK83" s="1051"/>
      <c r="IL83" s="1051"/>
      <c r="IM83" s="1051"/>
      <c r="IN83" s="1051"/>
      <c r="IO83" s="1051"/>
      <c r="IP83" s="1051"/>
      <c r="IQ83" s="1051"/>
      <c r="IR83" s="1051"/>
      <c r="IS83" s="1051"/>
      <c r="IT83" s="1051"/>
      <c r="IU83" s="1051"/>
      <c r="IV83" s="1051"/>
    </row>
    <row r="84" spans="1:256" x14ac:dyDescent="0.2">
      <c r="A84" s="1549" t="s">
        <v>73</v>
      </c>
      <c r="B84" s="1569"/>
      <c r="C84" s="1081">
        <f>C81+C83</f>
        <v>20220100</v>
      </c>
      <c r="D84" s="1081">
        <f>D81+D83</f>
        <v>29731040</v>
      </c>
      <c r="E84" s="1081">
        <f>E81+E83</f>
        <v>6694415</v>
      </c>
      <c r="F84" s="1047">
        <f t="shared" si="3"/>
        <v>0.22516585359947044</v>
      </c>
    </row>
    <row r="85" spans="1:256" x14ac:dyDescent="0.2">
      <c r="A85" s="1552" t="s">
        <v>174</v>
      </c>
      <c r="B85" s="1553"/>
      <c r="C85" s="1553"/>
      <c r="D85" s="1553"/>
      <c r="E85" s="1553"/>
      <c r="F85" s="1554"/>
    </row>
    <row r="86" spans="1:256" x14ac:dyDescent="0.2">
      <c r="A86" s="1065" t="s">
        <v>70</v>
      </c>
      <c r="B86" s="1066" t="s">
        <v>71</v>
      </c>
      <c r="C86" s="1038" t="s">
        <v>687</v>
      </c>
      <c r="D86" s="1038" t="s">
        <v>688</v>
      </c>
      <c r="E86" s="1039" t="s">
        <v>689</v>
      </c>
      <c r="F86" s="1040" t="s">
        <v>690</v>
      </c>
    </row>
    <row r="87" spans="1:256" x14ac:dyDescent="0.2">
      <c r="A87" s="1041" t="s">
        <v>734</v>
      </c>
      <c r="B87" s="1042" t="s">
        <v>746</v>
      </c>
      <c r="C87" s="1077">
        <v>6107000</v>
      </c>
      <c r="D87" s="1082">
        <v>1144158</v>
      </c>
      <c r="E87" s="1050">
        <v>1144158</v>
      </c>
      <c r="F87" s="1045">
        <f>E87/D87</f>
        <v>1</v>
      </c>
    </row>
    <row r="88" spans="1:256" x14ac:dyDescent="0.2">
      <c r="A88" s="1548" t="s">
        <v>18</v>
      </c>
      <c r="B88" s="1559"/>
      <c r="C88" s="1077">
        <f>SUM(C87)</f>
        <v>6107000</v>
      </c>
      <c r="D88" s="1077">
        <f>SUM(D87)</f>
        <v>1144158</v>
      </c>
      <c r="E88" s="1077">
        <f>SUM(E87)</f>
        <v>1144158</v>
      </c>
      <c r="F88" s="1045">
        <f t="shared" ref="F88:F102" si="4">E88/D88</f>
        <v>1</v>
      </c>
    </row>
    <row r="89" spans="1:256" x14ac:dyDescent="0.2">
      <c r="A89" s="1041" t="s">
        <v>747</v>
      </c>
      <c r="B89" s="1041" t="s">
        <v>512</v>
      </c>
      <c r="C89" s="1043">
        <v>14784859</v>
      </c>
      <c r="D89" s="1061">
        <v>19111656</v>
      </c>
      <c r="E89" s="1050">
        <v>19111656</v>
      </c>
      <c r="F89" s="1083">
        <f t="shared" si="4"/>
        <v>1</v>
      </c>
    </row>
    <row r="90" spans="1:256" x14ac:dyDescent="0.2">
      <c r="A90" s="1041" t="s">
        <v>747</v>
      </c>
      <c r="B90" s="1041" t="s">
        <v>748</v>
      </c>
      <c r="C90" s="1084">
        <v>30342665</v>
      </c>
      <c r="D90" s="1077">
        <v>30342665</v>
      </c>
      <c r="E90" s="1050">
        <v>30342665</v>
      </c>
      <c r="F90" s="1083">
        <f t="shared" si="4"/>
        <v>1</v>
      </c>
    </row>
    <row r="91" spans="1:256" x14ac:dyDescent="0.2">
      <c r="A91" s="1564" t="s">
        <v>68</v>
      </c>
      <c r="B91" s="1574"/>
      <c r="C91" s="1043">
        <f>SUM(C89:C90)</f>
        <v>45127524</v>
      </c>
      <c r="D91" s="1043">
        <f>SUM(D89:D90)</f>
        <v>49454321</v>
      </c>
      <c r="E91" s="1043">
        <f>SUM(E89:E90)</f>
        <v>49454321</v>
      </c>
      <c r="F91" s="1045">
        <f t="shared" si="4"/>
        <v>1</v>
      </c>
      <c r="G91" s="1051"/>
      <c r="H91" s="1051"/>
      <c r="I91" s="1051"/>
      <c r="J91" s="1051"/>
      <c r="K91" s="1051"/>
      <c r="L91" s="1051"/>
      <c r="M91" s="1051"/>
      <c r="N91" s="1051"/>
      <c r="O91" s="1051"/>
      <c r="P91" s="1051"/>
      <c r="Q91" s="1051"/>
      <c r="R91" s="1051"/>
      <c r="S91" s="1051"/>
      <c r="T91" s="1051"/>
      <c r="U91" s="1051"/>
      <c r="V91" s="1051"/>
      <c r="W91" s="1051"/>
      <c r="X91" s="1051"/>
      <c r="Y91" s="1051"/>
      <c r="Z91" s="1051"/>
      <c r="AA91" s="1051"/>
      <c r="AB91" s="1051"/>
      <c r="AC91" s="1051"/>
      <c r="AD91" s="1051"/>
      <c r="AE91" s="1051"/>
      <c r="AF91" s="1051"/>
      <c r="AG91" s="1051"/>
      <c r="AH91" s="1051"/>
      <c r="AI91" s="1051"/>
      <c r="AJ91" s="1051"/>
      <c r="AK91" s="1051"/>
      <c r="AL91" s="1051"/>
      <c r="AM91" s="1051"/>
      <c r="AN91" s="1051"/>
      <c r="AO91" s="1051"/>
      <c r="AP91" s="1051"/>
      <c r="AQ91" s="1051"/>
      <c r="AR91" s="1051"/>
      <c r="AS91" s="1051"/>
      <c r="AT91" s="1051"/>
      <c r="AU91" s="1051"/>
      <c r="AV91" s="1051"/>
      <c r="AW91" s="1051"/>
      <c r="AX91" s="1051"/>
      <c r="AY91" s="1051"/>
      <c r="AZ91" s="1051"/>
      <c r="BA91" s="1051"/>
      <c r="BB91" s="1051"/>
      <c r="BC91" s="1051"/>
      <c r="BD91" s="1051"/>
      <c r="BE91" s="1051"/>
      <c r="BF91" s="1051"/>
      <c r="BG91" s="1051"/>
      <c r="BH91" s="1051"/>
      <c r="BI91" s="1051"/>
      <c r="BJ91" s="1051"/>
      <c r="BK91" s="1051"/>
      <c r="BL91" s="1051"/>
      <c r="BM91" s="1051"/>
      <c r="BN91" s="1051"/>
      <c r="BO91" s="1051"/>
      <c r="BP91" s="1051"/>
      <c r="BQ91" s="1051"/>
      <c r="BR91" s="1051"/>
      <c r="BS91" s="1051"/>
      <c r="BT91" s="1051"/>
      <c r="BU91" s="1051"/>
      <c r="BV91" s="1051"/>
      <c r="BW91" s="1051"/>
      <c r="BX91" s="1051"/>
      <c r="BY91" s="1051"/>
      <c r="BZ91" s="1051"/>
      <c r="CA91" s="1051"/>
      <c r="CB91" s="1051"/>
      <c r="CC91" s="1051"/>
      <c r="CD91" s="1051"/>
      <c r="CE91" s="1051"/>
      <c r="CF91" s="1051"/>
      <c r="CG91" s="1051"/>
      <c r="CH91" s="1051"/>
      <c r="CI91" s="1051"/>
      <c r="CJ91" s="1051"/>
      <c r="CK91" s="1051"/>
      <c r="CL91" s="1051"/>
      <c r="CM91" s="1051"/>
      <c r="CN91" s="1051"/>
      <c r="CO91" s="1051"/>
      <c r="CP91" s="1051"/>
      <c r="CQ91" s="1051"/>
      <c r="CR91" s="1051"/>
      <c r="CS91" s="1051"/>
      <c r="CT91" s="1051"/>
      <c r="CU91" s="1051"/>
      <c r="CV91" s="1051"/>
      <c r="CW91" s="1051"/>
      <c r="CX91" s="1051"/>
      <c r="CY91" s="1051"/>
      <c r="CZ91" s="1051"/>
      <c r="DA91" s="1051"/>
      <c r="DB91" s="1051"/>
      <c r="DC91" s="1051"/>
      <c r="DD91" s="1051"/>
      <c r="DE91" s="1051"/>
      <c r="DF91" s="1051"/>
      <c r="DG91" s="1051"/>
      <c r="DH91" s="1051"/>
      <c r="DI91" s="1051"/>
      <c r="DJ91" s="1051"/>
      <c r="DK91" s="1051"/>
      <c r="DL91" s="1051"/>
      <c r="DM91" s="1051"/>
      <c r="DN91" s="1051"/>
      <c r="DO91" s="1051"/>
      <c r="DP91" s="1051"/>
      <c r="DQ91" s="1051"/>
      <c r="DR91" s="1051"/>
      <c r="DS91" s="1051"/>
      <c r="DT91" s="1051"/>
      <c r="DU91" s="1051"/>
      <c r="DV91" s="1051"/>
      <c r="DW91" s="1051"/>
      <c r="DX91" s="1051"/>
      <c r="DY91" s="1051"/>
      <c r="DZ91" s="1051"/>
      <c r="EA91" s="1051"/>
      <c r="EB91" s="1051"/>
      <c r="EC91" s="1051"/>
      <c r="ED91" s="1051"/>
      <c r="EE91" s="1051"/>
      <c r="EF91" s="1051"/>
      <c r="EG91" s="1051"/>
      <c r="EH91" s="1051"/>
      <c r="EI91" s="1051"/>
      <c r="EJ91" s="1051"/>
      <c r="EK91" s="1051"/>
      <c r="EL91" s="1051"/>
      <c r="EM91" s="1051"/>
      <c r="EN91" s="1051"/>
      <c r="EO91" s="1051"/>
      <c r="EP91" s="1051"/>
      <c r="EQ91" s="1051"/>
      <c r="ER91" s="1051"/>
      <c r="ES91" s="1051"/>
      <c r="ET91" s="1051"/>
      <c r="EU91" s="1051"/>
      <c r="EV91" s="1051"/>
      <c r="EW91" s="1051"/>
      <c r="EX91" s="1051"/>
      <c r="EY91" s="1051"/>
      <c r="EZ91" s="1051"/>
      <c r="FA91" s="1051"/>
      <c r="FB91" s="1051"/>
      <c r="FC91" s="1051"/>
      <c r="FD91" s="1051"/>
      <c r="FE91" s="1051"/>
      <c r="FF91" s="1051"/>
      <c r="FG91" s="1051"/>
      <c r="FH91" s="1051"/>
      <c r="FI91" s="1051"/>
      <c r="FJ91" s="1051"/>
      <c r="FK91" s="1051"/>
      <c r="FL91" s="1051"/>
      <c r="FM91" s="1051"/>
      <c r="FN91" s="1051"/>
      <c r="FO91" s="1051"/>
      <c r="FP91" s="1051"/>
      <c r="FQ91" s="1051"/>
      <c r="FR91" s="1051"/>
      <c r="FS91" s="1051"/>
      <c r="FT91" s="1051"/>
      <c r="FU91" s="1051"/>
      <c r="FV91" s="1051"/>
      <c r="FW91" s="1051"/>
      <c r="FX91" s="1051"/>
      <c r="FY91" s="1051"/>
      <c r="FZ91" s="1051"/>
      <c r="GA91" s="1051"/>
      <c r="GB91" s="1051"/>
      <c r="GC91" s="1051"/>
      <c r="GD91" s="1051"/>
      <c r="GE91" s="1051"/>
      <c r="GF91" s="1051"/>
      <c r="GG91" s="1051"/>
      <c r="GH91" s="1051"/>
      <c r="GI91" s="1051"/>
      <c r="GJ91" s="1051"/>
      <c r="GK91" s="1051"/>
      <c r="GL91" s="1051"/>
      <c r="GM91" s="1051"/>
      <c r="GN91" s="1051"/>
      <c r="GO91" s="1051"/>
      <c r="GP91" s="1051"/>
      <c r="GQ91" s="1051"/>
      <c r="GR91" s="1051"/>
      <c r="GS91" s="1051"/>
      <c r="GT91" s="1051"/>
      <c r="GU91" s="1051"/>
      <c r="GV91" s="1051"/>
      <c r="GW91" s="1051"/>
      <c r="GX91" s="1051"/>
      <c r="GY91" s="1051"/>
      <c r="GZ91" s="1051"/>
      <c r="HA91" s="1051"/>
      <c r="HB91" s="1051"/>
      <c r="HC91" s="1051"/>
      <c r="HD91" s="1051"/>
      <c r="HE91" s="1051"/>
      <c r="HF91" s="1051"/>
      <c r="HG91" s="1051"/>
      <c r="HH91" s="1051"/>
      <c r="HI91" s="1051"/>
      <c r="HJ91" s="1051"/>
      <c r="HK91" s="1051"/>
      <c r="HL91" s="1051"/>
      <c r="HM91" s="1051"/>
      <c r="HN91" s="1051"/>
      <c r="HO91" s="1051"/>
      <c r="HP91" s="1051"/>
      <c r="HQ91" s="1051"/>
      <c r="HR91" s="1051"/>
      <c r="HS91" s="1051"/>
      <c r="HT91" s="1051"/>
      <c r="HU91" s="1051"/>
      <c r="HV91" s="1051"/>
      <c r="HW91" s="1051"/>
      <c r="HX91" s="1051"/>
      <c r="HY91" s="1051"/>
      <c r="HZ91" s="1051"/>
      <c r="IA91" s="1051"/>
      <c r="IB91" s="1051"/>
      <c r="IC91" s="1051"/>
      <c r="ID91" s="1051"/>
      <c r="IE91" s="1051"/>
      <c r="IF91" s="1051"/>
      <c r="IG91" s="1051"/>
      <c r="IH91" s="1051"/>
      <c r="II91" s="1051"/>
      <c r="IJ91" s="1051"/>
      <c r="IK91" s="1051"/>
      <c r="IL91" s="1051"/>
      <c r="IM91" s="1051"/>
      <c r="IN91" s="1051"/>
      <c r="IO91" s="1051"/>
      <c r="IP91" s="1051"/>
      <c r="IQ91" s="1051"/>
      <c r="IR91" s="1051"/>
      <c r="IS91" s="1051"/>
      <c r="IT91" s="1051"/>
      <c r="IU91" s="1051"/>
      <c r="IV91" s="1051"/>
    </row>
    <row r="92" spans="1:256" x14ac:dyDescent="0.2">
      <c r="A92" s="1549" t="s">
        <v>74</v>
      </c>
      <c r="B92" s="1569"/>
      <c r="C92" s="1046">
        <f>C88+C91</f>
        <v>51234524</v>
      </c>
      <c r="D92" s="1046">
        <f>D88+D91</f>
        <v>50598479</v>
      </c>
      <c r="E92" s="1046">
        <f>E88+E91</f>
        <v>50598479</v>
      </c>
      <c r="F92" s="1045">
        <f t="shared" si="4"/>
        <v>1</v>
      </c>
    </row>
    <row r="93" spans="1:256" x14ac:dyDescent="0.2">
      <c r="A93" s="1041" t="s">
        <v>749</v>
      </c>
      <c r="B93" s="1085" t="s">
        <v>750</v>
      </c>
      <c r="C93" s="1043">
        <v>33146900</v>
      </c>
      <c r="D93" s="1061">
        <v>33146900</v>
      </c>
      <c r="E93" s="1050">
        <v>23328214</v>
      </c>
      <c r="F93" s="1083">
        <f t="shared" si="4"/>
        <v>0.70378267650971882</v>
      </c>
    </row>
    <row r="94" spans="1:256" x14ac:dyDescent="0.2">
      <c r="A94" s="1041" t="s">
        <v>749</v>
      </c>
      <c r="B94" s="1085" t="s">
        <v>751</v>
      </c>
      <c r="C94" s="1043">
        <v>28733000</v>
      </c>
      <c r="D94" s="1061">
        <f>C94-2559055</f>
        <v>26173945</v>
      </c>
      <c r="E94" s="1086">
        <v>26962088</v>
      </c>
      <c r="F94" s="1083">
        <f t="shared" si="4"/>
        <v>1.0301117389831758</v>
      </c>
    </row>
    <row r="95" spans="1:256" x14ac:dyDescent="0.2">
      <c r="A95" s="1041" t="s">
        <v>749</v>
      </c>
      <c r="B95" s="1085" t="s">
        <v>752</v>
      </c>
      <c r="C95" s="1043">
        <v>200000</v>
      </c>
      <c r="D95" s="1082">
        <v>200000</v>
      </c>
      <c r="E95" s="1050">
        <v>150000</v>
      </c>
      <c r="F95" s="1083">
        <f t="shared" si="4"/>
        <v>0.75</v>
      </c>
    </row>
    <row r="96" spans="1:256" x14ac:dyDescent="0.2">
      <c r="A96" s="1041" t="s">
        <v>749</v>
      </c>
      <c r="B96" s="1085" t="s">
        <v>753</v>
      </c>
      <c r="C96" s="1043">
        <v>6107000</v>
      </c>
      <c r="D96" s="1082">
        <v>0</v>
      </c>
      <c r="E96" s="1050">
        <v>0</v>
      </c>
      <c r="F96" s="1083" t="s">
        <v>446</v>
      </c>
    </row>
    <row r="97" spans="1:6" x14ac:dyDescent="0.2">
      <c r="A97" s="1041" t="s">
        <v>749</v>
      </c>
      <c r="B97" s="1085" t="s">
        <v>754</v>
      </c>
      <c r="C97" s="1043">
        <v>100000</v>
      </c>
      <c r="D97" s="1082">
        <v>100000</v>
      </c>
      <c r="E97" s="1050">
        <v>150000</v>
      </c>
      <c r="F97" s="1083">
        <f t="shared" si="4"/>
        <v>1.5</v>
      </c>
    </row>
    <row r="98" spans="1:6" x14ac:dyDescent="0.2">
      <c r="A98" s="1041" t="s">
        <v>749</v>
      </c>
      <c r="B98" s="1085" t="s">
        <v>755</v>
      </c>
      <c r="C98" s="1043">
        <v>530000</v>
      </c>
      <c r="D98" s="1082">
        <v>530000</v>
      </c>
      <c r="E98" s="1050">
        <v>454460</v>
      </c>
      <c r="F98" s="1083"/>
    </row>
    <row r="99" spans="1:6" x14ac:dyDescent="0.2">
      <c r="A99" s="1561" t="s">
        <v>24</v>
      </c>
      <c r="B99" s="1562"/>
      <c r="C99" s="1043">
        <f>SUM(C93:C98)</f>
        <v>68816900</v>
      </c>
      <c r="D99" s="1043">
        <f>SUM(D93:D98)</f>
        <v>60150845</v>
      </c>
      <c r="E99" s="1043">
        <f>SUM(E93:E98)</f>
        <v>51044762</v>
      </c>
      <c r="F99" s="1083">
        <f t="shared" si="4"/>
        <v>0.84861255066325336</v>
      </c>
    </row>
    <row r="100" spans="1:6" x14ac:dyDescent="0.2">
      <c r="A100" s="1041" t="s">
        <v>756</v>
      </c>
      <c r="B100" s="1042" t="s">
        <v>194</v>
      </c>
      <c r="C100" s="1070">
        <v>32152000</v>
      </c>
      <c r="D100" s="1061">
        <v>41740000</v>
      </c>
      <c r="E100" s="1050">
        <v>41740000</v>
      </c>
      <c r="F100" s="1083">
        <f t="shared" si="4"/>
        <v>1</v>
      </c>
    </row>
    <row r="101" spans="1:6" x14ac:dyDescent="0.2">
      <c r="A101" s="1548" t="s">
        <v>69</v>
      </c>
      <c r="B101" s="1559"/>
      <c r="C101" s="1043">
        <f>SUM(C100)</f>
        <v>32152000</v>
      </c>
      <c r="D101" s="1043">
        <f>SUM(D100)</f>
        <v>41740000</v>
      </c>
      <c r="E101" s="1043">
        <f>SUM(E100)</f>
        <v>41740000</v>
      </c>
      <c r="F101" s="1045">
        <f t="shared" si="4"/>
        <v>1</v>
      </c>
    </row>
    <row r="102" spans="1:6" x14ac:dyDescent="0.2">
      <c r="A102" s="1549" t="s">
        <v>73</v>
      </c>
      <c r="B102" s="1569"/>
      <c r="C102" s="1046">
        <f>SUM(C101+C99)</f>
        <v>100968900</v>
      </c>
      <c r="D102" s="1046">
        <f>SUM(D101+D99)</f>
        <v>101890845</v>
      </c>
      <c r="E102" s="1046">
        <f>SUM(E101+E99)</f>
        <v>92784762</v>
      </c>
      <c r="F102" s="1047">
        <f t="shared" si="4"/>
        <v>0.91062903639674397</v>
      </c>
    </row>
    <row r="103" spans="1:6" x14ac:dyDescent="0.2">
      <c r="A103" s="1552" t="s">
        <v>757</v>
      </c>
      <c r="B103" s="1553"/>
      <c r="C103" s="1553"/>
      <c r="D103" s="1553"/>
      <c r="E103" s="1553"/>
      <c r="F103" s="1554"/>
    </row>
    <row r="104" spans="1:6" x14ac:dyDescent="0.2">
      <c r="A104" s="1065" t="s">
        <v>70</v>
      </c>
      <c r="B104" s="1066" t="s">
        <v>71</v>
      </c>
      <c r="C104" s="1038" t="s">
        <v>687</v>
      </c>
      <c r="D104" s="1038" t="s">
        <v>688</v>
      </c>
      <c r="E104" s="1039" t="s">
        <v>689</v>
      </c>
      <c r="F104" s="1040" t="s">
        <v>690</v>
      </c>
    </row>
    <row r="105" spans="1:6" x14ac:dyDescent="0.2">
      <c r="A105" s="1041" t="s">
        <v>708</v>
      </c>
      <c r="B105" s="1042" t="s">
        <v>264</v>
      </c>
      <c r="C105" s="1043">
        <v>0</v>
      </c>
      <c r="D105" s="1061">
        <v>17685</v>
      </c>
      <c r="E105" s="1061">
        <v>15059</v>
      </c>
      <c r="F105" s="1045">
        <f>E105/D105</f>
        <v>0.85151258128357366</v>
      </c>
    </row>
    <row r="106" spans="1:6" x14ac:dyDescent="0.2">
      <c r="A106" s="1041" t="s">
        <v>709</v>
      </c>
      <c r="B106" s="1042" t="s">
        <v>90</v>
      </c>
      <c r="C106" s="1043">
        <v>0</v>
      </c>
      <c r="D106" s="1061">
        <v>4191</v>
      </c>
      <c r="E106" s="1061">
        <v>3191</v>
      </c>
      <c r="F106" s="1045">
        <f>E106/D106</f>
        <v>0.76139346218086379</v>
      </c>
    </row>
    <row r="107" spans="1:6" x14ac:dyDescent="0.2">
      <c r="A107" s="1041" t="s">
        <v>703</v>
      </c>
      <c r="B107" s="1042" t="s">
        <v>557</v>
      </c>
      <c r="C107" s="1043">
        <v>0</v>
      </c>
      <c r="D107" s="1061">
        <v>5744</v>
      </c>
      <c r="E107" s="1061">
        <v>4593</v>
      </c>
      <c r="F107" s="1045">
        <f>E107/D107</f>
        <v>0.79961699164345401</v>
      </c>
    </row>
    <row r="108" spans="1:6" x14ac:dyDescent="0.2">
      <c r="A108" s="1548" t="s">
        <v>168</v>
      </c>
      <c r="B108" s="1559"/>
      <c r="C108" s="1043">
        <f>SUM(C105:C107)</f>
        <v>0</v>
      </c>
      <c r="D108" s="1061">
        <f>SUM(D105:D107)</f>
        <v>27620</v>
      </c>
      <c r="E108" s="1061">
        <f>SUM(E105:E107)</f>
        <v>22843</v>
      </c>
      <c r="F108" s="1045">
        <f>E108/D108</f>
        <v>0.82704561911658214</v>
      </c>
    </row>
    <row r="109" spans="1:6" x14ac:dyDescent="0.2">
      <c r="A109" s="1549" t="s">
        <v>73</v>
      </c>
      <c r="B109" s="1569"/>
      <c r="C109" s="1046">
        <f>SUM(C108)</f>
        <v>0</v>
      </c>
      <c r="D109" s="1046">
        <f>SUM(D108)</f>
        <v>27620</v>
      </c>
      <c r="E109" s="1046">
        <f>SUM(E108)</f>
        <v>22843</v>
      </c>
      <c r="F109" s="1047">
        <f>E109/D109</f>
        <v>0.82704561911658214</v>
      </c>
    </row>
    <row r="110" spans="1:6" x14ac:dyDescent="0.2">
      <c r="A110" s="1552" t="s">
        <v>758</v>
      </c>
      <c r="B110" s="1553"/>
      <c r="C110" s="1553"/>
      <c r="D110" s="1553"/>
      <c r="E110" s="1553"/>
      <c r="F110" s="1554"/>
    </row>
    <row r="111" spans="1:6" x14ac:dyDescent="0.2">
      <c r="A111" s="1036" t="s">
        <v>70</v>
      </c>
      <c r="B111" s="1037" t="s">
        <v>71</v>
      </c>
      <c r="C111" s="1038" t="s">
        <v>687</v>
      </c>
      <c r="D111" s="1038" t="s">
        <v>688</v>
      </c>
      <c r="E111" s="1039" t="s">
        <v>689</v>
      </c>
      <c r="F111" s="1040" t="s">
        <v>690</v>
      </c>
    </row>
    <row r="112" spans="1:6" x14ac:dyDescent="0.2">
      <c r="A112" s="1041" t="s">
        <v>734</v>
      </c>
      <c r="B112" s="1042" t="s">
        <v>759</v>
      </c>
      <c r="C112" s="1043">
        <v>1033000</v>
      </c>
      <c r="D112" s="1061">
        <v>6049555</v>
      </c>
      <c r="E112" s="1050">
        <v>3720869</v>
      </c>
      <c r="F112" s="1045">
        <f>E112/D112</f>
        <v>0.61506490973302996</v>
      </c>
    </row>
    <row r="113" spans="1:256" x14ac:dyDescent="0.2">
      <c r="A113" s="1548" t="s">
        <v>18</v>
      </c>
      <c r="B113" s="1559"/>
      <c r="C113" s="1043">
        <f>SUM(C112)</f>
        <v>1033000</v>
      </c>
      <c r="D113" s="1043">
        <f>SUM(D112)</f>
        <v>6049555</v>
      </c>
      <c r="E113" s="1043">
        <f>SUM(E112)</f>
        <v>3720869</v>
      </c>
      <c r="F113" s="1045">
        <f t="shared" ref="F113:F129" si="5">E113/D113</f>
        <v>0.61506490973302996</v>
      </c>
      <c r="G113" s="1051"/>
      <c r="H113" s="1051"/>
      <c r="I113" s="1051"/>
      <c r="J113" s="1051"/>
      <c r="K113" s="1051"/>
      <c r="L113" s="1051"/>
      <c r="M113" s="1051"/>
      <c r="N113" s="1051"/>
      <c r="O113" s="1051"/>
      <c r="P113" s="1051"/>
      <c r="Q113" s="1051"/>
      <c r="R113" s="1051"/>
      <c r="S113" s="1051"/>
      <c r="T113" s="1051"/>
      <c r="U113" s="1051"/>
      <c r="V113" s="1051"/>
      <c r="W113" s="1051"/>
      <c r="X113" s="1051"/>
      <c r="Y113" s="1051"/>
      <c r="Z113" s="1051"/>
      <c r="AA113" s="1051"/>
      <c r="AB113" s="1051"/>
      <c r="AC113" s="1051"/>
      <c r="AD113" s="1051"/>
      <c r="AE113" s="1051"/>
      <c r="AF113" s="1051"/>
      <c r="AG113" s="1051"/>
      <c r="AH113" s="1051"/>
      <c r="AI113" s="1051"/>
      <c r="AJ113" s="1051"/>
      <c r="AK113" s="1051"/>
      <c r="AL113" s="1051"/>
      <c r="AM113" s="1051"/>
      <c r="AN113" s="1051"/>
      <c r="AO113" s="1051"/>
      <c r="AP113" s="1051"/>
      <c r="AQ113" s="1051"/>
      <c r="AR113" s="1051"/>
      <c r="AS113" s="1051"/>
      <c r="AT113" s="1051"/>
      <c r="AU113" s="1051"/>
      <c r="AV113" s="1051"/>
      <c r="AW113" s="1051"/>
      <c r="AX113" s="1051"/>
      <c r="AY113" s="1051"/>
      <c r="AZ113" s="1051"/>
      <c r="BA113" s="1051"/>
      <c r="BB113" s="1051"/>
      <c r="BC113" s="1051"/>
      <c r="BD113" s="1051"/>
      <c r="BE113" s="1051"/>
      <c r="BF113" s="1051"/>
      <c r="BG113" s="1051"/>
      <c r="BH113" s="1051"/>
      <c r="BI113" s="1051"/>
      <c r="BJ113" s="1051"/>
      <c r="BK113" s="1051"/>
      <c r="BL113" s="1051"/>
      <c r="BM113" s="1051"/>
      <c r="BN113" s="1051"/>
      <c r="BO113" s="1051"/>
      <c r="BP113" s="1051"/>
      <c r="BQ113" s="1051"/>
      <c r="BR113" s="1051"/>
      <c r="BS113" s="1051"/>
      <c r="BT113" s="1051"/>
      <c r="BU113" s="1051"/>
      <c r="BV113" s="1051"/>
      <c r="BW113" s="1051"/>
      <c r="BX113" s="1051"/>
      <c r="BY113" s="1051"/>
      <c r="BZ113" s="1051"/>
      <c r="CA113" s="1051"/>
      <c r="CB113" s="1051"/>
      <c r="CC113" s="1051"/>
      <c r="CD113" s="1051"/>
      <c r="CE113" s="1051"/>
      <c r="CF113" s="1051"/>
      <c r="CG113" s="1051"/>
      <c r="CH113" s="1051"/>
      <c r="CI113" s="1051"/>
      <c r="CJ113" s="1051"/>
      <c r="CK113" s="1051"/>
      <c r="CL113" s="1051"/>
      <c r="CM113" s="1051"/>
      <c r="CN113" s="1051"/>
      <c r="CO113" s="1051"/>
      <c r="CP113" s="1051"/>
      <c r="CQ113" s="1051"/>
      <c r="CR113" s="1051"/>
      <c r="CS113" s="1051"/>
      <c r="CT113" s="1051"/>
      <c r="CU113" s="1051"/>
      <c r="CV113" s="1051"/>
      <c r="CW113" s="1051"/>
      <c r="CX113" s="1051"/>
      <c r="CY113" s="1051"/>
      <c r="CZ113" s="1051"/>
      <c r="DA113" s="1051"/>
      <c r="DB113" s="1051"/>
      <c r="DC113" s="1051"/>
      <c r="DD113" s="1051"/>
      <c r="DE113" s="1051"/>
      <c r="DF113" s="1051"/>
      <c r="DG113" s="1051"/>
      <c r="DH113" s="1051"/>
      <c r="DI113" s="1051"/>
      <c r="DJ113" s="1051"/>
      <c r="DK113" s="1051"/>
      <c r="DL113" s="1051"/>
      <c r="DM113" s="1051"/>
      <c r="DN113" s="1051"/>
      <c r="DO113" s="1051"/>
      <c r="DP113" s="1051"/>
      <c r="DQ113" s="1051"/>
      <c r="DR113" s="1051"/>
      <c r="DS113" s="1051"/>
      <c r="DT113" s="1051"/>
      <c r="DU113" s="1051"/>
      <c r="DV113" s="1051"/>
      <c r="DW113" s="1051"/>
      <c r="DX113" s="1051"/>
      <c r="DY113" s="1051"/>
      <c r="DZ113" s="1051"/>
      <c r="EA113" s="1051"/>
      <c r="EB113" s="1051"/>
      <c r="EC113" s="1051"/>
      <c r="ED113" s="1051"/>
      <c r="EE113" s="1051"/>
      <c r="EF113" s="1051"/>
      <c r="EG113" s="1051"/>
      <c r="EH113" s="1051"/>
      <c r="EI113" s="1051"/>
      <c r="EJ113" s="1051"/>
      <c r="EK113" s="1051"/>
      <c r="EL113" s="1051"/>
      <c r="EM113" s="1051"/>
      <c r="EN113" s="1051"/>
      <c r="EO113" s="1051"/>
      <c r="EP113" s="1051"/>
      <c r="EQ113" s="1051"/>
      <c r="ER113" s="1051"/>
      <c r="ES113" s="1051"/>
      <c r="ET113" s="1051"/>
      <c r="EU113" s="1051"/>
      <c r="EV113" s="1051"/>
      <c r="EW113" s="1051"/>
      <c r="EX113" s="1051"/>
      <c r="EY113" s="1051"/>
      <c r="EZ113" s="1051"/>
      <c r="FA113" s="1051"/>
      <c r="FB113" s="1051"/>
      <c r="FC113" s="1051"/>
      <c r="FD113" s="1051"/>
      <c r="FE113" s="1051"/>
      <c r="FF113" s="1051"/>
      <c r="FG113" s="1051"/>
      <c r="FH113" s="1051"/>
      <c r="FI113" s="1051"/>
      <c r="FJ113" s="1051"/>
      <c r="FK113" s="1051"/>
      <c r="FL113" s="1051"/>
      <c r="FM113" s="1051"/>
      <c r="FN113" s="1051"/>
      <c r="FO113" s="1051"/>
      <c r="FP113" s="1051"/>
      <c r="FQ113" s="1051"/>
      <c r="FR113" s="1051"/>
      <c r="FS113" s="1051"/>
      <c r="FT113" s="1051"/>
      <c r="FU113" s="1051"/>
      <c r="FV113" s="1051"/>
      <c r="FW113" s="1051"/>
      <c r="FX113" s="1051"/>
      <c r="FY113" s="1051"/>
      <c r="FZ113" s="1051"/>
      <c r="GA113" s="1051"/>
      <c r="GB113" s="1051"/>
      <c r="GC113" s="1051"/>
      <c r="GD113" s="1051"/>
      <c r="GE113" s="1051"/>
      <c r="GF113" s="1051"/>
      <c r="GG113" s="1051"/>
      <c r="GH113" s="1051"/>
      <c r="GI113" s="1051"/>
      <c r="GJ113" s="1051"/>
      <c r="GK113" s="1051"/>
      <c r="GL113" s="1051"/>
      <c r="GM113" s="1051"/>
      <c r="GN113" s="1051"/>
      <c r="GO113" s="1051"/>
      <c r="GP113" s="1051"/>
      <c r="GQ113" s="1051"/>
      <c r="GR113" s="1051"/>
      <c r="GS113" s="1051"/>
      <c r="GT113" s="1051"/>
      <c r="GU113" s="1051"/>
      <c r="GV113" s="1051"/>
      <c r="GW113" s="1051"/>
      <c r="GX113" s="1051"/>
      <c r="GY113" s="1051"/>
      <c r="GZ113" s="1051"/>
      <c r="HA113" s="1051"/>
      <c r="HB113" s="1051"/>
      <c r="HC113" s="1051"/>
      <c r="HD113" s="1051"/>
      <c r="HE113" s="1051"/>
      <c r="HF113" s="1051"/>
      <c r="HG113" s="1051"/>
      <c r="HH113" s="1051"/>
      <c r="HI113" s="1051"/>
      <c r="HJ113" s="1051"/>
      <c r="HK113" s="1051"/>
      <c r="HL113" s="1051"/>
      <c r="HM113" s="1051"/>
      <c r="HN113" s="1051"/>
      <c r="HO113" s="1051"/>
      <c r="HP113" s="1051"/>
      <c r="HQ113" s="1051"/>
      <c r="HR113" s="1051"/>
      <c r="HS113" s="1051"/>
      <c r="HT113" s="1051"/>
      <c r="HU113" s="1051"/>
      <c r="HV113" s="1051"/>
      <c r="HW113" s="1051"/>
      <c r="HX113" s="1051"/>
      <c r="HY113" s="1051"/>
      <c r="HZ113" s="1051"/>
      <c r="IA113" s="1051"/>
      <c r="IB113" s="1051"/>
      <c r="IC113" s="1051"/>
      <c r="ID113" s="1051"/>
      <c r="IE113" s="1051"/>
      <c r="IF113" s="1051"/>
      <c r="IG113" s="1051"/>
      <c r="IH113" s="1051"/>
      <c r="II113" s="1051"/>
      <c r="IJ113" s="1051"/>
      <c r="IK113" s="1051"/>
      <c r="IL113" s="1051"/>
      <c r="IM113" s="1051"/>
      <c r="IN113" s="1051"/>
      <c r="IO113" s="1051"/>
      <c r="IP113" s="1051"/>
      <c r="IQ113" s="1051"/>
      <c r="IR113" s="1051"/>
      <c r="IS113" s="1051"/>
      <c r="IT113" s="1051"/>
      <c r="IU113" s="1051"/>
      <c r="IV113" s="1051"/>
    </row>
    <row r="114" spans="1:256" x14ac:dyDescent="0.2">
      <c r="A114" s="1056" t="s">
        <v>760</v>
      </c>
      <c r="B114" s="1064" t="s">
        <v>761</v>
      </c>
      <c r="C114" s="1043">
        <v>0</v>
      </c>
      <c r="D114" s="1043">
        <v>0</v>
      </c>
      <c r="E114" s="1050">
        <v>86995</v>
      </c>
      <c r="F114" s="1045" t="s">
        <v>446</v>
      </c>
      <c r="G114" s="1051"/>
      <c r="H114" s="1051"/>
      <c r="I114" s="1051"/>
      <c r="J114" s="1051"/>
      <c r="K114" s="1051"/>
      <c r="L114" s="1051"/>
      <c r="M114" s="1051"/>
      <c r="N114" s="1051"/>
      <c r="O114" s="1051"/>
      <c r="P114" s="1051"/>
      <c r="Q114" s="1051"/>
      <c r="R114" s="1051"/>
      <c r="S114" s="1051"/>
      <c r="T114" s="1051"/>
      <c r="U114" s="1051"/>
      <c r="V114" s="1051"/>
      <c r="W114" s="1051"/>
      <c r="X114" s="1051"/>
      <c r="Y114" s="1051"/>
      <c r="Z114" s="1051"/>
      <c r="AA114" s="1051"/>
      <c r="AB114" s="1051"/>
      <c r="AC114" s="1051"/>
      <c r="AD114" s="1051"/>
      <c r="AE114" s="1051"/>
      <c r="AF114" s="1051"/>
      <c r="AG114" s="1051"/>
      <c r="AH114" s="1051"/>
      <c r="AI114" s="1051"/>
      <c r="AJ114" s="1051"/>
      <c r="AK114" s="1051"/>
      <c r="AL114" s="1051"/>
      <c r="AM114" s="1051"/>
      <c r="AN114" s="1051"/>
      <c r="AO114" s="1051"/>
      <c r="AP114" s="1051"/>
      <c r="AQ114" s="1051"/>
      <c r="AR114" s="1051"/>
      <c r="AS114" s="1051"/>
      <c r="AT114" s="1051"/>
      <c r="AU114" s="1051"/>
      <c r="AV114" s="1051"/>
      <c r="AW114" s="1051"/>
      <c r="AX114" s="1051"/>
      <c r="AY114" s="1051"/>
      <c r="AZ114" s="1051"/>
      <c r="BA114" s="1051"/>
      <c r="BB114" s="1051"/>
      <c r="BC114" s="1051"/>
      <c r="BD114" s="1051"/>
      <c r="BE114" s="1051"/>
      <c r="BF114" s="1051"/>
      <c r="BG114" s="1051"/>
      <c r="BH114" s="1051"/>
      <c r="BI114" s="1051"/>
      <c r="BJ114" s="1051"/>
      <c r="BK114" s="1051"/>
      <c r="BL114" s="1051"/>
      <c r="BM114" s="1051"/>
      <c r="BN114" s="1051"/>
      <c r="BO114" s="1051"/>
      <c r="BP114" s="1051"/>
      <c r="BQ114" s="1051"/>
      <c r="BR114" s="1051"/>
      <c r="BS114" s="1051"/>
      <c r="BT114" s="1051"/>
      <c r="BU114" s="1051"/>
      <c r="BV114" s="1051"/>
      <c r="BW114" s="1051"/>
      <c r="BX114" s="1051"/>
      <c r="BY114" s="1051"/>
      <c r="BZ114" s="1051"/>
      <c r="CA114" s="1051"/>
      <c r="CB114" s="1051"/>
      <c r="CC114" s="1051"/>
      <c r="CD114" s="1051"/>
      <c r="CE114" s="1051"/>
      <c r="CF114" s="1051"/>
      <c r="CG114" s="1051"/>
      <c r="CH114" s="1051"/>
      <c r="CI114" s="1051"/>
      <c r="CJ114" s="1051"/>
      <c r="CK114" s="1051"/>
      <c r="CL114" s="1051"/>
      <c r="CM114" s="1051"/>
      <c r="CN114" s="1051"/>
      <c r="CO114" s="1051"/>
      <c r="CP114" s="1051"/>
      <c r="CQ114" s="1051"/>
      <c r="CR114" s="1051"/>
      <c r="CS114" s="1051"/>
      <c r="CT114" s="1051"/>
      <c r="CU114" s="1051"/>
      <c r="CV114" s="1051"/>
      <c r="CW114" s="1051"/>
      <c r="CX114" s="1051"/>
      <c r="CY114" s="1051"/>
      <c r="CZ114" s="1051"/>
      <c r="DA114" s="1051"/>
      <c r="DB114" s="1051"/>
      <c r="DC114" s="1051"/>
      <c r="DD114" s="1051"/>
      <c r="DE114" s="1051"/>
      <c r="DF114" s="1051"/>
      <c r="DG114" s="1051"/>
      <c r="DH114" s="1051"/>
      <c r="DI114" s="1051"/>
      <c r="DJ114" s="1051"/>
      <c r="DK114" s="1051"/>
      <c r="DL114" s="1051"/>
      <c r="DM114" s="1051"/>
      <c r="DN114" s="1051"/>
      <c r="DO114" s="1051"/>
      <c r="DP114" s="1051"/>
      <c r="DQ114" s="1051"/>
      <c r="DR114" s="1051"/>
      <c r="DS114" s="1051"/>
      <c r="DT114" s="1051"/>
      <c r="DU114" s="1051"/>
      <c r="DV114" s="1051"/>
      <c r="DW114" s="1051"/>
      <c r="DX114" s="1051"/>
      <c r="DY114" s="1051"/>
      <c r="DZ114" s="1051"/>
      <c r="EA114" s="1051"/>
      <c r="EB114" s="1051"/>
      <c r="EC114" s="1051"/>
      <c r="ED114" s="1051"/>
      <c r="EE114" s="1051"/>
      <c r="EF114" s="1051"/>
      <c r="EG114" s="1051"/>
      <c r="EH114" s="1051"/>
      <c r="EI114" s="1051"/>
      <c r="EJ114" s="1051"/>
      <c r="EK114" s="1051"/>
      <c r="EL114" s="1051"/>
      <c r="EM114" s="1051"/>
      <c r="EN114" s="1051"/>
      <c r="EO114" s="1051"/>
      <c r="EP114" s="1051"/>
      <c r="EQ114" s="1051"/>
      <c r="ER114" s="1051"/>
      <c r="ES114" s="1051"/>
      <c r="ET114" s="1051"/>
      <c r="EU114" s="1051"/>
      <c r="EV114" s="1051"/>
      <c r="EW114" s="1051"/>
      <c r="EX114" s="1051"/>
      <c r="EY114" s="1051"/>
      <c r="EZ114" s="1051"/>
      <c r="FA114" s="1051"/>
      <c r="FB114" s="1051"/>
      <c r="FC114" s="1051"/>
      <c r="FD114" s="1051"/>
      <c r="FE114" s="1051"/>
      <c r="FF114" s="1051"/>
      <c r="FG114" s="1051"/>
      <c r="FH114" s="1051"/>
      <c r="FI114" s="1051"/>
      <c r="FJ114" s="1051"/>
      <c r="FK114" s="1051"/>
      <c r="FL114" s="1051"/>
      <c r="FM114" s="1051"/>
      <c r="FN114" s="1051"/>
      <c r="FO114" s="1051"/>
      <c r="FP114" s="1051"/>
      <c r="FQ114" s="1051"/>
      <c r="FR114" s="1051"/>
      <c r="FS114" s="1051"/>
      <c r="FT114" s="1051"/>
      <c r="FU114" s="1051"/>
      <c r="FV114" s="1051"/>
      <c r="FW114" s="1051"/>
      <c r="FX114" s="1051"/>
      <c r="FY114" s="1051"/>
      <c r="FZ114" s="1051"/>
      <c r="GA114" s="1051"/>
      <c r="GB114" s="1051"/>
      <c r="GC114" s="1051"/>
      <c r="GD114" s="1051"/>
      <c r="GE114" s="1051"/>
      <c r="GF114" s="1051"/>
      <c r="GG114" s="1051"/>
      <c r="GH114" s="1051"/>
      <c r="GI114" s="1051"/>
      <c r="GJ114" s="1051"/>
      <c r="GK114" s="1051"/>
      <c r="GL114" s="1051"/>
      <c r="GM114" s="1051"/>
      <c r="GN114" s="1051"/>
      <c r="GO114" s="1051"/>
      <c r="GP114" s="1051"/>
      <c r="GQ114" s="1051"/>
      <c r="GR114" s="1051"/>
      <c r="GS114" s="1051"/>
      <c r="GT114" s="1051"/>
      <c r="GU114" s="1051"/>
      <c r="GV114" s="1051"/>
      <c r="GW114" s="1051"/>
      <c r="GX114" s="1051"/>
      <c r="GY114" s="1051"/>
      <c r="GZ114" s="1051"/>
      <c r="HA114" s="1051"/>
      <c r="HB114" s="1051"/>
      <c r="HC114" s="1051"/>
      <c r="HD114" s="1051"/>
      <c r="HE114" s="1051"/>
      <c r="HF114" s="1051"/>
      <c r="HG114" s="1051"/>
      <c r="HH114" s="1051"/>
      <c r="HI114" s="1051"/>
      <c r="HJ114" s="1051"/>
      <c r="HK114" s="1051"/>
      <c r="HL114" s="1051"/>
      <c r="HM114" s="1051"/>
      <c r="HN114" s="1051"/>
      <c r="HO114" s="1051"/>
      <c r="HP114" s="1051"/>
      <c r="HQ114" s="1051"/>
      <c r="HR114" s="1051"/>
      <c r="HS114" s="1051"/>
      <c r="HT114" s="1051"/>
      <c r="HU114" s="1051"/>
      <c r="HV114" s="1051"/>
      <c r="HW114" s="1051"/>
      <c r="HX114" s="1051"/>
      <c r="HY114" s="1051"/>
      <c r="HZ114" s="1051"/>
      <c r="IA114" s="1051"/>
      <c r="IB114" s="1051"/>
      <c r="IC114" s="1051"/>
      <c r="ID114" s="1051"/>
      <c r="IE114" s="1051"/>
      <c r="IF114" s="1051"/>
      <c r="IG114" s="1051"/>
      <c r="IH114" s="1051"/>
      <c r="II114" s="1051"/>
      <c r="IJ114" s="1051"/>
      <c r="IK114" s="1051"/>
      <c r="IL114" s="1051"/>
      <c r="IM114" s="1051"/>
      <c r="IN114" s="1051"/>
      <c r="IO114" s="1051"/>
      <c r="IP114" s="1051"/>
      <c r="IQ114" s="1051"/>
      <c r="IR114" s="1051"/>
      <c r="IS114" s="1051"/>
      <c r="IT114" s="1051"/>
      <c r="IU114" s="1051"/>
      <c r="IV114" s="1051"/>
    </row>
    <row r="115" spans="1:256" x14ac:dyDescent="0.2">
      <c r="A115" s="1548" t="s">
        <v>51</v>
      </c>
      <c r="B115" s="1559"/>
      <c r="C115" s="1043">
        <f>SUM(C114)</f>
        <v>0</v>
      </c>
      <c r="D115" s="1043">
        <f>SUM(D114)</f>
        <v>0</v>
      </c>
      <c r="E115" s="1043">
        <f>SUM(E114)</f>
        <v>86995</v>
      </c>
      <c r="F115" s="1045" t="s">
        <v>446</v>
      </c>
      <c r="G115" s="1051"/>
      <c r="H115" s="1051"/>
      <c r="I115" s="1051"/>
      <c r="J115" s="1051"/>
      <c r="K115" s="1051"/>
      <c r="L115" s="1051"/>
      <c r="M115" s="1051"/>
      <c r="N115" s="1051"/>
      <c r="O115" s="1051"/>
      <c r="P115" s="1051"/>
      <c r="Q115" s="1051"/>
      <c r="R115" s="1051"/>
      <c r="S115" s="1051"/>
      <c r="T115" s="1051"/>
      <c r="U115" s="1051"/>
      <c r="V115" s="1051"/>
      <c r="W115" s="1051"/>
      <c r="X115" s="1051"/>
      <c r="Y115" s="1051"/>
      <c r="Z115" s="1051"/>
      <c r="AA115" s="1051"/>
      <c r="AB115" s="1051"/>
      <c r="AC115" s="1051"/>
      <c r="AD115" s="1051"/>
      <c r="AE115" s="1051"/>
      <c r="AF115" s="1051"/>
      <c r="AG115" s="1051"/>
      <c r="AH115" s="1051"/>
      <c r="AI115" s="1051"/>
      <c r="AJ115" s="1051"/>
      <c r="AK115" s="1051"/>
      <c r="AL115" s="1051"/>
      <c r="AM115" s="1051"/>
      <c r="AN115" s="1051"/>
      <c r="AO115" s="1051"/>
      <c r="AP115" s="1051"/>
      <c r="AQ115" s="1051"/>
      <c r="AR115" s="1051"/>
      <c r="AS115" s="1051"/>
      <c r="AT115" s="1051"/>
      <c r="AU115" s="1051"/>
      <c r="AV115" s="1051"/>
      <c r="AW115" s="1051"/>
      <c r="AX115" s="1051"/>
      <c r="AY115" s="1051"/>
      <c r="AZ115" s="1051"/>
      <c r="BA115" s="1051"/>
      <c r="BB115" s="1051"/>
      <c r="BC115" s="1051"/>
      <c r="BD115" s="1051"/>
      <c r="BE115" s="1051"/>
      <c r="BF115" s="1051"/>
      <c r="BG115" s="1051"/>
      <c r="BH115" s="1051"/>
      <c r="BI115" s="1051"/>
      <c r="BJ115" s="1051"/>
      <c r="BK115" s="1051"/>
      <c r="BL115" s="1051"/>
      <c r="BM115" s="1051"/>
      <c r="BN115" s="1051"/>
      <c r="BO115" s="1051"/>
      <c r="BP115" s="1051"/>
      <c r="BQ115" s="1051"/>
      <c r="BR115" s="1051"/>
      <c r="BS115" s="1051"/>
      <c r="BT115" s="1051"/>
      <c r="BU115" s="1051"/>
      <c r="BV115" s="1051"/>
      <c r="BW115" s="1051"/>
      <c r="BX115" s="1051"/>
      <c r="BY115" s="1051"/>
      <c r="BZ115" s="1051"/>
      <c r="CA115" s="1051"/>
      <c r="CB115" s="1051"/>
      <c r="CC115" s="1051"/>
      <c r="CD115" s="1051"/>
      <c r="CE115" s="1051"/>
      <c r="CF115" s="1051"/>
      <c r="CG115" s="1051"/>
      <c r="CH115" s="1051"/>
      <c r="CI115" s="1051"/>
      <c r="CJ115" s="1051"/>
      <c r="CK115" s="1051"/>
      <c r="CL115" s="1051"/>
      <c r="CM115" s="1051"/>
      <c r="CN115" s="1051"/>
      <c r="CO115" s="1051"/>
      <c r="CP115" s="1051"/>
      <c r="CQ115" s="1051"/>
      <c r="CR115" s="1051"/>
      <c r="CS115" s="1051"/>
      <c r="CT115" s="1051"/>
      <c r="CU115" s="1051"/>
      <c r="CV115" s="1051"/>
      <c r="CW115" s="1051"/>
      <c r="CX115" s="1051"/>
      <c r="CY115" s="1051"/>
      <c r="CZ115" s="1051"/>
      <c r="DA115" s="1051"/>
      <c r="DB115" s="1051"/>
      <c r="DC115" s="1051"/>
      <c r="DD115" s="1051"/>
      <c r="DE115" s="1051"/>
      <c r="DF115" s="1051"/>
      <c r="DG115" s="1051"/>
      <c r="DH115" s="1051"/>
      <c r="DI115" s="1051"/>
      <c r="DJ115" s="1051"/>
      <c r="DK115" s="1051"/>
      <c r="DL115" s="1051"/>
      <c r="DM115" s="1051"/>
      <c r="DN115" s="1051"/>
      <c r="DO115" s="1051"/>
      <c r="DP115" s="1051"/>
      <c r="DQ115" s="1051"/>
      <c r="DR115" s="1051"/>
      <c r="DS115" s="1051"/>
      <c r="DT115" s="1051"/>
      <c r="DU115" s="1051"/>
      <c r="DV115" s="1051"/>
      <c r="DW115" s="1051"/>
      <c r="DX115" s="1051"/>
      <c r="DY115" s="1051"/>
      <c r="DZ115" s="1051"/>
      <c r="EA115" s="1051"/>
      <c r="EB115" s="1051"/>
      <c r="EC115" s="1051"/>
      <c r="ED115" s="1051"/>
      <c r="EE115" s="1051"/>
      <c r="EF115" s="1051"/>
      <c r="EG115" s="1051"/>
      <c r="EH115" s="1051"/>
      <c r="EI115" s="1051"/>
      <c r="EJ115" s="1051"/>
      <c r="EK115" s="1051"/>
      <c r="EL115" s="1051"/>
      <c r="EM115" s="1051"/>
      <c r="EN115" s="1051"/>
      <c r="EO115" s="1051"/>
      <c r="EP115" s="1051"/>
      <c r="EQ115" s="1051"/>
      <c r="ER115" s="1051"/>
      <c r="ES115" s="1051"/>
      <c r="ET115" s="1051"/>
      <c r="EU115" s="1051"/>
      <c r="EV115" s="1051"/>
      <c r="EW115" s="1051"/>
      <c r="EX115" s="1051"/>
      <c r="EY115" s="1051"/>
      <c r="EZ115" s="1051"/>
      <c r="FA115" s="1051"/>
      <c r="FB115" s="1051"/>
      <c r="FC115" s="1051"/>
      <c r="FD115" s="1051"/>
      <c r="FE115" s="1051"/>
      <c r="FF115" s="1051"/>
      <c r="FG115" s="1051"/>
      <c r="FH115" s="1051"/>
      <c r="FI115" s="1051"/>
      <c r="FJ115" s="1051"/>
      <c r="FK115" s="1051"/>
      <c r="FL115" s="1051"/>
      <c r="FM115" s="1051"/>
      <c r="FN115" s="1051"/>
      <c r="FO115" s="1051"/>
      <c r="FP115" s="1051"/>
      <c r="FQ115" s="1051"/>
      <c r="FR115" s="1051"/>
      <c r="FS115" s="1051"/>
      <c r="FT115" s="1051"/>
      <c r="FU115" s="1051"/>
      <c r="FV115" s="1051"/>
      <c r="FW115" s="1051"/>
      <c r="FX115" s="1051"/>
      <c r="FY115" s="1051"/>
      <c r="FZ115" s="1051"/>
      <c r="GA115" s="1051"/>
      <c r="GB115" s="1051"/>
      <c r="GC115" s="1051"/>
      <c r="GD115" s="1051"/>
      <c r="GE115" s="1051"/>
      <c r="GF115" s="1051"/>
      <c r="GG115" s="1051"/>
      <c r="GH115" s="1051"/>
      <c r="GI115" s="1051"/>
      <c r="GJ115" s="1051"/>
      <c r="GK115" s="1051"/>
      <c r="GL115" s="1051"/>
      <c r="GM115" s="1051"/>
      <c r="GN115" s="1051"/>
      <c r="GO115" s="1051"/>
      <c r="GP115" s="1051"/>
      <c r="GQ115" s="1051"/>
      <c r="GR115" s="1051"/>
      <c r="GS115" s="1051"/>
      <c r="GT115" s="1051"/>
      <c r="GU115" s="1051"/>
      <c r="GV115" s="1051"/>
      <c r="GW115" s="1051"/>
      <c r="GX115" s="1051"/>
      <c r="GY115" s="1051"/>
      <c r="GZ115" s="1051"/>
      <c r="HA115" s="1051"/>
      <c r="HB115" s="1051"/>
      <c r="HC115" s="1051"/>
      <c r="HD115" s="1051"/>
      <c r="HE115" s="1051"/>
      <c r="HF115" s="1051"/>
      <c r="HG115" s="1051"/>
      <c r="HH115" s="1051"/>
      <c r="HI115" s="1051"/>
      <c r="HJ115" s="1051"/>
      <c r="HK115" s="1051"/>
      <c r="HL115" s="1051"/>
      <c r="HM115" s="1051"/>
      <c r="HN115" s="1051"/>
      <c r="HO115" s="1051"/>
      <c r="HP115" s="1051"/>
      <c r="HQ115" s="1051"/>
      <c r="HR115" s="1051"/>
      <c r="HS115" s="1051"/>
      <c r="HT115" s="1051"/>
      <c r="HU115" s="1051"/>
      <c r="HV115" s="1051"/>
      <c r="HW115" s="1051"/>
      <c r="HX115" s="1051"/>
      <c r="HY115" s="1051"/>
      <c r="HZ115" s="1051"/>
      <c r="IA115" s="1051"/>
      <c r="IB115" s="1051"/>
      <c r="IC115" s="1051"/>
      <c r="ID115" s="1051"/>
      <c r="IE115" s="1051"/>
      <c r="IF115" s="1051"/>
      <c r="IG115" s="1051"/>
      <c r="IH115" s="1051"/>
      <c r="II115" s="1051"/>
      <c r="IJ115" s="1051"/>
      <c r="IK115" s="1051"/>
      <c r="IL115" s="1051"/>
      <c r="IM115" s="1051"/>
      <c r="IN115" s="1051"/>
      <c r="IO115" s="1051"/>
      <c r="IP115" s="1051"/>
      <c r="IQ115" s="1051"/>
      <c r="IR115" s="1051"/>
      <c r="IS115" s="1051"/>
      <c r="IT115" s="1051"/>
      <c r="IU115" s="1051"/>
      <c r="IV115" s="1051"/>
    </row>
    <row r="116" spans="1:256" x14ac:dyDescent="0.2">
      <c r="A116" s="1549" t="s">
        <v>74</v>
      </c>
      <c r="B116" s="1569"/>
      <c r="C116" s="1046">
        <f>C113+C115</f>
        <v>1033000</v>
      </c>
      <c r="D116" s="1046">
        <f>D113+D115</f>
        <v>6049555</v>
      </c>
      <c r="E116" s="1046">
        <f>E113+E115</f>
        <v>3807864</v>
      </c>
      <c r="F116" s="1047">
        <f t="shared" si="5"/>
        <v>0.62944530630765405</v>
      </c>
    </row>
    <row r="117" spans="1:256" x14ac:dyDescent="0.2">
      <c r="A117" s="1041" t="s">
        <v>520</v>
      </c>
      <c r="B117" s="1042" t="s">
        <v>762</v>
      </c>
      <c r="C117" s="1043">
        <v>2913000</v>
      </c>
      <c r="D117" s="1061">
        <v>8253617</v>
      </c>
      <c r="E117" s="1050">
        <v>4686278</v>
      </c>
      <c r="F117" s="1045">
        <f t="shared" si="5"/>
        <v>0.56778476636364394</v>
      </c>
    </row>
    <row r="118" spans="1:256" x14ac:dyDescent="0.2">
      <c r="A118" s="1041" t="s">
        <v>684</v>
      </c>
      <c r="B118" s="1042" t="s">
        <v>763</v>
      </c>
      <c r="C118" s="1043">
        <v>0</v>
      </c>
      <c r="D118" s="1043">
        <v>0</v>
      </c>
      <c r="E118" s="1050">
        <v>44075</v>
      </c>
      <c r="F118" s="1045" t="s">
        <v>446</v>
      </c>
    </row>
    <row r="119" spans="1:256" x14ac:dyDescent="0.2">
      <c r="A119" s="1564" t="s">
        <v>166</v>
      </c>
      <c r="B119" s="1559"/>
      <c r="C119" s="1043">
        <f>SUM(C117:C118)</f>
        <v>2913000</v>
      </c>
      <c r="D119" s="1043">
        <f>SUM(D117:D118)</f>
        <v>8253617</v>
      </c>
      <c r="E119" s="1043">
        <f>SUM(E117:E118)</f>
        <v>4730353</v>
      </c>
      <c r="F119" s="1045">
        <f t="shared" si="5"/>
        <v>0.57312484938421548</v>
      </c>
      <c r="G119" s="1051"/>
      <c r="H119" s="1051"/>
      <c r="I119" s="1051"/>
      <c r="J119" s="1051"/>
      <c r="K119" s="1051"/>
      <c r="L119" s="1051"/>
      <c r="M119" s="1051"/>
      <c r="N119" s="1051"/>
      <c r="O119" s="1051"/>
      <c r="P119" s="1051"/>
      <c r="Q119" s="1051"/>
      <c r="R119" s="1051"/>
      <c r="S119" s="1051"/>
      <c r="T119" s="1051"/>
      <c r="U119" s="1051"/>
      <c r="V119" s="1051"/>
      <c r="W119" s="1051"/>
      <c r="X119" s="1051"/>
      <c r="Y119" s="1051"/>
      <c r="Z119" s="1051"/>
      <c r="AA119" s="1051"/>
      <c r="AB119" s="1051"/>
      <c r="AC119" s="1051"/>
      <c r="AD119" s="1051"/>
      <c r="AE119" s="1051"/>
      <c r="AF119" s="1051"/>
      <c r="AG119" s="1051"/>
      <c r="AH119" s="1051"/>
      <c r="AI119" s="1051"/>
      <c r="AJ119" s="1051"/>
      <c r="AK119" s="1051"/>
      <c r="AL119" s="1051"/>
      <c r="AM119" s="1051"/>
      <c r="AN119" s="1051"/>
      <c r="AO119" s="1051"/>
      <c r="AP119" s="1051"/>
      <c r="AQ119" s="1051"/>
      <c r="AR119" s="1051"/>
      <c r="AS119" s="1051"/>
      <c r="AT119" s="1051"/>
      <c r="AU119" s="1051"/>
      <c r="AV119" s="1051"/>
      <c r="AW119" s="1051"/>
      <c r="AX119" s="1051"/>
      <c r="AY119" s="1051"/>
      <c r="AZ119" s="1051"/>
      <c r="BA119" s="1051"/>
      <c r="BB119" s="1051"/>
      <c r="BC119" s="1051"/>
      <c r="BD119" s="1051"/>
      <c r="BE119" s="1051"/>
      <c r="BF119" s="1051"/>
      <c r="BG119" s="1051"/>
      <c r="BH119" s="1051"/>
      <c r="BI119" s="1051"/>
      <c r="BJ119" s="1051"/>
      <c r="BK119" s="1051"/>
      <c r="BL119" s="1051"/>
      <c r="BM119" s="1051"/>
      <c r="BN119" s="1051"/>
      <c r="BO119" s="1051"/>
      <c r="BP119" s="1051"/>
      <c r="BQ119" s="1051"/>
      <c r="BR119" s="1051"/>
      <c r="BS119" s="1051"/>
      <c r="BT119" s="1051"/>
      <c r="BU119" s="1051"/>
      <c r="BV119" s="1051"/>
      <c r="BW119" s="1051"/>
      <c r="BX119" s="1051"/>
      <c r="BY119" s="1051"/>
      <c r="BZ119" s="1051"/>
      <c r="CA119" s="1051"/>
      <c r="CB119" s="1051"/>
      <c r="CC119" s="1051"/>
      <c r="CD119" s="1051"/>
      <c r="CE119" s="1051"/>
      <c r="CF119" s="1051"/>
      <c r="CG119" s="1051"/>
      <c r="CH119" s="1051"/>
      <c r="CI119" s="1051"/>
      <c r="CJ119" s="1051"/>
      <c r="CK119" s="1051"/>
      <c r="CL119" s="1051"/>
      <c r="CM119" s="1051"/>
      <c r="CN119" s="1051"/>
      <c r="CO119" s="1051"/>
      <c r="CP119" s="1051"/>
      <c r="CQ119" s="1051"/>
      <c r="CR119" s="1051"/>
      <c r="CS119" s="1051"/>
      <c r="CT119" s="1051"/>
      <c r="CU119" s="1051"/>
      <c r="CV119" s="1051"/>
      <c r="CW119" s="1051"/>
      <c r="CX119" s="1051"/>
      <c r="CY119" s="1051"/>
      <c r="CZ119" s="1051"/>
      <c r="DA119" s="1051"/>
      <c r="DB119" s="1051"/>
      <c r="DC119" s="1051"/>
      <c r="DD119" s="1051"/>
      <c r="DE119" s="1051"/>
      <c r="DF119" s="1051"/>
      <c r="DG119" s="1051"/>
      <c r="DH119" s="1051"/>
      <c r="DI119" s="1051"/>
      <c r="DJ119" s="1051"/>
      <c r="DK119" s="1051"/>
      <c r="DL119" s="1051"/>
      <c r="DM119" s="1051"/>
      <c r="DN119" s="1051"/>
      <c r="DO119" s="1051"/>
      <c r="DP119" s="1051"/>
      <c r="DQ119" s="1051"/>
      <c r="DR119" s="1051"/>
      <c r="DS119" s="1051"/>
      <c r="DT119" s="1051"/>
      <c r="DU119" s="1051"/>
      <c r="DV119" s="1051"/>
      <c r="DW119" s="1051"/>
      <c r="DX119" s="1051"/>
      <c r="DY119" s="1051"/>
      <c r="DZ119" s="1051"/>
      <c r="EA119" s="1051"/>
      <c r="EB119" s="1051"/>
      <c r="EC119" s="1051"/>
      <c r="ED119" s="1051"/>
      <c r="EE119" s="1051"/>
      <c r="EF119" s="1051"/>
      <c r="EG119" s="1051"/>
      <c r="EH119" s="1051"/>
      <c r="EI119" s="1051"/>
      <c r="EJ119" s="1051"/>
      <c r="EK119" s="1051"/>
      <c r="EL119" s="1051"/>
      <c r="EM119" s="1051"/>
      <c r="EN119" s="1051"/>
      <c r="EO119" s="1051"/>
      <c r="EP119" s="1051"/>
      <c r="EQ119" s="1051"/>
      <c r="ER119" s="1051"/>
      <c r="ES119" s="1051"/>
      <c r="ET119" s="1051"/>
      <c r="EU119" s="1051"/>
      <c r="EV119" s="1051"/>
      <c r="EW119" s="1051"/>
      <c r="EX119" s="1051"/>
      <c r="EY119" s="1051"/>
      <c r="EZ119" s="1051"/>
      <c r="FA119" s="1051"/>
      <c r="FB119" s="1051"/>
      <c r="FC119" s="1051"/>
      <c r="FD119" s="1051"/>
      <c r="FE119" s="1051"/>
      <c r="FF119" s="1051"/>
      <c r="FG119" s="1051"/>
      <c r="FH119" s="1051"/>
      <c r="FI119" s="1051"/>
      <c r="FJ119" s="1051"/>
      <c r="FK119" s="1051"/>
      <c r="FL119" s="1051"/>
      <c r="FM119" s="1051"/>
      <c r="FN119" s="1051"/>
      <c r="FO119" s="1051"/>
      <c r="FP119" s="1051"/>
      <c r="FQ119" s="1051"/>
      <c r="FR119" s="1051"/>
      <c r="FS119" s="1051"/>
      <c r="FT119" s="1051"/>
      <c r="FU119" s="1051"/>
      <c r="FV119" s="1051"/>
      <c r="FW119" s="1051"/>
      <c r="FX119" s="1051"/>
      <c r="FY119" s="1051"/>
      <c r="FZ119" s="1051"/>
      <c r="GA119" s="1051"/>
      <c r="GB119" s="1051"/>
      <c r="GC119" s="1051"/>
      <c r="GD119" s="1051"/>
      <c r="GE119" s="1051"/>
      <c r="GF119" s="1051"/>
      <c r="GG119" s="1051"/>
      <c r="GH119" s="1051"/>
      <c r="GI119" s="1051"/>
      <c r="GJ119" s="1051"/>
      <c r="GK119" s="1051"/>
      <c r="GL119" s="1051"/>
      <c r="GM119" s="1051"/>
      <c r="GN119" s="1051"/>
      <c r="GO119" s="1051"/>
      <c r="GP119" s="1051"/>
      <c r="GQ119" s="1051"/>
      <c r="GR119" s="1051"/>
      <c r="GS119" s="1051"/>
      <c r="GT119" s="1051"/>
      <c r="GU119" s="1051"/>
      <c r="GV119" s="1051"/>
      <c r="GW119" s="1051"/>
      <c r="GX119" s="1051"/>
      <c r="GY119" s="1051"/>
      <c r="GZ119" s="1051"/>
      <c r="HA119" s="1051"/>
      <c r="HB119" s="1051"/>
      <c r="HC119" s="1051"/>
      <c r="HD119" s="1051"/>
      <c r="HE119" s="1051"/>
      <c r="HF119" s="1051"/>
      <c r="HG119" s="1051"/>
      <c r="HH119" s="1051"/>
      <c r="HI119" s="1051"/>
      <c r="HJ119" s="1051"/>
      <c r="HK119" s="1051"/>
      <c r="HL119" s="1051"/>
      <c r="HM119" s="1051"/>
      <c r="HN119" s="1051"/>
      <c r="HO119" s="1051"/>
      <c r="HP119" s="1051"/>
      <c r="HQ119" s="1051"/>
      <c r="HR119" s="1051"/>
      <c r="HS119" s="1051"/>
      <c r="HT119" s="1051"/>
      <c r="HU119" s="1051"/>
      <c r="HV119" s="1051"/>
      <c r="HW119" s="1051"/>
      <c r="HX119" s="1051"/>
      <c r="HY119" s="1051"/>
      <c r="HZ119" s="1051"/>
      <c r="IA119" s="1051"/>
      <c r="IB119" s="1051"/>
      <c r="IC119" s="1051"/>
      <c r="ID119" s="1051"/>
      <c r="IE119" s="1051"/>
      <c r="IF119" s="1051"/>
      <c r="IG119" s="1051"/>
      <c r="IH119" s="1051"/>
      <c r="II119" s="1051"/>
      <c r="IJ119" s="1051"/>
      <c r="IK119" s="1051"/>
      <c r="IL119" s="1051"/>
      <c r="IM119" s="1051"/>
      <c r="IN119" s="1051"/>
      <c r="IO119" s="1051"/>
      <c r="IP119" s="1051"/>
      <c r="IQ119" s="1051"/>
      <c r="IR119" s="1051"/>
      <c r="IS119" s="1051"/>
      <c r="IT119" s="1051"/>
      <c r="IU119" s="1051"/>
      <c r="IV119" s="1051"/>
    </row>
    <row r="120" spans="1:256" x14ac:dyDescent="0.2">
      <c r="A120" s="1041" t="s">
        <v>694</v>
      </c>
      <c r="B120" s="1042" t="s">
        <v>764</v>
      </c>
      <c r="C120" s="1043">
        <v>255000</v>
      </c>
      <c r="D120" s="1061">
        <v>722304</v>
      </c>
      <c r="E120" s="1050">
        <v>447253</v>
      </c>
      <c r="F120" s="1045">
        <f t="shared" si="5"/>
        <v>0.6192032717526138</v>
      </c>
    </row>
    <row r="121" spans="1:256" x14ac:dyDescent="0.2">
      <c r="A121" s="1548" t="s">
        <v>94</v>
      </c>
      <c r="B121" s="1559"/>
      <c r="C121" s="1043">
        <f>SUM(C120)</f>
        <v>255000</v>
      </c>
      <c r="D121" s="1043">
        <f>SUM(D120)</f>
        <v>722304</v>
      </c>
      <c r="E121" s="1043">
        <f>SUM(E120)</f>
        <v>447253</v>
      </c>
      <c r="F121" s="1045">
        <f t="shared" si="5"/>
        <v>0.6192032717526138</v>
      </c>
      <c r="G121" s="1051"/>
      <c r="H121" s="1051"/>
      <c r="I121" s="1051"/>
      <c r="J121" s="1051"/>
      <c r="K121" s="1051"/>
      <c r="L121" s="1051"/>
      <c r="M121" s="1051"/>
      <c r="N121" s="1051"/>
      <c r="O121" s="1051"/>
      <c r="P121" s="1051"/>
      <c r="Q121" s="1051"/>
      <c r="R121" s="1051"/>
      <c r="S121" s="1051"/>
      <c r="T121" s="1051"/>
      <c r="U121" s="1051"/>
      <c r="V121" s="1051"/>
      <c r="W121" s="1051"/>
      <c r="X121" s="1051"/>
      <c r="Y121" s="1051"/>
      <c r="Z121" s="1051"/>
      <c r="AA121" s="1051"/>
      <c r="AB121" s="1051"/>
      <c r="AC121" s="1051"/>
      <c r="AD121" s="1051"/>
      <c r="AE121" s="1051"/>
      <c r="AF121" s="1051"/>
      <c r="AG121" s="1051"/>
      <c r="AH121" s="1051"/>
      <c r="AI121" s="1051"/>
      <c r="AJ121" s="1051"/>
      <c r="AK121" s="1051"/>
      <c r="AL121" s="1051"/>
      <c r="AM121" s="1051"/>
      <c r="AN121" s="1051"/>
      <c r="AO121" s="1051"/>
      <c r="AP121" s="1051"/>
      <c r="AQ121" s="1051"/>
      <c r="AR121" s="1051"/>
      <c r="AS121" s="1051"/>
      <c r="AT121" s="1051"/>
      <c r="AU121" s="1051"/>
      <c r="AV121" s="1051"/>
      <c r="AW121" s="1051"/>
      <c r="AX121" s="1051"/>
      <c r="AY121" s="1051"/>
      <c r="AZ121" s="1051"/>
      <c r="BA121" s="1051"/>
      <c r="BB121" s="1051"/>
      <c r="BC121" s="1051"/>
      <c r="BD121" s="1051"/>
      <c r="BE121" s="1051"/>
      <c r="BF121" s="1051"/>
      <c r="BG121" s="1051"/>
      <c r="BH121" s="1051"/>
      <c r="BI121" s="1051"/>
      <c r="BJ121" s="1051"/>
      <c r="BK121" s="1051"/>
      <c r="BL121" s="1051"/>
      <c r="BM121" s="1051"/>
      <c r="BN121" s="1051"/>
      <c r="BO121" s="1051"/>
      <c r="BP121" s="1051"/>
      <c r="BQ121" s="1051"/>
      <c r="BR121" s="1051"/>
      <c r="BS121" s="1051"/>
      <c r="BT121" s="1051"/>
      <c r="BU121" s="1051"/>
      <c r="BV121" s="1051"/>
      <c r="BW121" s="1051"/>
      <c r="BX121" s="1051"/>
      <c r="BY121" s="1051"/>
      <c r="BZ121" s="1051"/>
      <c r="CA121" s="1051"/>
      <c r="CB121" s="1051"/>
      <c r="CC121" s="1051"/>
      <c r="CD121" s="1051"/>
      <c r="CE121" s="1051"/>
      <c r="CF121" s="1051"/>
      <c r="CG121" s="1051"/>
      <c r="CH121" s="1051"/>
      <c r="CI121" s="1051"/>
      <c r="CJ121" s="1051"/>
      <c r="CK121" s="1051"/>
      <c r="CL121" s="1051"/>
      <c r="CM121" s="1051"/>
      <c r="CN121" s="1051"/>
      <c r="CO121" s="1051"/>
      <c r="CP121" s="1051"/>
      <c r="CQ121" s="1051"/>
      <c r="CR121" s="1051"/>
      <c r="CS121" s="1051"/>
      <c r="CT121" s="1051"/>
      <c r="CU121" s="1051"/>
      <c r="CV121" s="1051"/>
      <c r="CW121" s="1051"/>
      <c r="CX121" s="1051"/>
      <c r="CY121" s="1051"/>
      <c r="CZ121" s="1051"/>
      <c r="DA121" s="1051"/>
      <c r="DB121" s="1051"/>
      <c r="DC121" s="1051"/>
      <c r="DD121" s="1051"/>
      <c r="DE121" s="1051"/>
      <c r="DF121" s="1051"/>
      <c r="DG121" s="1051"/>
      <c r="DH121" s="1051"/>
      <c r="DI121" s="1051"/>
      <c r="DJ121" s="1051"/>
      <c r="DK121" s="1051"/>
      <c r="DL121" s="1051"/>
      <c r="DM121" s="1051"/>
      <c r="DN121" s="1051"/>
      <c r="DO121" s="1051"/>
      <c r="DP121" s="1051"/>
      <c r="DQ121" s="1051"/>
      <c r="DR121" s="1051"/>
      <c r="DS121" s="1051"/>
      <c r="DT121" s="1051"/>
      <c r="DU121" s="1051"/>
      <c r="DV121" s="1051"/>
      <c r="DW121" s="1051"/>
      <c r="DX121" s="1051"/>
      <c r="DY121" s="1051"/>
      <c r="DZ121" s="1051"/>
      <c r="EA121" s="1051"/>
      <c r="EB121" s="1051"/>
      <c r="EC121" s="1051"/>
      <c r="ED121" s="1051"/>
      <c r="EE121" s="1051"/>
      <c r="EF121" s="1051"/>
      <c r="EG121" s="1051"/>
      <c r="EH121" s="1051"/>
      <c r="EI121" s="1051"/>
      <c r="EJ121" s="1051"/>
      <c r="EK121" s="1051"/>
      <c r="EL121" s="1051"/>
      <c r="EM121" s="1051"/>
      <c r="EN121" s="1051"/>
      <c r="EO121" s="1051"/>
      <c r="EP121" s="1051"/>
      <c r="EQ121" s="1051"/>
      <c r="ER121" s="1051"/>
      <c r="ES121" s="1051"/>
      <c r="ET121" s="1051"/>
      <c r="EU121" s="1051"/>
      <c r="EV121" s="1051"/>
      <c r="EW121" s="1051"/>
      <c r="EX121" s="1051"/>
      <c r="EY121" s="1051"/>
      <c r="EZ121" s="1051"/>
      <c r="FA121" s="1051"/>
      <c r="FB121" s="1051"/>
      <c r="FC121" s="1051"/>
      <c r="FD121" s="1051"/>
      <c r="FE121" s="1051"/>
      <c r="FF121" s="1051"/>
      <c r="FG121" s="1051"/>
      <c r="FH121" s="1051"/>
      <c r="FI121" s="1051"/>
      <c r="FJ121" s="1051"/>
      <c r="FK121" s="1051"/>
      <c r="FL121" s="1051"/>
      <c r="FM121" s="1051"/>
      <c r="FN121" s="1051"/>
      <c r="FO121" s="1051"/>
      <c r="FP121" s="1051"/>
      <c r="FQ121" s="1051"/>
      <c r="FR121" s="1051"/>
      <c r="FS121" s="1051"/>
      <c r="FT121" s="1051"/>
      <c r="FU121" s="1051"/>
      <c r="FV121" s="1051"/>
      <c r="FW121" s="1051"/>
      <c r="FX121" s="1051"/>
      <c r="FY121" s="1051"/>
      <c r="FZ121" s="1051"/>
      <c r="GA121" s="1051"/>
      <c r="GB121" s="1051"/>
      <c r="GC121" s="1051"/>
      <c r="GD121" s="1051"/>
      <c r="GE121" s="1051"/>
      <c r="GF121" s="1051"/>
      <c r="GG121" s="1051"/>
      <c r="GH121" s="1051"/>
      <c r="GI121" s="1051"/>
      <c r="GJ121" s="1051"/>
      <c r="GK121" s="1051"/>
      <c r="GL121" s="1051"/>
      <c r="GM121" s="1051"/>
      <c r="GN121" s="1051"/>
      <c r="GO121" s="1051"/>
      <c r="GP121" s="1051"/>
      <c r="GQ121" s="1051"/>
      <c r="GR121" s="1051"/>
      <c r="GS121" s="1051"/>
      <c r="GT121" s="1051"/>
      <c r="GU121" s="1051"/>
      <c r="GV121" s="1051"/>
      <c r="GW121" s="1051"/>
      <c r="GX121" s="1051"/>
      <c r="GY121" s="1051"/>
      <c r="GZ121" s="1051"/>
      <c r="HA121" s="1051"/>
      <c r="HB121" s="1051"/>
      <c r="HC121" s="1051"/>
      <c r="HD121" s="1051"/>
      <c r="HE121" s="1051"/>
      <c r="HF121" s="1051"/>
      <c r="HG121" s="1051"/>
      <c r="HH121" s="1051"/>
      <c r="HI121" s="1051"/>
      <c r="HJ121" s="1051"/>
      <c r="HK121" s="1051"/>
      <c r="HL121" s="1051"/>
      <c r="HM121" s="1051"/>
      <c r="HN121" s="1051"/>
      <c r="HO121" s="1051"/>
      <c r="HP121" s="1051"/>
      <c r="HQ121" s="1051"/>
      <c r="HR121" s="1051"/>
      <c r="HS121" s="1051"/>
      <c r="HT121" s="1051"/>
      <c r="HU121" s="1051"/>
      <c r="HV121" s="1051"/>
      <c r="HW121" s="1051"/>
      <c r="HX121" s="1051"/>
      <c r="HY121" s="1051"/>
      <c r="HZ121" s="1051"/>
      <c r="IA121" s="1051"/>
      <c r="IB121" s="1051"/>
      <c r="IC121" s="1051"/>
      <c r="ID121" s="1051"/>
      <c r="IE121" s="1051"/>
      <c r="IF121" s="1051"/>
      <c r="IG121" s="1051"/>
      <c r="IH121" s="1051"/>
      <c r="II121" s="1051"/>
      <c r="IJ121" s="1051"/>
      <c r="IK121" s="1051"/>
      <c r="IL121" s="1051"/>
      <c r="IM121" s="1051"/>
      <c r="IN121" s="1051"/>
      <c r="IO121" s="1051"/>
      <c r="IP121" s="1051"/>
      <c r="IQ121" s="1051"/>
      <c r="IR121" s="1051"/>
      <c r="IS121" s="1051"/>
      <c r="IT121" s="1051"/>
      <c r="IU121" s="1051"/>
      <c r="IV121" s="1051"/>
    </row>
    <row r="122" spans="1:256" x14ac:dyDescent="0.2">
      <c r="A122" s="1056" t="s">
        <v>706</v>
      </c>
      <c r="B122" s="1064" t="s">
        <v>707</v>
      </c>
      <c r="C122" s="1043">
        <v>0</v>
      </c>
      <c r="D122" s="1043">
        <v>210000</v>
      </c>
      <c r="E122" s="1043">
        <v>281940</v>
      </c>
      <c r="F122" s="1045">
        <f t="shared" si="5"/>
        <v>1.3425714285714285</v>
      </c>
      <c r="G122" s="1051"/>
      <c r="H122" s="1051"/>
      <c r="I122" s="1051"/>
      <c r="J122" s="1051"/>
      <c r="K122" s="1051"/>
      <c r="L122" s="1051"/>
      <c r="M122" s="1051"/>
      <c r="N122" s="1051"/>
      <c r="O122" s="1051"/>
      <c r="P122" s="1051"/>
      <c r="Q122" s="1051"/>
      <c r="R122" s="1051"/>
      <c r="S122" s="1051"/>
      <c r="T122" s="1051"/>
      <c r="U122" s="1051"/>
      <c r="V122" s="1051"/>
      <c r="W122" s="1051"/>
      <c r="X122" s="1051"/>
      <c r="Y122" s="1051"/>
      <c r="Z122" s="1051"/>
      <c r="AA122" s="1051"/>
      <c r="AB122" s="1051"/>
      <c r="AC122" s="1051"/>
      <c r="AD122" s="1051"/>
      <c r="AE122" s="1051"/>
      <c r="AF122" s="1051"/>
      <c r="AG122" s="1051"/>
      <c r="AH122" s="1051"/>
      <c r="AI122" s="1051"/>
      <c r="AJ122" s="1051"/>
      <c r="AK122" s="1051"/>
      <c r="AL122" s="1051"/>
      <c r="AM122" s="1051"/>
      <c r="AN122" s="1051"/>
      <c r="AO122" s="1051"/>
      <c r="AP122" s="1051"/>
      <c r="AQ122" s="1051"/>
      <c r="AR122" s="1051"/>
      <c r="AS122" s="1051"/>
      <c r="AT122" s="1051"/>
      <c r="AU122" s="1051"/>
      <c r="AV122" s="1051"/>
      <c r="AW122" s="1051"/>
      <c r="AX122" s="1051"/>
      <c r="AY122" s="1051"/>
      <c r="AZ122" s="1051"/>
      <c r="BA122" s="1051"/>
      <c r="BB122" s="1051"/>
      <c r="BC122" s="1051"/>
      <c r="BD122" s="1051"/>
      <c r="BE122" s="1051"/>
      <c r="BF122" s="1051"/>
      <c r="BG122" s="1051"/>
      <c r="BH122" s="1051"/>
      <c r="BI122" s="1051"/>
      <c r="BJ122" s="1051"/>
      <c r="BK122" s="1051"/>
      <c r="BL122" s="1051"/>
      <c r="BM122" s="1051"/>
      <c r="BN122" s="1051"/>
      <c r="BO122" s="1051"/>
      <c r="BP122" s="1051"/>
      <c r="BQ122" s="1051"/>
      <c r="BR122" s="1051"/>
      <c r="BS122" s="1051"/>
      <c r="BT122" s="1051"/>
      <c r="BU122" s="1051"/>
      <c r="BV122" s="1051"/>
      <c r="BW122" s="1051"/>
      <c r="BX122" s="1051"/>
      <c r="BY122" s="1051"/>
      <c r="BZ122" s="1051"/>
      <c r="CA122" s="1051"/>
      <c r="CB122" s="1051"/>
      <c r="CC122" s="1051"/>
      <c r="CD122" s="1051"/>
      <c r="CE122" s="1051"/>
      <c r="CF122" s="1051"/>
      <c r="CG122" s="1051"/>
      <c r="CH122" s="1051"/>
      <c r="CI122" s="1051"/>
      <c r="CJ122" s="1051"/>
      <c r="CK122" s="1051"/>
      <c r="CL122" s="1051"/>
      <c r="CM122" s="1051"/>
      <c r="CN122" s="1051"/>
      <c r="CO122" s="1051"/>
      <c r="CP122" s="1051"/>
      <c r="CQ122" s="1051"/>
      <c r="CR122" s="1051"/>
      <c r="CS122" s="1051"/>
      <c r="CT122" s="1051"/>
      <c r="CU122" s="1051"/>
      <c r="CV122" s="1051"/>
      <c r="CW122" s="1051"/>
      <c r="CX122" s="1051"/>
      <c r="CY122" s="1051"/>
      <c r="CZ122" s="1051"/>
      <c r="DA122" s="1051"/>
      <c r="DB122" s="1051"/>
      <c r="DC122" s="1051"/>
      <c r="DD122" s="1051"/>
      <c r="DE122" s="1051"/>
      <c r="DF122" s="1051"/>
      <c r="DG122" s="1051"/>
      <c r="DH122" s="1051"/>
      <c r="DI122" s="1051"/>
      <c r="DJ122" s="1051"/>
      <c r="DK122" s="1051"/>
      <c r="DL122" s="1051"/>
      <c r="DM122" s="1051"/>
      <c r="DN122" s="1051"/>
      <c r="DO122" s="1051"/>
      <c r="DP122" s="1051"/>
      <c r="DQ122" s="1051"/>
      <c r="DR122" s="1051"/>
      <c r="DS122" s="1051"/>
      <c r="DT122" s="1051"/>
      <c r="DU122" s="1051"/>
      <c r="DV122" s="1051"/>
      <c r="DW122" s="1051"/>
      <c r="DX122" s="1051"/>
      <c r="DY122" s="1051"/>
      <c r="DZ122" s="1051"/>
      <c r="EA122" s="1051"/>
      <c r="EB122" s="1051"/>
      <c r="EC122" s="1051"/>
      <c r="ED122" s="1051"/>
      <c r="EE122" s="1051"/>
      <c r="EF122" s="1051"/>
      <c r="EG122" s="1051"/>
      <c r="EH122" s="1051"/>
      <c r="EI122" s="1051"/>
      <c r="EJ122" s="1051"/>
      <c r="EK122" s="1051"/>
      <c r="EL122" s="1051"/>
      <c r="EM122" s="1051"/>
      <c r="EN122" s="1051"/>
      <c r="EO122" s="1051"/>
      <c r="EP122" s="1051"/>
      <c r="EQ122" s="1051"/>
      <c r="ER122" s="1051"/>
      <c r="ES122" s="1051"/>
      <c r="ET122" s="1051"/>
      <c r="EU122" s="1051"/>
      <c r="EV122" s="1051"/>
      <c r="EW122" s="1051"/>
      <c r="EX122" s="1051"/>
      <c r="EY122" s="1051"/>
      <c r="EZ122" s="1051"/>
      <c r="FA122" s="1051"/>
      <c r="FB122" s="1051"/>
      <c r="FC122" s="1051"/>
      <c r="FD122" s="1051"/>
      <c r="FE122" s="1051"/>
      <c r="FF122" s="1051"/>
      <c r="FG122" s="1051"/>
      <c r="FH122" s="1051"/>
      <c r="FI122" s="1051"/>
      <c r="FJ122" s="1051"/>
      <c r="FK122" s="1051"/>
      <c r="FL122" s="1051"/>
      <c r="FM122" s="1051"/>
      <c r="FN122" s="1051"/>
      <c r="FO122" s="1051"/>
      <c r="FP122" s="1051"/>
      <c r="FQ122" s="1051"/>
      <c r="FR122" s="1051"/>
      <c r="FS122" s="1051"/>
      <c r="FT122" s="1051"/>
      <c r="FU122" s="1051"/>
      <c r="FV122" s="1051"/>
      <c r="FW122" s="1051"/>
      <c r="FX122" s="1051"/>
      <c r="FY122" s="1051"/>
      <c r="FZ122" s="1051"/>
      <c r="GA122" s="1051"/>
      <c r="GB122" s="1051"/>
      <c r="GC122" s="1051"/>
      <c r="GD122" s="1051"/>
      <c r="GE122" s="1051"/>
      <c r="GF122" s="1051"/>
      <c r="GG122" s="1051"/>
      <c r="GH122" s="1051"/>
      <c r="GI122" s="1051"/>
      <c r="GJ122" s="1051"/>
      <c r="GK122" s="1051"/>
      <c r="GL122" s="1051"/>
      <c r="GM122" s="1051"/>
      <c r="GN122" s="1051"/>
      <c r="GO122" s="1051"/>
      <c r="GP122" s="1051"/>
      <c r="GQ122" s="1051"/>
      <c r="GR122" s="1051"/>
      <c r="GS122" s="1051"/>
      <c r="GT122" s="1051"/>
      <c r="GU122" s="1051"/>
      <c r="GV122" s="1051"/>
      <c r="GW122" s="1051"/>
      <c r="GX122" s="1051"/>
      <c r="GY122" s="1051"/>
      <c r="GZ122" s="1051"/>
      <c r="HA122" s="1051"/>
      <c r="HB122" s="1051"/>
      <c r="HC122" s="1051"/>
      <c r="HD122" s="1051"/>
      <c r="HE122" s="1051"/>
      <c r="HF122" s="1051"/>
      <c r="HG122" s="1051"/>
      <c r="HH122" s="1051"/>
      <c r="HI122" s="1051"/>
      <c r="HJ122" s="1051"/>
      <c r="HK122" s="1051"/>
      <c r="HL122" s="1051"/>
      <c r="HM122" s="1051"/>
      <c r="HN122" s="1051"/>
      <c r="HO122" s="1051"/>
      <c r="HP122" s="1051"/>
      <c r="HQ122" s="1051"/>
      <c r="HR122" s="1051"/>
      <c r="HS122" s="1051"/>
      <c r="HT122" s="1051"/>
      <c r="HU122" s="1051"/>
      <c r="HV122" s="1051"/>
      <c r="HW122" s="1051"/>
      <c r="HX122" s="1051"/>
      <c r="HY122" s="1051"/>
      <c r="HZ122" s="1051"/>
      <c r="IA122" s="1051"/>
      <c r="IB122" s="1051"/>
      <c r="IC122" s="1051"/>
      <c r="ID122" s="1051"/>
      <c r="IE122" s="1051"/>
      <c r="IF122" s="1051"/>
      <c r="IG122" s="1051"/>
      <c r="IH122" s="1051"/>
      <c r="II122" s="1051"/>
      <c r="IJ122" s="1051"/>
      <c r="IK122" s="1051"/>
      <c r="IL122" s="1051"/>
      <c r="IM122" s="1051"/>
      <c r="IN122" s="1051"/>
      <c r="IO122" s="1051"/>
      <c r="IP122" s="1051"/>
      <c r="IQ122" s="1051"/>
      <c r="IR122" s="1051"/>
      <c r="IS122" s="1051"/>
      <c r="IT122" s="1051"/>
      <c r="IU122" s="1051"/>
      <c r="IV122" s="1051"/>
    </row>
    <row r="123" spans="1:256" x14ac:dyDescent="0.2">
      <c r="A123" s="1056" t="s">
        <v>703</v>
      </c>
      <c r="B123" s="1064" t="s">
        <v>557</v>
      </c>
      <c r="C123" s="1043">
        <v>0</v>
      </c>
      <c r="D123" s="1043">
        <v>0</v>
      </c>
      <c r="E123" s="1043">
        <v>76127</v>
      </c>
      <c r="F123" s="1045" t="s">
        <v>446</v>
      </c>
      <c r="G123" s="1051"/>
      <c r="H123" s="1051"/>
      <c r="I123" s="1051"/>
      <c r="J123" s="1051"/>
      <c r="K123" s="1051"/>
      <c r="L123" s="1051"/>
      <c r="M123" s="1051"/>
      <c r="N123" s="1051"/>
      <c r="O123" s="1051"/>
      <c r="P123" s="1051"/>
      <c r="Q123" s="1051"/>
      <c r="R123" s="1051"/>
      <c r="S123" s="1051"/>
      <c r="T123" s="1051"/>
      <c r="U123" s="1051"/>
      <c r="V123" s="1051"/>
      <c r="W123" s="1051"/>
      <c r="X123" s="1051"/>
      <c r="Y123" s="1051"/>
      <c r="Z123" s="1051"/>
      <c r="AA123" s="1051"/>
      <c r="AB123" s="1051"/>
      <c r="AC123" s="1051"/>
      <c r="AD123" s="1051"/>
      <c r="AE123" s="1051"/>
      <c r="AF123" s="1051"/>
      <c r="AG123" s="1051"/>
      <c r="AH123" s="1051"/>
      <c r="AI123" s="1051"/>
      <c r="AJ123" s="1051"/>
      <c r="AK123" s="1051"/>
      <c r="AL123" s="1051"/>
      <c r="AM123" s="1051"/>
      <c r="AN123" s="1051"/>
      <c r="AO123" s="1051"/>
      <c r="AP123" s="1051"/>
      <c r="AQ123" s="1051"/>
      <c r="AR123" s="1051"/>
      <c r="AS123" s="1051"/>
      <c r="AT123" s="1051"/>
      <c r="AU123" s="1051"/>
      <c r="AV123" s="1051"/>
      <c r="AW123" s="1051"/>
      <c r="AX123" s="1051"/>
      <c r="AY123" s="1051"/>
      <c r="AZ123" s="1051"/>
      <c r="BA123" s="1051"/>
      <c r="BB123" s="1051"/>
      <c r="BC123" s="1051"/>
      <c r="BD123" s="1051"/>
      <c r="BE123" s="1051"/>
      <c r="BF123" s="1051"/>
      <c r="BG123" s="1051"/>
      <c r="BH123" s="1051"/>
      <c r="BI123" s="1051"/>
      <c r="BJ123" s="1051"/>
      <c r="BK123" s="1051"/>
      <c r="BL123" s="1051"/>
      <c r="BM123" s="1051"/>
      <c r="BN123" s="1051"/>
      <c r="BO123" s="1051"/>
      <c r="BP123" s="1051"/>
      <c r="BQ123" s="1051"/>
      <c r="BR123" s="1051"/>
      <c r="BS123" s="1051"/>
      <c r="BT123" s="1051"/>
      <c r="BU123" s="1051"/>
      <c r="BV123" s="1051"/>
      <c r="BW123" s="1051"/>
      <c r="BX123" s="1051"/>
      <c r="BY123" s="1051"/>
      <c r="BZ123" s="1051"/>
      <c r="CA123" s="1051"/>
      <c r="CB123" s="1051"/>
      <c r="CC123" s="1051"/>
      <c r="CD123" s="1051"/>
      <c r="CE123" s="1051"/>
      <c r="CF123" s="1051"/>
      <c r="CG123" s="1051"/>
      <c r="CH123" s="1051"/>
      <c r="CI123" s="1051"/>
      <c r="CJ123" s="1051"/>
      <c r="CK123" s="1051"/>
      <c r="CL123" s="1051"/>
      <c r="CM123" s="1051"/>
      <c r="CN123" s="1051"/>
      <c r="CO123" s="1051"/>
      <c r="CP123" s="1051"/>
      <c r="CQ123" s="1051"/>
      <c r="CR123" s="1051"/>
      <c r="CS123" s="1051"/>
      <c r="CT123" s="1051"/>
      <c r="CU123" s="1051"/>
      <c r="CV123" s="1051"/>
      <c r="CW123" s="1051"/>
      <c r="CX123" s="1051"/>
      <c r="CY123" s="1051"/>
      <c r="CZ123" s="1051"/>
      <c r="DA123" s="1051"/>
      <c r="DB123" s="1051"/>
      <c r="DC123" s="1051"/>
      <c r="DD123" s="1051"/>
      <c r="DE123" s="1051"/>
      <c r="DF123" s="1051"/>
      <c r="DG123" s="1051"/>
      <c r="DH123" s="1051"/>
      <c r="DI123" s="1051"/>
      <c r="DJ123" s="1051"/>
      <c r="DK123" s="1051"/>
      <c r="DL123" s="1051"/>
      <c r="DM123" s="1051"/>
      <c r="DN123" s="1051"/>
      <c r="DO123" s="1051"/>
      <c r="DP123" s="1051"/>
      <c r="DQ123" s="1051"/>
      <c r="DR123" s="1051"/>
      <c r="DS123" s="1051"/>
      <c r="DT123" s="1051"/>
      <c r="DU123" s="1051"/>
      <c r="DV123" s="1051"/>
      <c r="DW123" s="1051"/>
      <c r="DX123" s="1051"/>
      <c r="DY123" s="1051"/>
      <c r="DZ123" s="1051"/>
      <c r="EA123" s="1051"/>
      <c r="EB123" s="1051"/>
      <c r="EC123" s="1051"/>
      <c r="ED123" s="1051"/>
      <c r="EE123" s="1051"/>
      <c r="EF123" s="1051"/>
      <c r="EG123" s="1051"/>
      <c r="EH123" s="1051"/>
      <c r="EI123" s="1051"/>
      <c r="EJ123" s="1051"/>
      <c r="EK123" s="1051"/>
      <c r="EL123" s="1051"/>
      <c r="EM123" s="1051"/>
      <c r="EN123" s="1051"/>
      <c r="EO123" s="1051"/>
      <c r="EP123" s="1051"/>
      <c r="EQ123" s="1051"/>
      <c r="ER123" s="1051"/>
      <c r="ES123" s="1051"/>
      <c r="ET123" s="1051"/>
      <c r="EU123" s="1051"/>
      <c r="EV123" s="1051"/>
      <c r="EW123" s="1051"/>
      <c r="EX123" s="1051"/>
      <c r="EY123" s="1051"/>
      <c r="EZ123" s="1051"/>
      <c r="FA123" s="1051"/>
      <c r="FB123" s="1051"/>
      <c r="FC123" s="1051"/>
      <c r="FD123" s="1051"/>
      <c r="FE123" s="1051"/>
      <c r="FF123" s="1051"/>
      <c r="FG123" s="1051"/>
      <c r="FH123" s="1051"/>
      <c r="FI123" s="1051"/>
      <c r="FJ123" s="1051"/>
      <c r="FK123" s="1051"/>
      <c r="FL123" s="1051"/>
      <c r="FM123" s="1051"/>
      <c r="FN123" s="1051"/>
      <c r="FO123" s="1051"/>
      <c r="FP123" s="1051"/>
      <c r="FQ123" s="1051"/>
      <c r="FR123" s="1051"/>
      <c r="FS123" s="1051"/>
      <c r="FT123" s="1051"/>
      <c r="FU123" s="1051"/>
      <c r="FV123" s="1051"/>
      <c r="FW123" s="1051"/>
      <c r="FX123" s="1051"/>
      <c r="FY123" s="1051"/>
      <c r="FZ123" s="1051"/>
      <c r="GA123" s="1051"/>
      <c r="GB123" s="1051"/>
      <c r="GC123" s="1051"/>
      <c r="GD123" s="1051"/>
      <c r="GE123" s="1051"/>
      <c r="GF123" s="1051"/>
      <c r="GG123" s="1051"/>
      <c r="GH123" s="1051"/>
      <c r="GI123" s="1051"/>
      <c r="GJ123" s="1051"/>
      <c r="GK123" s="1051"/>
      <c r="GL123" s="1051"/>
      <c r="GM123" s="1051"/>
      <c r="GN123" s="1051"/>
      <c r="GO123" s="1051"/>
      <c r="GP123" s="1051"/>
      <c r="GQ123" s="1051"/>
      <c r="GR123" s="1051"/>
      <c r="GS123" s="1051"/>
      <c r="GT123" s="1051"/>
      <c r="GU123" s="1051"/>
      <c r="GV123" s="1051"/>
      <c r="GW123" s="1051"/>
      <c r="GX123" s="1051"/>
      <c r="GY123" s="1051"/>
      <c r="GZ123" s="1051"/>
      <c r="HA123" s="1051"/>
      <c r="HB123" s="1051"/>
      <c r="HC123" s="1051"/>
      <c r="HD123" s="1051"/>
      <c r="HE123" s="1051"/>
      <c r="HF123" s="1051"/>
      <c r="HG123" s="1051"/>
      <c r="HH123" s="1051"/>
      <c r="HI123" s="1051"/>
      <c r="HJ123" s="1051"/>
      <c r="HK123" s="1051"/>
      <c r="HL123" s="1051"/>
      <c r="HM123" s="1051"/>
      <c r="HN123" s="1051"/>
      <c r="HO123" s="1051"/>
      <c r="HP123" s="1051"/>
      <c r="HQ123" s="1051"/>
      <c r="HR123" s="1051"/>
      <c r="HS123" s="1051"/>
      <c r="HT123" s="1051"/>
      <c r="HU123" s="1051"/>
      <c r="HV123" s="1051"/>
      <c r="HW123" s="1051"/>
      <c r="HX123" s="1051"/>
      <c r="HY123" s="1051"/>
      <c r="HZ123" s="1051"/>
      <c r="IA123" s="1051"/>
      <c r="IB123" s="1051"/>
      <c r="IC123" s="1051"/>
      <c r="ID123" s="1051"/>
      <c r="IE123" s="1051"/>
      <c r="IF123" s="1051"/>
      <c r="IG123" s="1051"/>
      <c r="IH123" s="1051"/>
      <c r="II123" s="1051"/>
      <c r="IJ123" s="1051"/>
      <c r="IK123" s="1051"/>
      <c r="IL123" s="1051"/>
      <c r="IM123" s="1051"/>
      <c r="IN123" s="1051"/>
      <c r="IO123" s="1051"/>
      <c r="IP123" s="1051"/>
      <c r="IQ123" s="1051"/>
      <c r="IR123" s="1051"/>
      <c r="IS123" s="1051"/>
      <c r="IT123" s="1051"/>
      <c r="IU123" s="1051"/>
      <c r="IV123" s="1051"/>
    </row>
    <row r="124" spans="1:256" x14ac:dyDescent="0.2">
      <c r="A124" s="1056" t="s">
        <v>720</v>
      </c>
      <c r="B124" s="1064" t="s">
        <v>721</v>
      </c>
      <c r="C124" s="1043">
        <v>0</v>
      </c>
      <c r="D124" s="1043">
        <v>0</v>
      </c>
      <c r="E124" s="1043">
        <v>4</v>
      </c>
      <c r="F124" s="1045" t="s">
        <v>446</v>
      </c>
      <c r="G124" s="1051"/>
      <c r="H124" s="1051"/>
      <c r="I124" s="1051"/>
      <c r="J124" s="1051"/>
      <c r="K124" s="1051"/>
      <c r="L124" s="1051"/>
      <c r="M124" s="1051"/>
      <c r="N124" s="1051"/>
      <c r="O124" s="1051"/>
      <c r="P124" s="1051"/>
      <c r="Q124" s="1051"/>
      <c r="R124" s="1051"/>
      <c r="S124" s="1051"/>
      <c r="T124" s="1051"/>
      <c r="U124" s="1051"/>
      <c r="V124" s="1051"/>
      <c r="W124" s="1051"/>
      <c r="X124" s="1051"/>
      <c r="Y124" s="1051"/>
      <c r="Z124" s="1051"/>
      <c r="AA124" s="1051"/>
      <c r="AB124" s="1051"/>
      <c r="AC124" s="1051"/>
      <c r="AD124" s="1051"/>
      <c r="AE124" s="1051"/>
      <c r="AF124" s="1051"/>
      <c r="AG124" s="1051"/>
      <c r="AH124" s="1051"/>
      <c r="AI124" s="1051"/>
      <c r="AJ124" s="1051"/>
      <c r="AK124" s="1051"/>
      <c r="AL124" s="1051"/>
      <c r="AM124" s="1051"/>
      <c r="AN124" s="1051"/>
      <c r="AO124" s="1051"/>
      <c r="AP124" s="1051"/>
      <c r="AQ124" s="1051"/>
      <c r="AR124" s="1051"/>
      <c r="AS124" s="1051"/>
      <c r="AT124" s="1051"/>
      <c r="AU124" s="1051"/>
      <c r="AV124" s="1051"/>
      <c r="AW124" s="1051"/>
      <c r="AX124" s="1051"/>
      <c r="AY124" s="1051"/>
      <c r="AZ124" s="1051"/>
      <c r="BA124" s="1051"/>
      <c r="BB124" s="1051"/>
      <c r="BC124" s="1051"/>
      <c r="BD124" s="1051"/>
      <c r="BE124" s="1051"/>
      <c r="BF124" s="1051"/>
      <c r="BG124" s="1051"/>
      <c r="BH124" s="1051"/>
      <c r="BI124" s="1051"/>
      <c r="BJ124" s="1051"/>
      <c r="BK124" s="1051"/>
      <c r="BL124" s="1051"/>
      <c r="BM124" s="1051"/>
      <c r="BN124" s="1051"/>
      <c r="BO124" s="1051"/>
      <c r="BP124" s="1051"/>
      <c r="BQ124" s="1051"/>
      <c r="BR124" s="1051"/>
      <c r="BS124" s="1051"/>
      <c r="BT124" s="1051"/>
      <c r="BU124" s="1051"/>
      <c r="BV124" s="1051"/>
      <c r="BW124" s="1051"/>
      <c r="BX124" s="1051"/>
      <c r="BY124" s="1051"/>
      <c r="BZ124" s="1051"/>
      <c r="CA124" s="1051"/>
      <c r="CB124" s="1051"/>
      <c r="CC124" s="1051"/>
      <c r="CD124" s="1051"/>
      <c r="CE124" s="1051"/>
      <c r="CF124" s="1051"/>
      <c r="CG124" s="1051"/>
      <c r="CH124" s="1051"/>
      <c r="CI124" s="1051"/>
      <c r="CJ124" s="1051"/>
      <c r="CK124" s="1051"/>
      <c r="CL124" s="1051"/>
      <c r="CM124" s="1051"/>
      <c r="CN124" s="1051"/>
      <c r="CO124" s="1051"/>
      <c r="CP124" s="1051"/>
      <c r="CQ124" s="1051"/>
      <c r="CR124" s="1051"/>
      <c r="CS124" s="1051"/>
      <c r="CT124" s="1051"/>
      <c r="CU124" s="1051"/>
      <c r="CV124" s="1051"/>
      <c r="CW124" s="1051"/>
      <c r="CX124" s="1051"/>
      <c r="CY124" s="1051"/>
      <c r="CZ124" s="1051"/>
      <c r="DA124" s="1051"/>
      <c r="DB124" s="1051"/>
      <c r="DC124" s="1051"/>
      <c r="DD124" s="1051"/>
      <c r="DE124" s="1051"/>
      <c r="DF124" s="1051"/>
      <c r="DG124" s="1051"/>
      <c r="DH124" s="1051"/>
      <c r="DI124" s="1051"/>
      <c r="DJ124" s="1051"/>
      <c r="DK124" s="1051"/>
      <c r="DL124" s="1051"/>
      <c r="DM124" s="1051"/>
      <c r="DN124" s="1051"/>
      <c r="DO124" s="1051"/>
      <c r="DP124" s="1051"/>
      <c r="DQ124" s="1051"/>
      <c r="DR124" s="1051"/>
      <c r="DS124" s="1051"/>
      <c r="DT124" s="1051"/>
      <c r="DU124" s="1051"/>
      <c r="DV124" s="1051"/>
      <c r="DW124" s="1051"/>
      <c r="DX124" s="1051"/>
      <c r="DY124" s="1051"/>
      <c r="DZ124" s="1051"/>
      <c r="EA124" s="1051"/>
      <c r="EB124" s="1051"/>
      <c r="EC124" s="1051"/>
      <c r="ED124" s="1051"/>
      <c r="EE124" s="1051"/>
      <c r="EF124" s="1051"/>
      <c r="EG124" s="1051"/>
      <c r="EH124" s="1051"/>
      <c r="EI124" s="1051"/>
      <c r="EJ124" s="1051"/>
      <c r="EK124" s="1051"/>
      <c r="EL124" s="1051"/>
      <c r="EM124" s="1051"/>
      <c r="EN124" s="1051"/>
      <c r="EO124" s="1051"/>
      <c r="EP124" s="1051"/>
      <c r="EQ124" s="1051"/>
      <c r="ER124" s="1051"/>
      <c r="ES124" s="1051"/>
      <c r="ET124" s="1051"/>
      <c r="EU124" s="1051"/>
      <c r="EV124" s="1051"/>
      <c r="EW124" s="1051"/>
      <c r="EX124" s="1051"/>
      <c r="EY124" s="1051"/>
      <c r="EZ124" s="1051"/>
      <c r="FA124" s="1051"/>
      <c r="FB124" s="1051"/>
      <c r="FC124" s="1051"/>
      <c r="FD124" s="1051"/>
      <c r="FE124" s="1051"/>
      <c r="FF124" s="1051"/>
      <c r="FG124" s="1051"/>
      <c r="FH124" s="1051"/>
      <c r="FI124" s="1051"/>
      <c r="FJ124" s="1051"/>
      <c r="FK124" s="1051"/>
      <c r="FL124" s="1051"/>
      <c r="FM124" s="1051"/>
      <c r="FN124" s="1051"/>
      <c r="FO124" s="1051"/>
      <c r="FP124" s="1051"/>
      <c r="FQ124" s="1051"/>
      <c r="FR124" s="1051"/>
      <c r="FS124" s="1051"/>
      <c r="FT124" s="1051"/>
      <c r="FU124" s="1051"/>
      <c r="FV124" s="1051"/>
      <c r="FW124" s="1051"/>
      <c r="FX124" s="1051"/>
      <c r="FY124" s="1051"/>
      <c r="FZ124" s="1051"/>
      <c r="GA124" s="1051"/>
      <c r="GB124" s="1051"/>
      <c r="GC124" s="1051"/>
      <c r="GD124" s="1051"/>
      <c r="GE124" s="1051"/>
      <c r="GF124" s="1051"/>
      <c r="GG124" s="1051"/>
      <c r="GH124" s="1051"/>
      <c r="GI124" s="1051"/>
      <c r="GJ124" s="1051"/>
      <c r="GK124" s="1051"/>
      <c r="GL124" s="1051"/>
      <c r="GM124" s="1051"/>
      <c r="GN124" s="1051"/>
      <c r="GO124" s="1051"/>
      <c r="GP124" s="1051"/>
      <c r="GQ124" s="1051"/>
      <c r="GR124" s="1051"/>
      <c r="GS124" s="1051"/>
      <c r="GT124" s="1051"/>
      <c r="GU124" s="1051"/>
      <c r="GV124" s="1051"/>
      <c r="GW124" s="1051"/>
      <c r="GX124" s="1051"/>
      <c r="GY124" s="1051"/>
      <c r="GZ124" s="1051"/>
      <c r="HA124" s="1051"/>
      <c r="HB124" s="1051"/>
      <c r="HC124" s="1051"/>
      <c r="HD124" s="1051"/>
      <c r="HE124" s="1051"/>
      <c r="HF124" s="1051"/>
      <c r="HG124" s="1051"/>
      <c r="HH124" s="1051"/>
      <c r="HI124" s="1051"/>
      <c r="HJ124" s="1051"/>
      <c r="HK124" s="1051"/>
      <c r="HL124" s="1051"/>
      <c r="HM124" s="1051"/>
      <c r="HN124" s="1051"/>
      <c r="HO124" s="1051"/>
      <c r="HP124" s="1051"/>
      <c r="HQ124" s="1051"/>
      <c r="HR124" s="1051"/>
      <c r="HS124" s="1051"/>
      <c r="HT124" s="1051"/>
      <c r="HU124" s="1051"/>
      <c r="HV124" s="1051"/>
      <c r="HW124" s="1051"/>
      <c r="HX124" s="1051"/>
      <c r="HY124" s="1051"/>
      <c r="HZ124" s="1051"/>
      <c r="IA124" s="1051"/>
      <c r="IB124" s="1051"/>
      <c r="IC124" s="1051"/>
      <c r="ID124" s="1051"/>
      <c r="IE124" s="1051"/>
      <c r="IF124" s="1051"/>
      <c r="IG124" s="1051"/>
      <c r="IH124" s="1051"/>
      <c r="II124" s="1051"/>
      <c r="IJ124" s="1051"/>
      <c r="IK124" s="1051"/>
      <c r="IL124" s="1051"/>
      <c r="IM124" s="1051"/>
      <c r="IN124" s="1051"/>
      <c r="IO124" s="1051"/>
      <c r="IP124" s="1051"/>
      <c r="IQ124" s="1051"/>
      <c r="IR124" s="1051"/>
      <c r="IS124" s="1051"/>
      <c r="IT124" s="1051"/>
      <c r="IU124" s="1051"/>
      <c r="IV124" s="1051"/>
    </row>
    <row r="125" spans="1:256" x14ac:dyDescent="0.2">
      <c r="A125" s="1555" t="s">
        <v>168</v>
      </c>
      <c r="B125" s="1556"/>
      <c r="C125" s="1043">
        <f>SUM(C122:C124)</f>
        <v>0</v>
      </c>
      <c r="D125" s="1043">
        <f>SUM(D122:D124)</f>
        <v>210000</v>
      </c>
      <c r="E125" s="1043">
        <f>SUM(E122:E124)</f>
        <v>358071</v>
      </c>
      <c r="F125" s="1045">
        <f t="shared" si="5"/>
        <v>1.7051000000000001</v>
      </c>
      <c r="G125" s="1051"/>
      <c r="H125" s="1051"/>
      <c r="I125" s="1051"/>
      <c r="J125" s="1051"/>
      <c r="K125" s="1051"/>
      <c r="L125" s="1051"/>
      <c r="M125" s="1051"/>
      <c r="N125" s="1051"/>
      <c r="O125" s="1051"/>
      <c r="P125" s="1051"/>
      <c r="Q125" s="1051"/>
      <c r="R125" s="1051"/>
      <c r="S125" s="1051"/>
      <c r="T125" s="1051"/>
      <c r="U125" s="1051"/>
      <c r="V125" s="1051"/>
      <c r="W125" s="1051"/>
      <c r="X125" s="1051"/>
      <c r="Y125" s="1051"/>
      <c r="Z125" s="1051"/>
      <c r="AA125" s="1051"/>
      <c r="AB125" s="1051"/>
      <c r="AC125" s="1051"/>
      <c r="AD125" s="1051"/>
      <c r="AE125" s="1051"/>
      <c r="AF125" s="1051"/>
      <c r="AG125" s="1051"/>
      <c r="AH125" s="1051"/>
      <c r="AI125" s="1051"/>
      <c r="AJ125" s="1051"/>
      <c r="AK125" s="1051"/>
      <c r="AL125" s="1051"/>
      <c r="AM125" s="1051"/>
      <c r="AN125" s="1051"/>
      <c r="AO125" s="1051"/>
      <c r="AP125" s="1051"/>
      <c r="AQ125" s="1051"/>
      <c r="AR125" s="1051"/>
      <c r="AS125" s="1051"/>
      <c r="AT125" s="1051"/>
      <c r="AU125" s="1051"/>
      <c r="AV125" s="1051"/>
      <c r="AW125" s="1051"/>
      <c r="AX125" s="1051"/>
      <c r="AY125" s="1051"/>
      <c r="AZ125" s="1051"/>
      <c r="BA125" s="1051"/>
      <c r="BB125" s="1051"/>
      <c r="BC125" s="1051"/>
      <c r="BD125" s="1051"/>
      <c r="BE125" s="1051"/>
      <c r="BF125" s="1051"/>
      <c r="BG125" s="1051"/>
      <c r="BH125" s="1051"/>
      <c r="BI125" s="1051"/>
      <c r="BJ125" s="1051"/>
      <c r="BK125" s="1051"/>
      <c r="BL125" s="1051"/>
      <c r="BM125" s="1051"/>
      <c r="BN125" s="1051"/>
      <c r="BO125" s="1051"/>
      <c r="BP125" s="1051"/>
      <c r="BQ125" s="1051"/>
      <c r="BR125" s="1051"/>
      <c r="BS125" s="1051"/>
      <c r="BT125" s="1051"/>
      <c r="BU125" s="1051"/>
      <c r="BV125" s="1051"/>
      <c r="BW125" s="1051"/>
      <c r="BX125" s="1051"/>
      <c r="BY125" s="1051"/>
      <c r="BZ125" s="1051"/>
      <c r="CA125" s="1051"/>
      <c r="CB125" s="1051"/>
      <c r="CC125" s="1051"/>
      <c r="CD125" s="1051"/>
      <c r="CE125" s="1051"/>
      <c r="CF125" s="1051"/>
      <c r="CG125" s="1051"/>
      <c r="CH125" s="1051"/>
      <c r="CI125" s="1051"/>
      <c r="CJ125" s="1051"/>
      <c r="CK125" s="1051"/>
      <c r="CL125" s="1051"/>
      <c r="CM125" s="1051"/>
      <c r="CN125" s="1051"/>
      <c r="CO125" s="1051"/>
      <c r="CP125" s="1051"/>
      <c r="CQ125" s="1051"/>
      <c r="CR125" s="1051"/>
      <c r="CS125" s="1051"/>
      <c r="CT125" s="1051"/>
      <c r="CU125" s="1051"/>
      <c r="CV125" s="1051"/>
      <c r="CW125" s="1051"/>
      <c r="CX125" s="1051"/>
      <c r="CY125" s="1051"/>
      <c r="CZ125" s="1051"/>
      <c r="DA125" s="1051"/>
      <c r="DB125" s="1051"/>
      <c r="DC125" s="1051"/>
      <c r="DD125" s="1051"/>
      <c r="DE125" s="1051"/>
      <c r="DF125" s="1051"/>
      <c r="DG125" s="1051"/>
      <c r="DH125" s="1051"/>
      <c r="DI125" s="1051"/>
      <c r="DJ125" s="1051"/>
      <c r="DK125" s="1051"/>
      <c r="DL125" s="1051"/>
      <c r="DM125" s="1051"/>
      <c r="DN125" s="1051"/>
      <c r="DO125" s="1051"/>
      <c r="DP125" s="1051"/>
      <c r="DQ125" s="1051"/>
      <c r="DR125" s="1051"/>
      <c r="DS125" s="1051"/>
      <c r="DT125" s="1051"/>
      <c r="DU125" s="1051"/>
      <c r="DV125" s="1051"/>
      <c r="DW125" s="1051"/>
      <c r="DX125" s="1051"/>
      <c r="DY125" s="1051"/>
      <c r="DZ125" s="1051"/>
      <c r="EA125" s="1051"/>
      <c r="EB125" s="1051"/>
      <c r="EC125" s="1051"/>
      <c r="ED125" s="1051"/>
      <c r="EE125" s="1051"/>
      <c r="EF125" s="1051"/>
      <c r="EG125" s="1051"/>
      <c r="EH125" s="1051"/>
      <c r="EI125" s="1051"/>
      <c r="EJ125" s="1051"/>
      <c r="EK125" s="1051"/>
      <c r="EL125" s="1051"/>
      <c r="EM125" s="1051"/>
      <c r="EN125" s="1051"/>
      <c r="EO125" s="1051"/>
      <c r="EP125" s="1051"/>
      <c r="EQ125" s="1051"/>
      <c r="ER125" s="1051"/>
      <c r="ES125" s="1051"/>
      <c r="ET125" s="1051"/>
      <c r="EU125" s="1051"/>
      <c r="EV125" s="1051"/>
      <c r="EW125" s="1051"/>
      <c r="EX125" s="1051"/>
      <c r="EY125" s="1051"/>
      <c r="EZ125" s="1051"/>
      <c r="FA125" s="1051"/>
      <c r="FB125" s="1051"/>
      <c r="FC125" s="1051"/>
      <c r="FD125" s="1051"/>
      <c r="FE125" s="1051"/>
      <c r="FF125" s="1051"/>
      <c r="FG125" s="1051"/>
      <c r="FH125" s="1051"/>
      <c r="FI125" s="1051"/>
      <c r="FJ125" s="1051"/>
      <c r="FK125" s="1051"/>
      <c r="FL125" s="1051"/>
      <c r="FM125" s="1051"/>
      <c r="FN125" s="1051"/>
      <c r="FO125" s="1051"/>
      <c r="FP125" s="1051"/>
      <c r="FQ125" s="1051"/>
      <c r="FR125" s="1051"/>
      <c r="FS125" s="1051"/>
      <c r="FT125" s="1051"/>
      <c r="FU125" s="1051"/>
      <c r="FV125" s="1051"/>
      <c r="FW125" s="1051"/>
      <c r="FX125" s="1051"/>
      <c r="FY125" s="1051"/>
      <c r="FZ125" s="1051"/>
      <c r="GA125" s="1051"/>
      <c r="GB125" s="1051"/>
      <c r="GC125" s="1051"/>
      <c r="GD125" s="1051"/>
      <c r="GE125" s="1051"/>
      <c r="GF125" s="1051"/>
      <c r="GG125" s="1051"/>
      <c r="GH125" s="1051"/>
      <c r="GI125" s="1051"/>
      <c r="GJ125" s="1051"/>
      <c r="GK125" s="1051"/>
      <c r="GL125" s="1051"/>
      <c r="GM125" s="1051"/>
      <c r="GN125" s="1051"/>
      <c r="GO125" s="1051"/>
      <c r="GP125" s="1051"/>
      <c r="GQ125" s="1051"/>
      <c r="GR125" s="1051"/>
      <c r="GS125" s="1051"/>
      <c r="GT125" s="1051"/>
      <c r="GU125" s="1051"/>
      <c r="GV125" s="1051"/>
      <c r="GW125" s="1051"/>
      <c r="GX125" s="1051"/>
      <c r="GY125" s="1051"/>
      <c r="GZ125" s="1051"/>
      <c r="HA125" s="1051"/>
      <c r="HB125" s="1051"/>
      <c r="HC125" s="1051"/>
      <c r="HD125" s="1051"/>
      <c r="HE125" s="1051"/>
      <c r="HF125" s="1051"/>
      <c r="HG125" s="1051"/>
      <c r="HH125" s="1051"/>
      <c r="HI125" s="1051"/>
      <c r="HJ125" s="1051"/>
      <c r="HK125" s="1051"/>
      <c r="HL125" s="1051"/>
      <c r="HM125" s="1051"/>
      <c r="HN125" s="1051"/>
      <c r="HO125" s="1051"/>
      <c r="HP125" s="1051"/>
      <c r="HQ125" s="1051"/>
      <c r="HR125" s="1051"/>
      <c r="HS125" s="1051"/>
      <c r="HT125" s="1051"/>
      <c r="HU125" s="1051"/>
      <c r="HV125" s="1051"/>
      <c r="HW125" s="1051"/>
      <c r="HX125" s="1051"/>
      <c r="HY125" s="1051"/>
      <c r="HZ125" s="1051"/>
      <c r="IA125" s="1051"/>
      <c r="IB125" s="1051"/>
      <c r="IC125" s="1051"/>
      <c r="ID125" s="1051"/>
      <c r="IE125" s="1051"/>
      <c r="IF125" s="1051"/>
      <c r="IG125" s="1051"/>
      <c r="IH125" s="1051"/>
      <c r="II125" s="1051"/>
      <c r="IJ125" s="1051"/>
      <c r="IK125" s="1051"/>
      <c r="IL125" s="1051"/>
      <c r="IM125" s="1051"/>
      <c r="IN125" s="1051"/>
      <c r="IO125" s="1051"/>
      <c r="IP125" s="1051"/>
      <c r="IQ125" s="1051"/>
      <c r="IR125" s="1051"/>
      <c r="IS125" s="1051"/>
      <c r="IT125" s="1051"/>
      <c r="IU125" s="1051"/>
      <c r="IV125" s="1051"/>
    </row>
    <row r="126" spans="1:256" x14ac:dyDescent="0.2">
      <c r="A126" s="1056" t="s">
        <v>611</v>
      </c>
      <c r="B126" s="1064" t="s">
        <v>722</v>
      </c>
      <c r="C126" s="1043">
        <v>0</v>
      </c>
      <c r="D126" s="1043">
        <v>0</v>
      </c>
      <c r="E126" s="1043">
        <v>133100</v>
      </c>
      <c r="F126" s="1045" t="s">
        <v>446</v>
      </c>
      <c r="G126" s="1051"/>
      <c r="H126" s="1051"/>
      <c r="I126" s="1051"/>
      <c r="J126" s="1051"/>
      <c r="K126" s="1051"/>
      <c r="L126" s="1051"/>
      <c r="M126" s="1051"/>
      <c r="N126" s="1051"/>
      <c r="O126" s="1051"/>
      <c r="P126" s="1051"/>
      <c r="Q126" s="1051"/>
      <c r="R126" s="1051"/>
      <c r="S126" s="1051"/>
      <c r="T126" s="1051"/>
      <c r="U126" s="1051"/>
      <c r="V126" s="1051"/>
      <c r="W126" s="1051"/>
      <c r="X126" s="1051"/>
      <c r="Y126" s="1051"/>
      <c r="Z126" s="1051"/>
      <c r="AA126" s="1051"/>
      <c r="AB126" s="1051"/>
      <c r="AC126" s="1051"/>
      <c r="AD126" s="1051"/>
      <c r="AE126" s="1051"/>
      <c r="AF126" s="1051"/>
      <c r="AG126" s="1051"/>
      <c r="AH126" s="1051"/>
      <c r="AI126" s="1051"/>
      <c r="AJ126" s="1051"/>
      <c r="AK126" s="1051"/>
      <c r="AL126" s="1051"/>
      <c r="AM126" s="1051"/>
      <c r="AN126" s="1051"/>
      <c r="AO126" s="1051"/>
      <c r="AP126" s="1051"/>
      <c r="AQ126" s="1051"/>
      <c r="AR126" s="1051"/>
      <c r="AS126" s="1051"/>
      <c r="AT126" s="1051"/>
      <c r="AU126" s="1051"/>
      <c r="AV126" s="1051"/>
      <c r="AW126" s="1051"/>
      <c r="AX126" s="1051"/>
      <c r="AY126" s="1051"/>
      <c r="AZ126" s="1051"/>
      <c r="BA126" s="1051"/>
      <c r="BB126" s="1051"/>
      <c r="BC126" s="1051"/>
      <c r="BD126" s="1051"/>
      <c r="BE126" s="1051"/>
      <c r="BF126" s="1051"/>
      <c r="BG126" s="1051"/>
      <c r="BH126" s="1051"/>
      <c r="BI126" s="1051"/>
      <c r="BJ126" s="1051"/>
      <c r="BK126" s="1051"/>
      <c r="BL126" s="1051"/>
      <c r="BM126" s="1051"/>
      <c r="BN126" s="1051"/>
      <c r="BO126" s="1051"/>
      <c r="BP126" s="1051"/>
      <c r="BQ126" s="1051"/>
      <c r="BR126" s="1051"/>
      <c r="BS126" s="1051"/>
      <c r="BT126" s="1051"/>
      <c r="BU126" s="1051"/>
      <c r="BV126" s="1051"/>
      <c r="BW126" s="1051"/>
      <c r="BX126" s="1051"/>
      <c r="BY126" s="1051"/>
      <c r="BZ126" s="1051"/>
      <c r="CA126" s="1051"/>
      <c r="CB126" s="1051"/>
      <c r="CC126" s="1051"/>
      <c r="CD126" s="1051"/>
      <c r="CE126" s="1051"/>
      <c r="CF126" s="1051"/>
      <c r="CG126" s="1051"/>
      <c r="CH126" s="1051"/>
      <c r="CI126" s="1051"/>
      <c r="CJ126" s="1051"/>
      <c r="CK126" s="1051"/>
      <c r="CL126" s="1051"/>
      <c r="CM126" s="1051"/>
      <c r="CN126" s="1051"/>
      <c r="CO126" s="1051"/>
      <c r="CP126" s="1051"/>
      <c r="CQ126" s="1051"/>
      <c r="CR126" s="1051"/>
      <c r="CS126" s="1051"/>
      <c r="CT126" s="1051"/>
      <c r="CU126" s="1051"/>
      <c r="CV126" s="1051"/>
      <c r="CW126" s="1051"/>
      <c r="CX126" s="1051"/>
      <c r="CY126" s="1051"/>
      <c r="CZ126" s="1051"/>
      <c r="DA126" s="1051"/>
      <c r="DB126" s="1051"/>
      <c r="DC126" s="1051"/>
      <c r="DD126" s="1051"/>
      <c r="DE126" s="1051"/>
      <c r="DF126" s="1051"/>
      <c r="DG126" s="1051"/>
      <c r="DH126" s="1051"/>
      <c r="DI126" s="1051"/>
      <c r="DJ126" s="1051"/>
      <c r="DK126" s="1051"/>
      <c r="DL126" s="1051"/>
      <c r="DM126" s="1051"/>
      <c r="DN126" s="1051"/>
      <c r="DO126" s="1051"/>
      <c r="DP126" s="1051"/>
      <c r="DQ126" s="1051"/>
      <c r="DR126" s="1051"/>
      <c r="DS126" s="1051"/>
      <c r="DT126" s="1051"/>
      <c r="DU126" s="1051"/>
      <c r="DV126" s="1051"/>
      <c r="DW126" s="1051"/>
      <c r="DX126" s="1051"/>
      <c r="DY126" s="1051"/>
      <c r="DZ126" s="1051"/>
      <c r="EA126" s="1051"/>
      <c r="EB126" s="1051"/>
      <c r="EC126" s="1051"/>
      <c r="ED126" s="1051"/>
      <c r="EE126" s="1051"/>
      <c r="EF126" s="1051"/>
      <c r="EG126" s="1051"/>
      <c r="EH126" s="1051"/>
      <c r="EI126" s="1051"/>
      <c r="EJ126" s="1051"/>
      <c r="EK126" s="1051"/>
      <c r="EL126" s="1051"/>
      <c r="EM126" s="1051"/>
      <c r="EN126" s="1051"/>
      <c r="EO126" s="1051"/>
      <c r="EP126" s="1051"/>
      <c r="EQ126" s="1051"/>
      <c r="ER126" s="1051"/>
      <c r="ES126" s="1051"/>
      <c r="ET126" s="1051"/>
      <c r="EU126" s="1051"/>
      <c r="EV126" s="1051"/>
      <c r="EW126" s="1051"/>
      <c r="EX126" s="1051"/>
      <c r="EY126" s="1051"/>
      <c r="EZ126" s="1051"/>
      <c r="FA126" s="1051"/>
      <c r="FB126" s="1051"/>
      <c r="FC126" s="1051"/>
      <c r="FD126" s="1051"/>
      <c r="FE126" s="1051"/>
      <c r="FF126" s="1051"/>
      <c r="FG126" s="1051"/>
      <c r="FH126" s="1051"/>
      <c r="FI126" s="1051"/>
      <c r="FJ126" s="1051"/>
      <c r="FK126" s="1051"/>
      <c r="FL126" s="1051"/>
      <c r="FM126" s="1051"/>
      <c r="FN126" s="1051"/>
      <c r="FO126" s="1051"/>
      <c r="FP126" s="1051"/>
      <c r="FQ126" s="1051"/>
      <c r="FR126" s="1051"/>
      <c r="FS126" s="1051"/>
      <c r="FT126" s="1051"/>
      <c r="FU126" s="1051"/>
      <c r="FV126" s="1051"/>
      <c r="FW126" s="1051"/>
      <c r="FX126" s="1051"/>
      <c r="FY126" s="1051"/>
      <c r="FZ126" s="1051"/>
      <c r="GA126" s="1051"/>
      <c r="GB126" s="1051"/>
      <c r="GC126" s="1051"/>
      <c r="GD126" s="1051"/>
      <c r="GE126" s="1051"/>
      <c r="GF126" s="1051"/>
      <c r="GG126" s="1051"/>
      <c r="GH126" s="1051"/>
      <c r="GI126" s="1051"/>
      <c r="GJ126" s="1051"/>
      <c r="GK126" s="1051"/>
      <c r="GL126" s="1051"/>
      <c r="GM126" s="1051"/>
      <c r="GN126" s="1051"/>
      <c r="GO126" s="1051"/>
      <c r="GP126" s="1051"/>
      <c r="GQ126" s="1051"/>
      <c r="GR126" s="1051"/>
      <c r="GS126" s="1051"/>
      <c r="GT126" s="1051"/>
      <c r="GU126" s="1051"/>
      <c r="GV126" s="1051"/>
      <c r="GW126" s="1051"/>
      <c r="GX126" s="1051"/>
      <c r="GY126" s="1051"/>
      <c r="GZ126" s="1051"/>
      <c r="HA126" s="1051"/>
      <c r="HB126" s="1051"/>
      <c r="HC126" s="1051"/>
      <c r="HD126" s="1051"/>
      <c r="HE126" s="1051"/>
      <c r="HF126" s="1051"/>
      <c r="HG126" s="1051"/>
      <c r="HH126" s="1051"/>
      <c r="HI126" s="1051"/>
      <c r="HJ126" s="1051"/>
      <c r="HK126" s="1051"/>
      <c r="HL126" s="1051"/>
      <c r="HM126" s="1051"/>
      <c r="HN126" s="1051"/>
      <c r="HO126" s="1051"/>
      <c r="HP126" s="1051"/>
      <c r="HQ126" s="1051"/>
      <c r="HR126" s="1051"/>
      <c r="HS126" s="1051"/>
      <c r="HT126" s="1051"/>
      <c r="HU126" s="1051"/>
      <c r="HV126" s="1051"/>
      <c r="HW126" s="1051"/>
      <c r="HX126" s="1051"/>
      <c r="HY126" s="1051"/>
      <c r="HZ126" s="1051"/>
      <c r="IA126" s="1051"/>
      <c r="IB126" s="1051"/>
      <c r="IC126" s="1051"/>
      <c r="ID126" s="1051"/>
      <c r="IE126" s="1051"/>
      <c r="IF126" s="1051"/>
      <c r="IG126" s="1051"/>
      <c r="IH126" s="1051"/>
      <c r="II126" s="1051"/>
      <c r="IJ126" s="1051"/>
      <c r="IK126" s="1051"/>
      <c r="IL126" s="1051"/>
      <c r="IM126" s="1051"/>
      <c r="IN126" s="1051"/>
      <c r="IO126" s="1051"/>
      <c r="IP126" s="1051"/>
      <c r="IQ126" s="1051"/>
      <c r="IR126" s="1051"/>
      <c r="IS126" s="1051"/>
      <c r="IT126" s="1051"/>
      <c r="IU126" s="1051"/>
      <c r="IV126" s="1051"/>
    </row>
    <row r="127" spans="1:256" x14ac:dyDescent="0.2">
      <c r="A127" s="1056" t="s">
        <v>613</v>
      </c>
      <c r="B127" s="1064" t="s">
        <v>723</v>
      </c>
      <c r="C127" s="1043">
        <v>0</v>
      </c>
      <c r="D127" s="1043">
        <v>0</v>
      </c>
      <c r="E127" s="1043">
        <v>35937</v>
      </c>
      <c r="F127" s="1045" t="s">
        <v>446</v>
      </c>
      <c r="G127" s="1051"/>
      <c r="H127" s="1051"/>
      <c r="I127" s="1051"/>
      <c r="J127" s="1051"/>
      <c r="K127" s="1051"/>
      <c r="L127" s="1051"/>
      <c r="M127" s="1051"/>
      <c r="N127" s="1051"/>
      <c r="O127" s="1051"/>
      <c r="P127" s="1051"/>
      <c r="Q127" s="1051"/>
      <c r="R127" s="1051"/>
      <c r="S127" s="1051"/>
      <c r="T127" s="1051"/>
      <c r="U127" s="1051"/>
      <c r="V127" s="1051"/>
      <c r="W127" s="1051"/>
      <c r="X127" s="1051"/>
      <c r="Y127" s="1051"/>
      <c r="Z127" s="1051"/>
      <c r="AA127" s="1051"/>
      <c r="AB127" s="1051"/>
      <c r="AC127" s="1051"/>
      <c r="AD127" s="1051"/>
      <c r="AE127" s="1051"/>
      <c r="AF127" s="1051"/>
      <c r="AG127" s="1051"/>
      <c r="AH127" s="1051"/>
      <c r="AI127" s="1051"/>
      <c r="AJ127" s="1051"/>
      <c r="AK127" s="1051"/>
      <c r="AL127" s="1051"/>
      <c r="AM127" s="1051"/>
      <c r="AN127" s="1051"/>
      <c r="AO127" s="1051"/>
      <c r="AP127" s="1051"/>
      <c r="AQ127" s="1051"/>
      <c r="AR127" s="1051"/>
      <c r="AS127" s="1051"/>
      <c r="AT127" s="1051"/>
      <c r="AU127" s="1051"/>
      <c r="AV127" s="1051"/>
      <c r="AW127" s="1051"/>
      <c r="AX127" s="1051"/>
      <c r="AY127" s="1051"/>
      <c r="AZ127" s="1051"/>
      <c r="BA127" s="1051"/>
      <c r="BB127" s="1051"/>
      <c r="BC127" s="1051"/>
      <c r="BD127" s="1051"/>
      <c r="BE127" s="1051"/>
      <c r="BF127" s="1051"/>
      <c r="BG127" s="1051"/>
      <c r="BH127" s="1051"/>
      <c r="BI127" s="1051"/>
      <c r="BJ127" s="1051"/>
      <c r="BK127" s="1051"/>
      <c r="BL127" s="1051"/>
      <c r="BM127" s="1051"/>
      <c r="BN127" s="1051"/>
      <c r="BO127" s="1051"/>
      <c r="BP127" s="1051"/>
      <c r="BQ127" s="1051"/>
      <c r="BR127" s="1051"/>
      <c r="BS127" s="1051"/>
      <c r="BT127" s="1051"/>
      <c r="BU127" s="1051"/>
      <c r="BV127" s="1051"/>
      <c r="BW127" s="1051"/>
      <c r="BX127" s="1051"/>
      <c r="BY127" s="1051"/>
      <c r="BZ127" s="1051"/>
      <c r="CA127" s="1051"/>
      <c r="CB127" s="1051"/>
      <c r="CC127" s="1051"/>
      <c r="CD127" s="1051"/>
      <c r="CE127" s="1051"/>
      <c r="CF127" s="1051"/>
      <c r="CG127" s="1051"/>
      <c r="CH127" s="1051"/>
      <c r="CI127" s="1051"/>
      <c r="CJ127" s="1051"/>
      <c r="CK127" s="1051"/>
      <c r="CL127" s="1051"/>
      <c r="CM127" s="1051"/>
      <c r="CN127" s="1051"/>
      <c r="CO127" s="1051"/>
      <c r="CP127" s="1051"/>
      <c r="CQ127" s="1051"/>
      <c r="CR127" s="1051"/>
      <c r="CS127" s="1051"/>
      <c r="CT127" s="1051"/>
      <c r="CU127" s="1051"/>
      <c r="CV127" s="1051"/>
      <c r="CW127" s="1051"/>
      <c r="CX127" s="1051"/>
      <c r="CY127" s="1051"/>
      <c r="CZ127" s="1051"/>
      <c r="DA127" s="1051"/>
      <c r="DB127" s="1051"/>
      <c r="DC127" s="1051"/>
      <c r="DD127" s="1051"/>
      <c r="DE127" s="1051"/>
      <c r="DF127" s="1051"/>
      <c r="DG127" s="1051"/>
      <c r="DH127" s="1051"/>
      <c r="DI127" s="1051"/>
      <c r="DJ127" s="1051"/>
      <c r="DK127" s="1051"/>
      <c r="DL127" s="1051"/>
      <c r="DM127" s="1051"/>
      <c r="DN127" s="1051"/>
      <c r="DO127" s="1051"/>
      <c r="DP127" s="1051"/>
      <c r="DQ127" s="1051"/>
      <c r="DR127" s="1051"/>
      <c r="DS127" s="1051"/>
      <c r="DT127" s="1051"/>
      <c r="DU127" s="1051"/>
      <c r="DV127" s="1051"/>
      <c r="DW127" s="1051"/>
      <c r="DX127" s="1051"/>
      <c r="DY127" s="1051"/>
      <c r="DZ127" s="1051"/>
      <c r="EA127" s="1051"/>
      <c r="EB127" s="1051"/>
      <c r="EC127" s="1051"/>
      <c r="ED127" s="1051"/>
      <c r="EE127" s="1051"/>
      <c r="EF127" s="1051"/>
      <c r="EG127" s="1051"/>
      <c r="EH127" s="1051"/>
      <c r="EI127" s="1051"/>
      <c r="EJ127" s="1051"/>
      <c r="EK127" s="1051"/>
      <c r="EL127" s="1051"/>
      <c r="EM127" s="1051"/>
      <c r="EN127" s="1051"/>
      <c r="EO127" s="1051"/>
      <c r="EP127" s="1051"/>
      <c r="EQ127" s="1051"/>
      <c r="ER127" s="1051"/>
      <c r="ES127" s="1051"/>
      <c r="ET127" s="1051"/>
      <c r="EU127" s="1051"/>
      <c r="EV127" s="1051"/>
      <c r="EW127" s="1051"/>
      <c r="EX127" s="1051"/>
      <c r="EY127" s="1051"/>
      <c r="EZ127" s="1051"/>
      <c r="FA127" s="1051"/>
      <c r="FB127" s="1051"/>
      <c r="FC127" s="1051"/>
      <c r="FD127" s="1051"/>
      <c r="FE127" s="1051"/>
      <c r="FF127" s="1051"/>
      <c r="FG127" s="1051"/>
      <c r="FH127" s="1051"/>
      <c r="FI127" s="1051"/>
      <c r="FJ127" s="1051"/>
      <c r="FK127" s="1051"/>
      <c r="FL127" s="1051"/>
      <c r="FM127" s="1051"/>
      <c r="FN127" s="1051"/>
      <c r="FO127" s="1051"/>
      <c r="FP127" s="1051"/>
      <c r="FQ127" s="1051"/>
      <c r="FR127" s="1051"/>
      <c r="FS127" s="1051"/>
      <c r="FT127" s="1051"/>
      <c r="FU127" s="1051"/>
      <c r="FV127" s="1051"/>
      <c r="FW127" s="1051"/>
      <c r="FX127" s="1051"/>
      <c r="FY127" s="1051"/>
      <c r="FZ127" s="1051"/>
      <c r="GA127" s="1051"/>
      <c r="GB127" s="1051"/>
      <c r="GC127" s="1051"/>
      <c r="GD127" s="1051"/>
      <c r="GE127" s="1051"/>
      <c r="GF127" s="1051"/>
      <c r="GG127" s="1051"/>
      <c r="GH127" s="1051"/>
      <c r="GI127" s="1051"/>
      <c r="GJ127" s="1051"/>
      <c r="GK127" s="1051"/>
      <c r="GL127" s="1051"/>
      <c r="GM127" s="1051"/>
      <c r="GN127" s="1051"/>
      <c r="GO127" s="1051"/>
      <c r="GP127" s="1051"/>
      <c r="GQ127" s="1051"/>
      <c r="GR127" s="1051"/>
      <c r="GS127" s="1051"/>
      <c r="GT127" s="1051"/>
      <c r="GU127" s="1051"/>
      <c r="GV127" s="1051"/>
      <c r="GW127" s="1051"/>
      <c r="GX127" s="1051"/>
      <c r="GY127" s="1051"/>
      <c r="GZ127" s="1051"/>
      <c r="HA127" s="1051"/>
      <c r="HB127" s="1051"/>
      <c r="HC127" s="1051"/>
      <c r="HD127" s="1051"/>
      <c r="HE127" s="1051"/>
      <c r="HF127" s="1051"/>
      <c r="HG127" s="1051"/>
      <c r="HH127" s="1051"/>
      <c r="HI127" s="1051"/>
      <c r="HJ127" s="1051"/>
      <c r="HK127" s="1051"/>
      <c r="HL127" s="1051"/>
      <c r="HM127" s="1051"/>
      <c r="HN127" s="1051"/>
      <c r="HO127" s="1051"/>
      <c r="HP127" s="1051"/>
      <c r="HQ127" s="1051"/>
      <c r="HR127" s="1051"/>
      <c r="HS127" s="1051"/>
      <c r="HT127" s="1051"/>
      <c r="HU127" s="1051"/>
      <c r="HV127" s="1051"/>
      <c r="HW127" s="1051"/>
      <c r="HX127" s="1051"/>
      <c r="HY127" s="1051"/>
      <c r="HZ127" s="1051"/>
      <c r="IA127" s="1051"/>
      <c r="IB127" s="1051"/>
      <c r="IC127" s="1051"/>
      <c r="ID127" s="1051"/>
      <c r="IE127" s="1051"/>
      <c r="IF127" s="1051"/>
      <c r="IG127" s="1051"/>
      <c r="IH127" s="1051"/>
      <c r="II127" s="1051"/>
      <c r="IJ127" s="1051"/>
      <c r="IK127" s="1051"/>
      <c r="IL127" s="1051"/>
      <c r="IM127" s="1051"/>
      <c r="IN127" s="1051"/>
      <c r="IO127" s="1051"/>
      <c r="IP127" s="1051"/>
      <c r="IQ127" s="1051"/>
      <c r="IR127" s="1051"/>
      <c r="IS127" s="1051"/>
      <c r="IT127" s="1051"/>
      <c r="IU127" s="1051"/>
      <c r="IV127" s="1051"/>
    </row>
    <row r="128" spans="1:256" x14ac:dyDescent="0.2">
      <c r="A128" s="1555" t="s">
        <v>12</v>
      </c>
      <c r="B128" s="1556"/>
      <c r="C128" s="1043">
        <f>SUM(C126:C127)</f>
        <v>0</v>
      </c>
      <c r="D128" s="1043">
        <f>SUM(D126:D127)</f>
        <v>0</v>
      </c>
      <c r="E128" s="1043">
        <f>SUM(E126:E127)</f>
        <v>169037</v>
      </c>
      <c r="F128" s="1045" t="s">
        <v>446</v>
      </c>
      <c r="G128" s="1051"/>
      <c r="H128" s="1051"/>
      <c r="I128" s="1051"/>
      <c r="J128" s="1051"/>
      <c r="K128" s="1051"/>
      <c r="L128" s="1051"/>
      <c r="M128" s="1051"/>
      <c r="N128" s="1051"/>
      <c r="O128" s="1051"/>
      <c r="P128" s="1051"/>
      <c r="Q128" s="1051"/>
      <c r="R128" s="1051"/>
      <c r="S128" s="1051"/>
      <c r="T128" s="1051"/>
      <c r="U128" s="1051"/>
      <c r="V128" s="1051"/>
      <c r="W128" s="1051"/>
      <c r="X128" s="1051"/>
      <c r="Y128" s="1051"/>
      <c r="Z128" s="1051"/>
      <c r="AA128" s="1051"/>
      <c r="AB128" s="1051"/>
      <c r="AC128" s="1051"/>
      <c r="AD128" s="1051"/>
      <c r="AE128" s="1051"/>
      <c r="AF128" s="1051"/>
      <c r="AG128" s="1051"/>
      <c r="AH128" s="1051"/>
      <c r="AI128" s="1051"/>
      <c r="AJ128" s="1051"/>
      <c r="AK128" s="1051"/>
      <c r="AL128" s="1051"/>
      <c r="AM128" s="1051"/>
      <c r="AN128" s="1051"/>
      <c r="AO128" s="1051"/>
      <c r="AP128" s="1051"/>
      <c r="AQ128" s="1051"/>
      <c r="AR128" s="1051"/>
      <c r="AS128" s="1051"/>
      <c r="AT128" s="1051"/>
      <c r="AU128" s="1051"/>
      <c r="AV128" s="1051"/>
      <c r="AW128" s="1051"/>
      <c r="AX128" s="1051"/>
      <c r="AY128" s="1051"/>
      <c r="AZ128" s="1051"/>
      <c r="BA128" s="1051"/>
      <c r="BB128" s="1051"/>
      <c r="BC128" s="1051"/>
      <c r="BD128" s="1051"/>
      <c r="BE128" s="1051"/>
      <c r="BF128" s="1051"/>
      <c r="BG128" s="1051"/>
      <c r="BH128" s="1051"/>
      <c r="BI128" s="1051"/>
      <c r="BJ128" s="1051"/>
      <c r="BK128" s="1051"/>
      <c r="BL128" s="1051"/>
      <c r="BM128" s="1051"/>
      <c r="BN128" s="1051"/>
      <c r="BO128" s="1051"/>
      <c r="BP128" s="1051"/>
      <c r="BQ128" s="1051"/>
      <c r="BR128" s="1051"/>
      <c r="BS128" s="1051"/>
      <c r="BT128" s="1051"/>
      <c r="BU128" s="1051"/>
      <c r="BV128" s="1051"/>
      <c r="BW128" s="1051"/>
      <c r="BX128" s="1051"/>
      <c r="BY128" s="1051"/>
      <c r="BZ128" s="1051"/>
      <c r="CA128" s="1051"/>
      <c r="CB128" s="1051"/>
      <c r="CC128" s="1051"/>
      <c r="CD128" s="1051"/>
      <c r="CE128" s="1051"/>
      <c r="CF128" s="1051"/>
      <c r="CG128" s="1051"/>
      <c r="CH128" s="1051"/>
      <c r="CI128" s="1051"/>
      <c r="CJ128" s="1051"/>
      <c r="CK128" s="1051"/>
      <c r="CL128" s="1051"/>
      <c r="CM128" s="1051"/>
      <c r="CN128" s="1051"/>
      <c r="CO128" s="1051"/>
      <c r="CP128" s="1051"/>
      <c r="CQ128" s="1051"/>
      <c r="CR128" s="1051"/>
      <c r="CS128" s="1051"/>
      <c r="CT128" s="1051"/>
      <c r="CU128" s="1051"/>
      <c r="CV128" s="1051"/>
      <c r="CW128" s="1051"/>
      <c r="CX128" s="1051"/>
      <c r="CY128" s="1051"/>
      <c r="CZ128" s="1051"/>
      <c r="DA128" s="1051"/>
      <c r="DB128" s="1051"/>
      <c r="DC128" s="1051"/>
      <c r="DD128" s="1051"/>
      <c r="DE128" s="1051"/>
      <c r="DF128" s="1051"/>
      <c r="DG128" s="1051"/>
      <c r="DH128" s="1051"/>
      <c r="DI128" s="1051"/>
      <c r="DJ128" s="1051"/>
      <c r="DK128" s="1051"/>
      <c r="DL128" s="1051"/>
      <c r="DM128" s="1051"/>
      <c r="DN128" s="1051"/>
      <c r="DO128" s="1051"/>
      <c r="DP128" s="1051"/>
      <c r="DQ128" s="1051"/>
      <c r="DR128" s="1051"/>
      <c r="DS128" s="1051"/>
      <c r="DT128" s="1051"/>
      <c r="DU128" s="1051"/>
      <c r="DV128" s="1051"/>
      <c r="DW128" s="1051"/>
      <c r="DX128" s="1051"/>
      <c r="DY128" s="1051"/>
      <c r="DZ128" s="1051"/>
      <c r="EA128" s="1051"/>
      <c r="EB128" s="1051"/>
      <c r="EC128" s="1051"/>
      <c r="ED128" s="1051"/>
      <c r="EE128" s="1051"/>
      <c r="EF128" s="1051"/>
      <c r="EG128" s="1051"/>
      <c r="EH128" s="1051"/>
      <c r="EI128" s="1051"/>
      <c r="EJ128" s="1051"/>
      <c r="EK128" s="1051"/>
      <c r="EL128" s="1051"/>
      <c r="EM128" s="1051"/>
      <c r="EN128" s="1051"/>
      <c r="EO128" s="1051"/>
      <c r="EP128" s="1051"/>
      <c r="EQ128" s="1051"/>
      <c r="ER128" s="1051"/>
      <c r="ES128" s="1051"/>
      <c r="ET128" s="1051"/>
      <c r="EU128" s="1051"/>
      <c r="EV128" s="1051"/>
      <c r="EW128" s="1051"/>
      <c r="EX128" s="1051"/>
      <c r="EY128" s="1051"/>
      <c r="EZ128" s="1051"/>
      <c r="FA128" s="1051"/>
      <c r="FB128" s="1051"/>
      <c r="FC128" s="1051"/>
      <c r="FD128" s="1051"/>
      <c r="FE128" s="1051"/>
      <c r="FF128" s="1051"/>
      <c r="FG128" s="1051"/>
      <c r="FH128" s="1051"/>
      <c r="FI128" s="1051"/>
      <c r="FJ128" s="1051"/>
      <c r="FK128" s="1051"/>
      <c r="FL128" s="1051"/>
      <c r="FM128" s="1051"/>
      <c r="FN128" s="1051"/>
      <c r="FO128" s="1051"/>
      <c r="FP128" s="1051"/>
      <c r="FQ128" s="1051"/>
      <c r="FR128" s="1051"/>
      <c r="FS128" s="1051"/>
      <c r="FT128" s="1051"/>
      <c r="FU128" s="1051"/>
      <c r="FV128" s="1051"/>
      <c r="FW128" s="1051"/>
      <c r="FX128" s="1051"/>
      <c r="FY128" s="1051"/>
      <c r="FZ128" s="1051"/>
      <c r="GA128" s="1051"/>
      <c r="GB128" s="1051"/>
      <c r="GC128" s="1051"/>
      <c r="GD128" s="1051"/>
      <c r="GE128" s="1051"/>
      <c r="GF128" s="1051"/>
      <c r="GG128" s="1051"/>
      <c r="GH128" s="1051"/>
      <c r="GI128" s="1051"/>
      <c r="GJ128" s="1051"/>
      <c r="GK128" s="1051"/>
      <c r="GL128" s="1051"/>
      <c r="GM128" s="1051"/>
      <c r="GN128" s="1051"/>
      <c r="GO128" s="1051"/>
      <c r="GP128" s="1051"/>
      <c r="GQ128" s="1051"/>
      <c r="GR128" s="1051"/>
      <c r="GS128" s="1051"/>
      <c r="GT128" s="1051"/>
      <c r="GU128" s="1051"/>
      <c r="GV128" s="1051"/>
      <c r="GW128" s="1051"/>
      <c r="GX128" s="1051"/>
      <c r="GY128" s="1051"/>
      <c r="GZ128" s="1051"/>
      <c r="HA128" s="1051"/>
      <c r="HB128" s="1051"/>
      <c r="HC128" s="1051"/>
      <c r="HD128" s="1051"/>
      <c r="HE128" s="1051"/>
      <c r="HF128" s="1051"/>
      <c r="HG128" s="1051"/>
      <c r="HH128" s="1051"/>
      <c r="HI128" s="1051"/>
      <c r="HJ128" s="1051"/>
      <c r="HK128" s="1051"/>
      <c r="HL128" s="1051"/>
      <c r="HM128" s="1051"/>
      <c r="HN128" s="1051"/>
      <c r="HO128" s="1051"/>
      <c r="HP128" s="1051"/>
      <c r="HQ128" s="1051"/>
      <c r="HR128" s="1051"/>
      <c r="HS128" s="1051"/>
      <c r="HT128" s="1051"/>
      <c r="HU128" s="1051"/>
      <c r="HV128" s="1051"/>
      <c r="HW128" s="1051"/>
      <c r="HX128" s="1051"/>
      <c r="HY128" s="1051"/>
      <c r="HZ128" s="1051"/>
      <c r="IA128" s="1051"/>
      <c r="IB128" s="1051"/>
      <c r="IC128" s="1051"/>
      <c r="ID128" s="1051"/>
      <c r="IE128" s="1051"/>
      <c r="IF128" s="1051"/>
      <c r="IG128" s="1051"/>
      <c r="IH128" s="1051"/>
      <c r="II128" s="1051"/>
      <c r="IJ128" s="1051"/>
      <c r="IK128" s="1051"/>
      <c r="IL128" s="1051"/>
      <c r="IM128" s="1051"/>
      <c r="IN128" s="1051"/>
      <c r="IO128" s="1051"/>
      <c r="IP128" s="1051"/>
      <c r="IQ128" s="1051"/>
      <c r="IR128" s="1051"/>
      <c r="IS128" s="1051"/>
      <c r="IT128" s="1051"/>
      <c r="IU128" s="1051"/>
      <c r="IV128" s="1051"/>
    </row>
    <row r="129" spans="1:256" x14ac:dyDescent="0.2">
      <c r="A129" s="1549" t="s">
        <v>73</v>
      </c>
      <c r="B129" s="1569"/>
      <c r="C129" s="1046">
        <f>C119+C121+C125+C128</f>
        <v>3168000</v>
      </c>
      <c r="D129" s="1046">
        <f>D119+D121+D125+D128</f>
        <v>9185921</v>
      </c>
      <c r="E129" s="1046">
        <f>E119+E121+E125+E128</f>
        <v>5704714</v>
      </c>
      <c r="F129" s="1047">
        <f t="shared" si="5"/>
        <v>0.62102798402032855</v>
      </c>
    </row>
    <row r="130" spans="1:256" x14ac:dyDescent="0.2">
      <c r="A130" s="1552" t="s">
        <v>765</v>
      </c>
      <c r="B130" s="1553"/>
      <c r="C130" s="1553"/>
      <c r="D130" s="1553"/>
      <c r="E130" s="1553"/>
      <c r="F130" s="1554"/>
    </row>
    <row r="131" spans="1:256" x14ac:dyDescent="0.2">
      <c r="A131" s="1036" t="s">
        <v>70</v>
      </c>
      <c r="B131" s="1037" t="s">
        <v>71</v>
      </c>
      <c r="C131" s="1038" t="s">
        <v>687</v>
      </c>
      <c r="D131" s="1038" t="s">
        <v>688</v>
      </c>
      <c r="E131" s="1039" t="s">
        <v>689</v>
      </c>
      <c r="F131" s="1040" t="s">
        <v>690</v>
      </c>
    </row>
    <row r="132" spans="1:256" x14ac:dyDescent="0.2">
      <c r="A132" s="1041" t="s">
        <v>734</v>
      </c>
      <c r="B132" s="1042" t="s">
        <v>759</v>
      </c>
      <c r="C132" s="1043">
        <v>7383000</v>
      </c>
      <c r="D132" s="1043">
        <v>7383000</v>
      </c>
      <c r="E132" s="1052">
        <v>8560917</v>
      </c>
      <c r="F132" s="1045">
        <f>E132/D132</f>
        <v>1.1595444941080861</v>
      </c>
    </row>
    <row r="133" spans="1:256" x14ac:dyDescent="0.2">
      <c r="A133" s="1564" t="s">
        <v>18</v>
      </c>
      <c r="B133" s="1574"/>
      <c r="C133" s="1043">
        <f>SUM(C132)</f>
        <v>7383000</v>
      </c>
      <c r="D133" s="1043">
        <f>SUM(D132)</f>
        <v>7383000</v>
      </c>
      <c r="E133" s="1043">
        <f>SUM(E132)</f>
        <v>8560917</v>
      </c>
      <c r="F133" s="1045">
        <f t="shared" ref="F133:F153" si="6">E133/D133</f>
        <v>1.1595444941080861</v>
      </c>
      <c r="G133" s="1051"/>
      <c r="H133" s="1051"/>
      <c r="I133" s="1051"/>
      <c r="J133" s="1051"/>
      <c r="K133" s="1051"/>
      <c r="L133" s="1051"/>
      <c r="M133" s="1051"/>
      <c r="N133" s="1051"/>
      <c r="O133" s="1051"/>
      <c r="P133" s="1051"/>
      <c r="Q133" s="1051"/>
      <c r="R133" s="1051"/>
      <c r="S133" s="1051"/>
      <c r="T133" s="1051"/>
      <c r="U133" s="1051"/>
      <c r="V133" s="1051"/>
      <c r="W133" s="1051"/>
      <c r="X133" s="1051"/>
      <c r="Y133" s="1051"/>
      <c r="Z133" s="1051"/>
      <c r="AA133" s="1051"/>
      <c r="AB133" s="1051"/>
      <c r="AC133" s="1051"/>
      <c r="AD133" s="1051"/>
      <c r="AE133" s="1051"/>
      <c r="AF133" s="1051"/>
      <c r="AG133" s="1051"/>
      <c r="AH133" s="1051"/>
      <c r="AI133" s="1051"/>
      <c r="AJ133" s="1051"/>
      <c r="AK133" s="1051"/>
      <c r="AL133" s="1051"/>
      <c r="AM133" s="1051"/>
      <c r="AN133" s="1051"/>
      <c r="AO133" s="1051"/>
      <c r="AP133" s="1051"/>
      <c r="AQ133" s="1051"/>
      <c r="AR133" s="1051"/>
      <c r="AS133" s="1051"/>
      <c r="AT133" s="1051"/>
      <c r="AU133" s="1051"/>
      <c r="AV133" s="1051"/>
      <c r="AW133" s="1051"/>
      <c r="AX133" s="1051"/>
      <c r="AY133" s="1051"/>
      <c r="AZ133" s="1051"/>
      <c r="BA133" s="1051"/>
      <c r="BB133" s="1051"/>
      <c r="BC133" s="1051"/>
      <c r="BD133" s="1051"/>
      <c r="BE133" s="1051"/>
      <c r="BF133" s="1051"/>
      <c r="BG133" s="1051"/>
      <c r="BH133" s="1051"/>
      <c r="BI133" s="1051"/>
      <c r="BJ133" s="1051"/>
      <c r="BK133" s="1051"/>
      <c r="BL133" s="1051"/>
      <c r="BM133" s="1051"/>
      <c r="BN133" s="1051"/>
      <c r="BO133" s="1051"/>
      <c r="BP133" s="1051"/>
      <c r="BQ133" s="1051"/>
      <c r="BR133" s="1051"/>
      <c r="BS133" s="1051"/>
      <c r="BT133" s="1051"/>
      <c r="BU133" s="1051"/>
      <c r="BV133" s="1051"/>
      <c r="BW133" s="1051"/>
      <c r="BX133" s="1051"/>
      <c r="BY133" s="1051"/>
      <c r="BZ133" s="1051"/>
      <c r="CA133" s="1051"/>
      <c r="CB133" s="1051"/>
      <c r="CC133" s="1051"/>
      <c r="CD133" s="1051"/>
      <c r="CE133" s="1051"/>
      <c r="CF133" s="1051"/>
      <c r="CG133" s="1051"/>
      <c r="CH133" s="1051"/>
      <c r="CI133" s="1051"/>
      <c r="CJ133" s="1051"/>
      <c r="CK133" s="1051"/>
      <c r="CL133" s="1051"/>
      <c r="CM133" s="1051"/>
      <c r="CN133" s="1051"/>
      <c r="CO133" s="1051"/>
      <c r="CP133" s="1051"/>
      <c r="CQ133" s="1051"/>
      <c r="CR133" s="1051"/>
      <c r="CS133" s="1051"/>
      <c r="CT133" s="1051"/>
      <c r="CU133" s="1051"/>
      <c r="CV133" s="1051"/>
      <c r="CW133" s="1051"/>
      <c r="CX133" s="1051"/>
      <c r="CY133" s="1051"/>
      <c r="CZ133" s="1051"/>
      <c r="DA133" s="1051"/>
      <c r="DB133" s="1051"/>
      <c r="DC133" s="1051"/>
      <c r="DD133" s="1051"/>
      <c r="DE133" s="1051"/>
      <c r="DF133" s="1051"/>
      <c r="DG133" s="1051"/>
      <c r="DH133" s="1051"/>
      <c r="DI133" s="1051"/>
      <c r="DJ133" s="1051"/>
      <c r="DK133" s="1051"/>
      <c r="DL133" s="1051"/>
      <c r="DM133" s="1051"/>
      <c r="DN133" s="1051"/>
      <c r="DO133" s="1051"/>
      <c r="DP133" s="1051"/>
      <c r="DQ133" s="1051"/>
      <c r="DR133" s="1051"/>
      <c r="DS133" s="1051"/>
      <c r="DT133" s="1051"/>
      <c r="DU133" s="1051"/>
      <c r="DV133" s="1051"/>
      <c r="DW133" s="1051"/>
      <c r="DX133" s="1051"/>
      <c r="DY133" s="1051"/>
      <c r="DZ133" s="1051"/>
      <c r="EA133" s="1051"/>
      <c r="EB133" s="1051"/>
      <c r="EC133" s="1051"/>
      <c r="ED133" s="1051"/>
      <c r="EE133" s="1051"/>
      <c r="EF133" s="1051"/>
      <c r="EG133" s="1051"/>
      <c r="EH133" s="1051"/>
      <c r="EI133" s="1051"/>
      <c r="EJ133" s="1051"/>
      <c r="EK133" s="1051"/>
      <c r="EL133" s="1051"/>
      <c r="EM133" s="1051"/>
      <c r="EN133" s="1051"/>
      <c r="EO133" s="1051"/>
      <c r="EP133" s="1051"/>
      <c r="EQ133" s="1051"/>
      <c r="ER133" s="1051"/>
      <c r="ES133" s="1051"/>
      <c r="ET133" s="1051"/>
      <c r="EU133" s="1051"/>
      <c r="EV133" s="1051"/>
      <c r="EW133" s="1051"/>
      <c r="EX133" s="1051"/>
      <c r="EY133" s="1051"/>
      <c r="EZ133" s="1051"/>
      <c r="FA133" s="1051"/>
      <c r="FB133" s="1051"/>
      <c r="FC133" s="1051"/>
      <c r="FD133" s="1051"/>
      <c r="FE133" s="1051"/>
      <c r="FF133" s="1051"/>
      <c r="FG133" s="1051"/>
      <c r="FH133" s="1051"/>
      <c r="FI133" s="1051"/>
      <c r="FJ133" s="1051"/>
      <c r="FK133" s="1051"/>
      <c r="FL133" s="1051"/>
      <c r="FM133" s="1051"/>
      <c r="FN133" s="1051"/>
      <c r="FO133" s="1051"/>
      <c r="FP133" s="1051"/>
      <c r="FQ133" s="1051"/>
      <c r="FR133" s="1051"/>
      <c r="FS133" s="1051"/>
      <c r="FT133" s="1051"/>
      <c r="FU133" s="1051"/>
      <c r="FV133" s="1051"/>
      <c r="FW133" s="1051"/>
      <c r="FX133" s="1051"/>
      <c r="FY133" s="1051"/>
      <c r="FZ133" s="1051"/>
      <c r="GA133" s="1051"/>
      <c r="GB133" s="1051"/>
      <c r="GC133" s="1051"/>
      <c r="GD133" s="1051"/>
      <c r="GE133" s="1051"/>
      <c r="GF133" s="1051"/>
      <c r="GG133" s="1051"/>
      <c r="GH133" s="1051"/>
      <c r="GI133" s="1051"/>
      <c r="GJ133" s="1051"/>
      <c r="GK133" s="1051"/>
      <c r="GL133" s="1051"/>
      <c r="GM133" s="1051"/>
      <c r="GN133" s="1051"/>
      <c r="GO133" s="1051"/>
      <c r="GP133" s="1051"/>
      <c r="GQ133" s="1051"/>
      <c r="GR133" s="1051"/>
      <c r="GS133" s="1051"/>
      <c r="GT133" s="1051"/>
      <c r="GU133" s="1051"/>
      <c r="GV133" s="1051"/>
      <c r="GW133" s="1051"/>
      <c r="GX133" s="1051"/>
      <c r="GY133" s="1051"/>
      <c r="GZ133" s="1051"/>
      <c r="HA133" s="1051"/>
      <c r="HB133" s="1051"/>
      <c r="HC133" s="1051"/>
      <c r="HD133" s="1051"/>
      <c r="HE133" s="1051"/>
      <c r="HF133" s="1051"/>
      <c r="HG133" s="1051"/>
      <c r="HH133" s="1051"/>
      <c r="HI133" s="1051"/>
      <c r="HJ133" s="1051"/>
      <c r="HK133" s="1051"/>
      <c r="HL133" s="1051"/>
      <c r="HM133" s="1051"/>
      <c r="HN133" s="1051"/>
      <c r="HO133" s="1051"/>
      <c r="HP133" s="1051"/>
      <c r="HQ133" s="1051"/>
      <c r="HR133" s="1051"/>
      <c r="HS133" s="1051"/>
      <c r="HT133" s="1051"/>
      <c r="HU133" s="1051"/>
      <c r="HV133" s="1051"/>
      <c r="HW133" s="1051"/>
      <c r="HX133" s="1051"/>
      <c r="HY133" s="1051"/>
      <c r="HZ133" s="1051"/>
      <c r="IA133" s="1051"/>
      <c r="IB133" s="1051"/>
      <c r="IC133" s="1051"/>
      <c r="ID133" s="1051"/>
      <c r="IE133" s="1051"/>
      <c r="IF133" s="1051"/>
      <c r="IG133" s="1051"/>
      <c r="IH133" s="1051"/>
      <c r="II133" s="1051"/>
      <c r="IJ133" s="1051"/>
      <c r="IK133" s="1051"/>
      <c r="IL133" s="1051"/>
      <c r="IM133" s="1051"/>
      <c r="IN133" s="1051"/>
      <c r="IO133" s="1051"/>
      <c r="IP133" s="1051"/>
      <c r="IQ133" s="1051"/>
      <c r="IR133" s="1051"/>
      <c r="IS133" s="1051"/>
      <c r="IT133" s="1051"/>
      <c r="IU133" s="1051"/>
      <c r="IV133" s="1051"/>
    </row>
    <row r="134" spans="1:256" x14ac:dyDescent="0.2">
      <c r="A134" s="1041" t="s">
        <v>760</v>
      </c>
      <c r="B134" s="1064" t="s">
        <v>761</v>
      </c>
      <c r="C134" s="1043">
        <v>1729000</v>
      </c>
      <c r="D134" s="1043">
        <v>1729000</v>
      </c>
      <c r="E134" s="1052">
        <v>395999</v>
      </c>
      <c r="F134" s="1045">
        <f t="shared" si="6"/>
        <v>0.22903354540196647</v>
      </c>
      <c r="G134" s="1051"/>
      <c r="H134" s="1051"/>
      <c r="I134" s="1051"/>
      <c r="J134" s="1051"/>
      <c r="K134" s="1051"/>
      <c r="L134" s="1051"/>
      <c r="M134" s="1051"/>
      <c r="N134" s="1051"/>
      <c r="O134" s="1051"/>
      <c r="P134" s="1051"/>
      <c r="Q134" s="1051"/>
      <c r="R134" s="1051"/>
      <c r="S134" s="1051"/>
      <c r="T134" s="1051"/>
      <c r="U134" s="1051"/>
      <c r="V134" s="1051"/>
      <c r="W134" s="1051"/>
      <c r="X134" s="1051"/>
      <c r="Y134" s="1051"/>
      <c r="Z134" s="1051"/>
      <c r="AA134" s="1051"/>
      <c r="AB134" s="1051"/>
      <c r="AC134" s="1051"/>
      <c r="AD134" s="1051"/>
      <c r="AE134" s="1051"/>
      <c r="AF134" s="1051"/>
      <c r="AG134" s="1051"/>
      <c r="AH134" s="1051"/>
      <c r="AI134" s="1051"/>
      <c r="AJ134" s="1051"/>
      <c r="AK134" s="1051"/>
      <c r="AL134" s="1051"/>
      <c r="AM134" s="1051"/>
      <c r="AN134" s="1051"/>
      <c r="AO134" s="1051"/>
      <c r="AP134" s="1051"/>
      <c r="AQ134" s="1051"/>
      <c r="AR134" s="1051"/>
      <c r="AS134" s="1051"/>
      <c r="AT134" s="1051"/>
      <c r="AU134" s="1051"/>
      <c r="AV134" s="1051"/>
      <c r="AW134" s="1051"/>
      <c r="AX134" s="1051"/>
      <c r="AY134" s="1051"/>
      <c r="AZ134" s="1051"/>
      <c r="BA134" s="1051"/>
      <c r="BB134" s="1051"/>
      <c r="BC134" s="1051"/>
      <c r="BD134" s="1051"/>
      <c r="BE134" s="1051"/>
      <c r="BF134" s="1051"/>
      <c r="BG134" s="1051"/>
      <c r="BH134" s="1051"/>
      <c r="BI134" s="1051"/>
      <c r="BJ134" s="1051"/>
      <c r="BK134" s="1051"/>
      <c r="BL134" s="1051"/>
      <c r="BM134" s="1051"/>
      <c r="BN134" s="1051"/>
      <c r="BO134" s="1051"/>
      <c r="BP134" s="1051"/>
      <c r="BQ134" s="1051"/>
      <c r="BR134" s="1051"/>
      <c r="BS134" s="1051"/>
      <c r="BT134" s="1051"/>
      <c r="BU134" s="1051"/>
      <c r="BV134" s="1051"/>
      <c r="BW134" s="1051"/>
      <c r="BX134" s="1051"/>
      <c r="BY134" s="1051"/>
      <c r="BZ134" s="1051"/>
      <c r="CA134" s="1051"/>
      <c r="CB134" s="1051"/>
      <c r="CC134" s="1051"/>
      <c r="CD134" s="1051"/>
      <c r="CE134" s="1051"/>
      <c r="CF134" s="1051"/>
      <c r="CG134" s="1051"/>
      <c r="CH134" s="1051"/>
      <c r="CI134" s="1051"/>
      <c r="CJ134" s="1051"/>
      <c r="CK134" s="1051"/>
      <c r="CL134" s="1051"/>
      <c r="CM134" s="1051"/>
      <c r="CN134" s="1051"/>
      <c r="CO134" s="1051"/>
      <c r="CP134" s="1051"/>
      <c r="CQ134" s="1051"/>
      <c r="CR134" s="1051"/>
      <c r="CS134" s="1051"/>
      <c r="CT134" s="1051"/>
      <c r="CU134" s="1051"/>
      <c r="CV134" s="1051"/>
      <c r="CW134" s="1051"/>
      <c r="CX134" s="1051"/>
      <c r="CY134" s="1051"/>
      <c r="CZ134" s="1051"/>
      <c r="DA134" s="1051"/>
      <c r="DB134" s="1051"/>
      <c r="DC134" s="1051"/>
      <c r="DD134" s="1051"/>
      <c r="DE134" s="1051"/>
      <c r="DF134" s="1051"/>
      <c r="DG134" s="1051"/>
      <c r="DH134" s="1051"/>
      <c r="DI134" s="1051"/>
      <c r="DJ134" s="1051"/>
      <c r="DK134" s="1051"/>
      <c r="DL134" s="1051"/>
      <c r="DM134" s="1051"/>
      <c r="DN134" s="1051"/>
      <c r="DO134" s="1051"/>
      <c r="DP134" s="1051"/>
      <c r="DQ134" s="1051"/>
      <c r="DR134" s="1051"/>
      <c r="DS134" s="1051"/>
      <c r="DT134" s="1051"/>
      <c r="DU134" s="1051"/>
      <c r="DV134" s="1051"/>
      <c r="DW134" s="1051"/>
      <c r="DX134" s="1051"/>
      <c r="DY134" s="1051"/>
      <c r="DZ134" s="1051"/>
      <c r="EA134" s="1051"/>
      <c r="EB134" s="1051"/>
      <c r="EC134" s="1051"/>
      <c r="ED134" s="1051"/>
      <c r="EE134" s="1051"/>
      <c r="EF134" s="1051"/>
      <c r="EG134" s="1051"/>
      <c r="EH134" s="1051"/>
      <c r="EI134" s="1051"/>
      <c r="EJ134" s="1051"/>
      <c r="EK134" s="1051"/>
      <c r="EL134" s="1051"/>
      <c r="EM134" s="1051"/>
      <c r="EN134" s="1051"/>
      <c r="EO134" s="1051"/>
      <c r="EP134" s="1051"/>
      <c r="EQ134" s="1051"/>
      <c r="ER134" s="1051"/>
      <c r="ES134" s="1051"/>
      <c r="ET134" s="1051"/>
      <c r="EU134" s="1051"/>
      <c r="EV134" s="1051"/>
      <c r="EW134" s="1051"/>
      <c r="EX134" s="1051"/>
      <c r="EY134" s="1051"/>
      <c r="EZ134" s="1051"/>
      <c r="FA134" s="1051"/>
      <c r="FB134" s="1051"/>
      <c r="FC134" s="1051"/>
      <c r="FD134" s="1051"/>
      <c r="FE134" s="1051"/>
      <c r="FF134" s="1051"/>
      <c r="FG134" s="1051"/>
      <c r="FH134" s="1051"/>
      <c r="FI134" s="1051"/>
      <c r="FJ134" s="1051"/>
      <c r="FK134" s="1051"/>
      <c r="FL134" s="1051"/>
      <c r="FM134" s="1051"/>
      <c r="FN134" s="1051"/>
      <c r="FO134" s="1051"/>
      <c r="FP134" s="1051"/>
      <c r="FQ134" s="1051"/>
      <c r="FR134" s="1051"/>
      <c r="FS134" s="1051"/>
      <c r="FT134" s="1051"/>
      <c r="FU134" s="1051"/>
      <c r="FV134" s="1051"/>
      <c r="FW134" s="1051"/>
      <c r="FX134" s="1051"/>
      <c r="FY134" s="1051"/>
      <c r="FZ134" s="1051"/>
      <c r="GA134" s="1051"/>
      <c r="GB134" s="1051"/>
      <c r="GC134" s="1051"/>
      <c r="GD134" s="1051"/>
      <c r="GE134" s="1051"/>
      <c r="GF134" s="1051"/>
      <c r="GG134" s="1051"/>
      <c r="GH134" s="1051"/>
      <c r="GI134" s="1051"/>
      <c r="GJ134" s="1051"/>
      <c r="GK134" s="1051"/>
      <c r="GL134" s="1051"/>
      <c r="GM134" s="1051"/>
      <c r="GN134" s="1051"/>
      <c r="GO134" s="1051"/>
      <c r="GP134" s="1051"/>
      <c r="GQ134" s="1051"/>
      <c r="GR134" s="1051"/>
      <c r="GS134" s="1051"/>
      <c r="GT134" s="1051"/>
      <c r="GU134" s="1051"/>
      <c r="GV134" s="1051"/>
      <c r="GW134" s="1051"/>
      <c r="GX134" s="1051"/>
      <c r="GY134" s="1051"/>
      <c r="GZ134" s="1051"/>
      <c r="HA134" s="1051"/>
      <c r="HB134" s="1051"/>
      <c r="HC134" s="1051"/>
      <c r="HD134" s="1051"/>
      <c r="HE134" s="1051"/>
      <c r="HF134" s="1051"/>
      <c r="HG134" s="1051"/>
      <c r="HH134" s="1051"/>
      <c r="HI134" s="1051"/>
      <c r="HJ134" s="1051"/>
      <c r="HK134" s="1051"/>
      <c r="HL134" s="1051"/>
      <c r="HM134" s="1051"/>
      <c r="HN134" s="1051"/>
      <c r="HO134" s="1051"/>
      <c r="HP134" s="1051"/>
      <c r="HQ134" s="1051"/>
      <c r="HR134" s="1051"/>
      <c r="HS134" s="1051"/>
      <c r="HT134" s="1051"/>
      <c r="HU134" s="1051"/>
      <c r="HV134" s="1051"/>
      <c r="HW134" s="1051"/>
      <c r="HX134" s="1051"/>
      <c r="HY134" s="1051"/>
      <c r="HZ134" s="1051"/>
      <c r="IA134" s="1051"/>
      <c r="IB134" s="1051"/>
      <c r="IC134" s="1051"/>
      <c r="ID134" s="1051"/>
      <c r="IE134" s="1051"/>
      <c r="IF134" s="1051"/>
      <c r="IG134" s="1051"/>
      <c r="IH134" s="1051"/>
      <c r="II134" s="1051"/>
      <c r="IJ134" s="1051"/>
      <c r="IK134" s="1051"/>
      <c r="IL134" s="1051"/>
      <c r="IM134" s="1051"/>
      <c r="IN134" s="1051"/>
      <c r="IO134" s="1051"/>
      <c r="IP134" s="1051"/>
      <c r="IQ134" s="1051"/>
      <c r="IR134" s="1051"/>
      <c r="IS134" s="1051"/>
      <c r="IT134" s="1051"/>
      <c r="IU134" s="1051"/>
      <c r="IV134" s="1051"/>
    </row>
    <row r="135" spans="1:256" x14ac:dyDescent="0.2">
      <c r="A135" s="1564" t="s">
        <v>243</v>
      </c>
      <c r="B135" s="1574"/>
      <c r="C135" s="1043">
        <f>SUM(C134)</f>
        <v>1729000</v>
      </c>
      <c r="D135" s="1043">
        <f>SUM(D134)</f>
        <v>1729000</v>
      </c>
      <c r="E135" s="1043">
        <f>SUM(E134)</f>
        <v>395999</v>
      </c>
      <c r="F135" s="1045">
        <f t="shared" si="6"/>
        <v>0.22903354540196647</v>
      </c>
      <c r="G135" s="1051"/>
      <c r="H135" s="1051"/>
      <c r="I135" s="1051"/>
      <c r="J135" s="1051"/>
      <c r="K135" s="1051"/>
      <c r="L135" s="1051"/>
      <c r="M135" s="1051"/>
      <c r="N135" s="1051"/>
      <c r="O135" s="1051"/>
      <c r="P135" s="1051"/>
      <c r="Q135" s="1051"/>
      <c r="R135" s="1051"/>
      <c r="S135" s="1051"/>
      <c r="T135" s="1051"/>
      <c r="U135" s="1051"/>
      <c r="V135" s="1051"/>
      <c r="W135" s="1051"/>
      <c r="X135" s="1051"/>
      <c r="Y135" s="1051"/>
      <c r="Z135" s="1051"/>
      <c r="AA135" s="1051"/>
      <c r="AB135" s="1051"/>
      <c r="AC135" s="1051"/>
      <c r="AD135" s="1051"/>
      <c r="AE135" s="1051"/>
      <c r="AF135" s="1051"/>
      <c r="AG135" s="1051"/>
      <c r="AH135" s="1051"/>
      <c r="AI135" s="1051"/>
      <c r="AJ135" s="1051"/>
      <c r="AK135" s="1051"/>
      <c r="AL135" s="1051"/>
      <c r="AM135" s="1051"/>
      <c r="AN135" s="1051"/>
      <c r="AO135" s="1051"/>
      <c r="AP135" s="1051"/>
      <c r="AQ135" s="1051"/>
      <c r="AR135" s="1051"/>
      <c r="AS135" s="1051"/>
      <c r="AT135" s="1051"/>
      <c r="AU135" s="1051"/>
      <c r="AV135" s="1051"/>
      <c r="AW135" s="1051"/>
      <c r="AX135" s="1051"/>
      <c r="AY135" s="1051"/>
      <c r="AZ135" s="1051"/>
      <c r="BA135" s="1051"/>
      <c r="BB135" s="1051"/>
      <c r="BC135" s="1051"/>
      <c r="BD135" s="1051"/>
      <c r="BE135" s="1051"/>
      <c r="BF135" s="1051"/>
      <c r="BG135" s="1051"/>
      <c r="BH135" s="1051"/>
      <c r="BI135" s="1051"/>
      <c r="BJ135" s="1051"/>
      <c r="BK135" s="1051"/>
      <c r="BL135" s="1051"/>
      <c r="BM135" s="1051"/>
      <c r="BN135" s="1051"/>
      <c r="BO135" s="1051"/>
      <c r="BP135" s="1051"/>
      <c r="BQ135" s="1051"/>
      <c r="BR135" s="1051"/>
      <c r="BS135" s="1051"/>
      <c r="BT135" s="1051"/>
      <c r="BU135" s="1051"/>
      <c r="BV135" s="1051"/>
      <c r="BW135" s="1051"/>
      <c r="BX135" s="1051"/>
      <c r="BY135" s="1051"/>
      <c r="BZ135" s="1051"/>
      <c r="CA135" s="1051"/>
      <c r="CB135" s="1051"/>
      <c r="CC135" s="1051"/>
      <c r="CD135" s="1051"/>
      <c r="CE135" s="1051"/>
      <c r="CF135" s="1051"/>
      <c r="CG135" s="1051"/>
      <c r="CH135" s="1051"/>
      <c r="CI135" s="1051"/>
      <c r="CJ135" s="1051"/>
      <c r="CK135" s="1051"/>
      <c r="CL135" s="1051"/>
      <c r="CM135" s="1051"/>
      <c r="CN135" s="1051"/>
      <c r="CO135" s="1051"/>
      <c r="CP135" s="1051"/>
      <c r="CQ135" s="1051"/>
      <c r="CR135" s="1051"/>
      <c r="CS135" s="1051"/>
      <c r="CT135" s="1051"/>
      <c r="CU135" s="1051"/>
      <c r="CV135" s="1051"/>
      <c r="CW135" s="1051"/>
      <c r="CX135" s="1051"/>
      <c r="CY135" s="1051"/>
      <c r="CZ135" s="1051"/>
      <c r="DA135" s="1051"/>
      <c r="DB135" s="1051"/>
      <c r="DC135" s="1051"/>
      <c r="DD135" s="1051"/>
      <c r="DE135" s="1051"/>
      <c r="DF135" s="1051"/>
      <c r="DG135" s="1051"/>
      <c r="DH135" s="1051"/>
      <c r="DI135" s="1051"/>
      <c r="DJ135" s="1051"/>
      <c r="DK135" s="1051"/>
      <c r="DL135" s="1051"/>
      <c r="DM135" s="1051"/>
      <c r="DN135" s="1051"/>
      <c r="DO135" s="1051"/>
      <c r="DP135" s="1051"/>
      <c r="DQ135" s="1051"/>
      <c r="DR135" s="1051"/>
      <c r="DS135" s="1051"/>
      <c r="DT135" s="1051"/>
      <c r="DU135" s="1051"/>
      <c r="DV135" s="1051"/>
      <c r="DW135" s="1051"/>
      <c r="DX135" s="1051"/>
      <c r="DY135" s="1051"/>
      <c r="DZ135" s="1051"/>
      <c r="EA135" s="1051"/>
      <c r="EB135" s="1051"/>
      <c r="EC135" s="1051"/>
      <c r="ED135" s="1051"/>
      <c r="EE135" s="1051"/>
      <c r="EF135" s="1051"/>
      <c r="EG135" s="1051"/>
      <c r="EH135" s="1051"/>
      <c r="EI135" s="1051"/>
      <c r="EJ135" s="1051"/>
      <c r="EK135" s="1051"/>
      <c r="EL135" s="1051"/>
      <c r="EM135" s="1051"/>
      <c r="EN135" s="1051"/>
      <c r="EO135" s="1051"/>
      <c r="EP135" s="1051"/>
      <c r="EQ135" s="1051"/>
      <c r="ER135" s="1051"/>
      <c r="ES135" s="1051"/>
      <c r="ET135" s="1051"/>
      <c r="EU135" s="1051"/>
      <c r="EV135" s="1051"/>
      <c r="EW135" s="1051"/>
      <c r="EX135" s="1051"/>
      <c r="EY135" s="1051"/>
      <c r="EZ135" s="1051"/>
      <c r="FA135" s="1051"/>
      <c r="FB135" s="1051"/>
      <c r="FC135" s="1051"/>
      <c r="FD135" s="1051"/>
      <c r="FE135" s="1051"/>
      <c r="FF135" s="1051"/>
      <c r="FG135" s="1051"/>
      <c r="FH135" s="1051"/>
      <c r="FI135" s="1051"/>
      <c r="FJ135" s="1051"/>
      <c r="FK135" s="1051"/>
      <c r="FL135" s="1051"/>
      <c r="FM135" s="1051"/>
      <c r="FN135" s="1051"/>
      <c r="FO135" s="1051"/>
      <c r="FP135" s="1051"/>
      <c r="FQ135" s="1051"/>
      <c r="FR135" s="1051"/>
      <c r="FS135" s="1051"/>
      <c r="FT135" s="1051"/>
      <c r="FU135" s="1051"/>
      <c r="FV135" s="1051"/>
      <c r="FW135" s="1051"/>
      <c r="FX135" s="1051"/>
      <c r="FY135" s="1051"/>
      <c r="FZ135" s="1051"/>
      <c r="GA135" s="1051"/>
      <c r="GB135" s="1051"/>
      <c r="GC135" s="1051"/>
      <c r="GD135" s="1051"/>
      <c r="GE135" s="1051"/>
      <c r="GF135" s="1051"/>
      <c r="GG135" s="1051"/>
      <c r="GH135" s="1051"/>
      <c r="GI135" s="1051"/>
      <c r="GJ135" s="1051"/>
      <c r="GK135" s="1051"/>
      <c r="GL135" s="1051"/>
      <c r="GM135" s="1051"/>
      <c r="GN135" s="1051"/>
      <c r="GO135" s="1051"/>
      <c r="GP135" s="1051"/>
      <c r="GQ135" s="1051"/>
      <c r="GR135" s="1051"/>
      <c r="GS135" s="1051"/>
      <c r="GT135" s="1051"/>
      <c r="GU135" s="1051"/>
      <c r="GV135" s="1051"/>
      <c r="GW135" s="1051"/>
      <c r="GX135" s="1051"/>
      <c r="GY135" s="1051"/>
      <c r="GZ135" s="1051"/>
      <c r="HA135" s="1051"/>
      <c r="HB135" s="1051"/>
      <c r="HC135" s="1051"/>
      <c r="HD135" s="1051"/>
      <c r="HE135" s="1051"/>
      <c r="HF135" s="1051"/>
      <c r="HG135" s="1051"/>
      <c r="HH135" s="1051"/>
      <c r="HI135" s="1051"/>
      <c r="HJ135" s="1051"/>
      <c r="HK135" s="1051"/>
      <c r="HL135" s="1051"/>
      <c r="HM135" s="1051"/>
      <c r="HN135" s="1051"/>
      <c r="HO135" s="1051"/>
      <c r="HP135" s="1051"/>
      <c r="HQ135" s="1051"/>
      <c r="HR135" s="1051"/>
      <c r="HS135" s="1051"/>
      <c r="HT135" s="1051"/>
      <c r="HU135" s="1051"/>
      <c r="HV135" s="1051"/>
      <c r="HW135" s="1051"/>
      <c r="HX135" s="1051"/>
      <c r="HY135" s="1051"/>
      <c r="HZ135" s="1051"/>
      <c r="IA135" s="1051"/>
      <c r="IB135" s="1051"/>
      <c r="IC135" s="1051"/>
      <c r="ID135" s="1051"/>
      <c r="IE135" s="1051"/>
      <c r="IF135" s="1051"/>
      <c r="IG135" s="1051"/>
      <c r="IH135" s="1051"/>
      <c r="II135" s="1051"/>
      <c r="IJ135" s="1051"/>
      <c r="IK135" s="1051"/>
      <c r="IL135" s="1051"/>
      <c r="IM135" s="1051"/>
      <c r="IN135" s="1051"/>
      <c r="IO135" s="1051"/>
      <c r="IP135" s="1051"/>
      <c r="IQ135" s="1051"/>
      <c r="IR135" s="1051"/>
      <c r="IS135" s="1051"/>
      <c r="IT135" s="1051"/>
      <c r="IU135" s="1051"/>
      <c r="IV135" s="1051"/>
    </row>
    <row r="136" spans="1:256" x14ac:dyDescent="0.2">
      <c r="A136" s="1041" t="s">
        <v>517</v>
      </c>
      <c r="B136" s="1041" t="s">
        <v>691</v>
      </c>
      <c r="C136" s="1048">
        <v>3000</v>
      </c>
      <c r="D136" s="1043">
        <v>3000</v>
      </c>
      <c r="E136" s="1087">
        <v>0</v>
      </c>
      <c r="F136" s="1045">
        <f t="shared" si="6"/>
        <v>0</v>
      </c>
      <c r="G136" s="1051"/>
      <c r="H136" s="1051"/>
      <c r="I136" s="1051"/>
      <c r="J136" s="1051"/>
      <c r="K136" s="1051"/>
      <c r="L136" s="1051"/>
      <c r="M136" s="1051"/>
      <c r="N136" s="1051"/>
      <c r="O136" s="1051"/>
      <c r="P136" s="1051"/>
      <c r="Q136" s="1051"/>
      <c r="R136" s="1051"/>
      <c r="S136" s="1051"/>
      <c r="T136" s="1051"/>
      <c r="U136" s="1051"/>
      <c r="V136" s="1051"/>
      <c r="W136" s="1051"/>
      <c r="X136" s="1051"/>
      <c r="Y136" s="1051"/>
      <c r="Z136" s="1051"/>
      <c r="AA136" s="1051"/>
      <c r="AB136" s="1051"/>
      <c r="AC136" s="1051"/>
      <c r="AD136" s="1051"/>
      <c r="AE136" s="1051"/>
      <c r="AF136" s="1051"/>
      <c r="AG136" s="1051"/>
      <c r="AH136" s="1051"/>
      <c r="AI136" s="1051"/>
      <c r="AJ136" s="1051"/>
      <c r="AK136" s="1051"/>
      <c r="AL136" s="1051"/>
      <c r="AM136" s="1051"/>
      <c r="AN136" s="1051"/>
      <c r="AO136" s="1051"/>
      <c r="AP136" s="1051"/>
      <c r="AQ136" s="1051"/>
      <c r="AR136" s="1051"/>
      <c r="AS136" s="1051"/>
      <c r="AT136" s="1051"/>
      <c r="AU136" s="1051"/>
      <c r="AV136" s="1051"/>
      <c r="AW136" s="1051"/>
      <c r="AX136" s="1051"/>
      <c r="AY136" s="1051"/>
      <c r="AZ136" s="1051"/>
      <c r="BA136" s="1051"/>
      <c r="BB136" s="1051"/>
      <c r="BC136" s="1051"/>
      <c r="BD136" s="1051"/>
      <c r="BE136" s="1051"/>
      <c r="BF136" s="1051"/>
      <c r="BG136" s="1051"/>
      <c r="BH136" s="1051"/>
      <c r="BI136" s="1051"/>
      <c r="BJ136" s="1051"/>
      <c r="BK136" s="1051"/>
      <c r="BL136" s="1051"/>
      <c r="BM136" s="1051"/>
      <c r="BN136" s="1051"/>
      <c r="BO136" s="1051"/>
      <c r="BP136" s="1051"/>
      <c r="BQ136" s="1051"/>
      <c r="BR136" s="1051"/>
      <c r="BS136" s="1051"/>
      <c r="BT136" s="1051"/>
      <c r="BU136" s="1051"/>
      <c r="BV136" s="1051"/>
      <c r="BW136" s="1051"/>
      <c r="BX136" s="1051"/>
      <c r="BY136" s="1051"/>
      <c r="BZ136" s="1051"/>
      <c r="CA136" s="1051"/>
      <c r="CB136" s="1051"/>
      <c r="CC136" s="1051"/>
      <c r="CD136" s="1051"/>
      <c r="CE136" s="1051"/>
      <c r="CF136" s="1051"/>
      <c r="CG136" s="1051"/>
      <c r="CH136" s="1051"/>
      <c r="CI136" s="1051"/>
      <c r="CJ136" s="1051"/>
      <c r="CK136" s="1051"/>
      <c r="CL136" s="1051"/>
      <c r="CM136" s="1051"/>
      <c r="CN136" s="1051"/>
      <c r="CO136" s="1051"/>
      <c r="CP136" s="1051"/>
      <c r="CQ136" s="1051"/>
      <c r="CR136" s="1051"/>
      <c r="CS136" s="1051"/>
      <c r="CT136" s="1051"/>
      <c r="CU136" s="1051"/>
      <c r="CV136" s="1051"/>
      <c r="CW136" s="1051"/>
      <c r="CX136" s="1051"/>
      <c r="CY136" s="1051"/>
      <c r="CZ136" s="1051"/>
      <c r="DA136" s="1051"/>
      <c r="DB136" s="1051"/>
      <c r="DC136" s="1051"/>
      <c r="DD136" s="1051"/>
      <c r="DE136" s="1051"/>
      <c r="DF136" s="1051"/>
      <c r="DG136" s="1051"/>
      <c r="DH136" s="1051"/>
      <c r="DI136" s="1051"/>
      <c r="DJ136" s="1051"/>
      <c r="DK136" s="1051"/>
      <c r="DL136" s="1051"/>
      <c r="DM136" s="1051"/>
      <c r="DN136" s="1051"/>
      <c r="DO136" s="1051"/>
      <c r="DP136" s="1051"/>
      <c r="DQ136" s="1051"/>
      <c r="DR136" s="1051"/>
      <c r="DS136" s="1051"/>
      <c r="DT136" s="1051"/>
      <c r="DU136" s="1051"/>
      <c r="DV136" s="1051"/>
      <c r="DW136" s="1051"/>
      <c r="DX136" s="1051"/>
      <c r="DY136" s="1051"/>
      <c r="DZ136" s="1051"/>
      <c r="EA136" s="1051"/>
      <c r="EB136" s="1051"/>
      <c r="EC136" s="1051"/>
      <c r="ED136" s="1051"/>
      <c r="EE136" s="1051"/>
      <c r="EF136" s="1051"/>
      <c r="EG136" s="1051"/>
      <c r="EH136" s="1051"/>
      <c r="EI136" s="1051"/>
      <c r="EJ136" s="1051"/>
      <c r="EK136" s="1051"/>
      <c r="EL136" s="1051"/>
      <c r="EM136" s="1051"/>
      <c r="EN136" s="1051"/>
      <c r="EO136" s="1051"/>
      <c r="EP136" s="1051"/>
      <c r="EQ136" s="1051"/>
      <c r="ER136" s="1051"/>
      <c r="ES136" s="1051"/>
      <c r="ET136" s="1051"/>
      <c r="EU136" s="1051"/>
      <c r="EV136" s="1051"/>
      <c r="EW136" s="1051"/>
      <c r="EX136" s="1051"/>
      <c r="EY136" s="1051"/>
      <c r="EZ136" s="1051"/>
      <c r="FA136" s="1051"/>
      <c r="FB136" s="1051"/>
      <c r="FC136" s="1051"/>
      <c r="FD136" s="1051"/>
      <c r="FE136" s="1051"/>
      <c r="FF136" s="1051"/>
      <c r="FG136" s="1051"/>
      <c r="FH136" s="1051"/>
      <c r="FI136" s="1051"/>
      <c r="FJ136" s="1051"/>
      <c r="FK136" s="1051"/>
      <c r="FL136" s="1051"/>
      <c r="FM136" s="1051"/>
      <c r="FN136" s="1051"/>
      <c r="FO136" s="1051"/>
      <c r="FP136" s="1051"/>
      <c r="FQ136" s="1051"/>
      <c r="FR136" s="1051"/>
      <c r="FS136" s="1051"/>
      <c r="FT136" s="1051"/>
      <c r="FU136" s="1051"/>
      <c r="FV136" s="1051"/>
      <c r="FW136" s="1051"/>
      <c r="FX136" s="1051"/>
      <c r="FY136" s="1051"/>
      <c r="FZ136" s="1051"/>
      <c r="GA136" s="1051"/>
      <c r="GB136" s="1051"/>
      <c r="GC136" s="1051"/>
      <c r="GD136" s="1051"/>
      <c r="GE136" s="1051"/>
      <c r="GF136" s="1051"/>
      <c r="GG136" s="1051"/>
      <c r="GH136" s="1051"/>
      <c r="GI136" s="1051"/>
      <c r="GJ136" s="1051"/>
      <c r="GK136" s="1051"/>
      <c r="GL136" s="1051"/>
      <c r="GM136" s="1051"/>
      <c r="GN136" s="1051"/>
      <c r="GO136" s="1051"/>
      <c r="GP136" s="1051"/>
      <c r="GQ136" s="1051"/>
      <c r="GR136" s="1051"/>
      <c r="GS136" s="1051"/>
      <c r="GT136" s="1051"/>
      <c r="GU136" s="1051"/>
      <c r="GV136" s="1051"/>
      <c r="GW136" s="1051"/>
      <c r="GX136" s="1051"/>
      <c r="GY136" s="1051"/>
      <c r="GZ136" s="1051"/>
      <c r="HA136" s="1051"/>
      <c r="HB136" s="1051"/>
      <c r="HC136" s="1051"/>
      <c r="HD136" s="1051"/>
      <c r="HE136" s="1051"/>
      <c r="HF136" s="1051"/>
      <c r="HG136" s="1051"/>
      <c r="HH136" s="1051"/>
      <c r="HI136" s="1051"/>
      <c r="HJ136" s="1051"/>
      <c r="HK136" s="1051"/>
      <c r="HL136" s="1051"/>
      <c r="HM136" s="1051"/>
      <c r="HN136" s="1051"/>
      <c r="HO136" s="1051"/>
      <c r="HP136" s="1051"/>
      <c r="HQ136" s="1051"/>
      <c r="HR136" s="1051"/>
      <c r="HS136" s="1051"/>
      <c r="HT136" s="1051"/>
      <c r="HU136" s="1051"/>
      <c r="HV136" s="1051"/>
      <c r="HW136" s="1051"/>
      <c r="HX136" s="1051"/>
      <c r="HY136" s="1051"/>
      <c r="HZ136" s="1051"/>
      <c r="IA136" s="1051"/>
      <c r="IB136" s="1051"/>
      <c r="IC136" s="1051"/>
      <c r="ID136" s="1051"/>
      <c r="IE136" s="1051"/>
      <c r="IF136" s="1051"/>
      <c r="IG136" s="1051"/>
      <c r="IH136" s="1051"/>
      <c r="II136" s="1051"/>
      <c r="IJ136" s="1051"/>
      <c r="IK136" s="1051"/>
      <c r="IL136" s="1051"/>
      <c r="IM136" s="1051"/>
      <c r="IN136" s="1051"/>
      <c r="IO136" s="1051"/>
      <c r="IP136" s="1051"/>
      <c r="IQ136" s="1051"/>
      <c r="IR136" s="1051"/>
      <c r="IS136" s="1051"/>
      <c r="IT136" s="1051"/>
      <c r="IU136" s="1051"/>
      <c r="IV136" s="1051"/>
    </row>
    <row r="137" spans="1:256" x14ac:dyDescent="0.2">
      <c r="A137" s="1564" t="s">
        <v>20</v>
      </c>
      <c r="B137" s="1574"/>
      <c r="C137" s="1048">
        <f>SUM(C136)</f>
        <v>3000</v>
      </c>
      <c r="D137" s="1048">
        <f>SUM(D136)</f>
        <v>3000</v>
      </c>
      <c r="E137" s="1048">
        <f>SUM(E136)</f>
        <v>0</v>
      </c>
      <c r="F137" s="1045">
        <f t="shared" si="6"/>
        <v>0</v>
      </c>
      <c r="G137" s="1051"/>
      <c r="H137" s="1051"/>
      <c r="I137" s="1051"/>
      <c r="J137" s="1051"/>
      <c r="K137" s="1051"/>
      <c r="L137" s="1051"/>
      <c r="M137" s="1051"/>
      <c r="N137" s="1051"/>
      <c r="O137" s="1051"/>
      <c r="P137" s="1051"/>
      <c r="Q137" s="1051"/>
      <c r="R137" s="1051"/>
      <c r="S137" s="1051"/>
      <c r="T137" s="1051"/>
      <c r="U137" s="1051"/>
      <c r="V137" s="1051"/>
      <c r="W137" s="1051"/>
      <c r="X137" s="1051"/>
      <c r="Y137" s="1051"/>
      <c r="Z137" s="1051"/>
      <c r="AA137" s="1051"/>
      <c r="AB137" s="1051"/>
      <c r="AC137" s="1051"/>
      <c r="AD137" s="1051"/>
      <c r="AE137" s="1051"/>
      <c r="AF137" s="1051"/>
      <c r="AG137" s="1051"/>
      <c r="AH137" s="1051"/>
      <c r="AI137" s="1051"/>
      <c r="AJ137" s="1051"/>
      <c r="AK137" s="1051"/>
      <c r="AL137" s="1051"/>
      <c r="AM137" s="1051"/>
      <c r="AN137" s="1051"/>
      <c r="AO137" s="1051"/>
      <c r="AP137" s="1051"/>
      <c r="AQ137" s="1051"/>
      <c r="AR137" s="1051"/>
      <c r="AS137" s="1051"/>
      <c r="AT137" s="1051"/>
      <c r="AU137" s="1051"/>
      <c r="AV137" s="1051"/>
      <c r="AW137" s="1051"/>
      <c r="AX137" s="1051"/>
      <c r="AY137" s="1051"/>
      <c r="AZ137" s="1051"/>
      <c r="BA137" s="1051"/>
      <c r="BB137" s="1051"/>
      <c r="BC137" s="1051"/>
      <c r="BD137" s="1051"/>
      <c r="BE137" s="1051"/>
      <c r="BF137" s="1051"/>
      <c r="BG137" s="1051"/>
      <c r="BH137" s="1051"/>
      <c r="BI137" s="1051"/>
      <c r="BJ137" s="1051"/>
      <c r="BK137" s="1051"/>
      <c r="BL137" s="1051"/>
      <c r="BM137" s="1051"/>
      <c r="BN137" s="1051"/>
      <c r="BO137" s="1051"/>
      <c r="BP137" s="1051"/>
      <c r="BQ137" s="1051"/>
      <c r="BR137" s="1051"/>
      <c r="BS137" s="1051"/>
      <c r="BT137" s="1051"/>
      <c r="BU137" s="1051"/>
      <c r="BV137" s="1051"/>
      <c r="BW137" s="1051"/>
      <c r="BX137" s="1051"/>
      <c r="BY137" s="1051"/>
      <c r="BZ137" s="1051"/>
      <c r="CA137" s="1051"/>
      <c r="CB137" s="1051"/>
      <c r="CC137" s="1051"/>
      <c r="CD137" s="1051"/>
      <c r="CE137" s="1051"/>
      <c r="CF137" s="1051"/>
      <c r="CG137" s="1051"/>
      <c r="CH137" s="1051"/>
      <c r="CI137" s="1051"/>
      <c r="CJ137" s="1051"/>
      <c r="CK137" s="1051"/>
      <c r="CL137" s="1051"/>
      <c r="CM137" s="1051"/>
      <c r="CN137" s="1051"/>
      <c r="CO137" s="1051"/>
      <c r="CP137" s="1051"/>
      <c r="CQ137" s="1051"/>
      <c r="CR137" s="1051"/>
      <c r="CS137" s="1051"/>
      <c r="CT137" s="1051"/>
      <c r="CU137" s="1051"/>
      <c r="CV137" s="1051"/>
      <c r="CW137" s="1051"/>
      <c r="CX137" s="1051"/>
      <c r="CY137" s="1051"/>
      <c r="CZ137" s="1051"/>
      <c r="DA137" s="1051"/>
      <c r="DB137" s="1051"/>
      <c r="DC137" s="1051"/>
      <c r="DD137" s="1051"/>
      <c r="DE137" s="1051"/>
      <c r="DF137" s="1051"/>
      <c r="DG137" s="1051"/>
      <c r="DH137" s="1051"/>
      <c r="DI137" s="1051"/>
      <c r="DJ137" s="1051"/>
      <c r="DK137" s="1051"/>
      <c r="DL137" s="1051"/>
      <c r="DM137" s="1051"/>
      <c r="DN137" s="1051"/>
      <c r="DO137" s="1051"/>
      <c r="DP137" s="1051"/>
      <c r="DQ137" s="1051"/>
      <c r="DR137" s="1051"/>
      <c r="DS137" s="1051"/>
      <c r="DT137" s="1051"/>
      <c r="DU137" s="1051"/>
      <c r="DV137" s="1051"/>
      <c r="DW137" s="1051"/>
      <c r="DX137" s="1051"/>
      <c r="DY137" s="1051"/>
      <c r="DZ137" s="1051"/>
      <c r="EA137" s="1051"/>
      <c r="EB137" s="1051"/>
      <c r="EC137" s="1051"/>
      <c r="ED137" s="1051"/>
      <c r="EE137" s="1051"/>
      <c r="EF137" s="1051"/>
      <c r="EG137" s="1051"/>
      <c r="EH137" s="1051"/>
      <c r="EI137" s="1051"/>
      <c r="EJ137" s="1051"/>
      <c r="EK137" s="1051"/>
      <c r="EL137" s="1051"/>
      <c r="EM137" s="1051"/>
      <c r="EN137" s="1051"/>
      <c r="EO137" s="1051"/>
      <c r="EP137" s="1051"/>
      <c r="EQ137" s="1051"/>
      <c r="ER137" s="1051"/>
      <c r="ES137" s="1051"/>
      <c r="ET137" s="1051"/>
      <c r="EU137" s="1051"/>
      <c r="EV137" s="1051"/>
      <c r="EW137" s="1051"/>
      <c r="EX137" s="1051"/>
      <c r="EY137" s="1051"/>
      <c r="EZ137" s="1051"/>
      <c r="FA137" s="1051"/>
      <c r="FB137" s="1051"/>
      <c r="FC137" s="1051"/>
      <c r="FD137" s="1051"/>
      <c r="FE137" s="1051"/>
      <c r="FF137" s="1051"/>
      <c r="FG137" s="1051"/>
      <c r="FH137" s="1051"/>
      <c r="FI137" s="1051"/>
      <c r="FJ137" s="1051"/>
      <c r="FK137" s="1051"/>
      <c r="FL137" s="1051"/>
      <c r="FM137" s="1051"/>
      <c r="FN137" s="1051"/>
      <c r="FO137" s="1051"/>
      <c r="FP137" s="1051"/>
      <c r="FQ137" s="1051"/>
      <c r="FR137" s="1051"/>
      <c r="FS137" s="1051"/>
      <c r="FT137" s="1051"/>
      <c r="FU137" s="1051"/>
      <c r="FV137" s="1051"/>
      <c r="FW137" s="1051"/>
      <c r="FX137" s="1051"/>
      <c r="FY137" s="1051"/>
      <c r="FZ137" s="1051"/>
      <c r="GA137" s="1051"/>
      <c r="GB137" s="1051"/>
      <c r="GC137" s="1051"/>
      <c r="GD137" s="1051"/>
      <c r="GE137" s="1051"/>
      <c r="GF137" s="1051"/>
      <c r="GG137" s="1051"/>
      <c r="GH137" s="1051"/>
      <c r="GI137" s="1051"/>
      <c r="GJ137" s="1051"/>
      <c r="GK137" s="1051"/>
      <c r="GL137" s="1051"/>
      <c r="GM137" s="1051"/>
      <c r="GN137" s="1051"/>
      <c r="GO137" s="1051"/>
      <c r="GP137" s="1051"/>
      <c r="GQ137" s="1051"/>
      <c r="GR137" s="1051"/>
      <c r="GS137" s="1051"/>
      <c r="GT137" s="1051"/>
      <c r="GU137" s="1051"/>
      <c r="GV137" s="1051"/>
      <c r="GW137" s="1051"/>
      <c r="GX137" s="1051"/>
      <c r="GY137" s="1051"/>
      <c r="GZ137" s="1051"/>
      <c r="HA137" s="1051"/>
      <c r="HB137" s="1051"/>
      <c r="HC137" s="1051"/>
      <c r="HD137" s="1051"/>
      <c r="HE137" s="1051"/>
      <c r="HF137" s="1051"/>
      <c r="HG137" s="1051"/>
      <c r="HH137" s="1051"/>
      <c r="HI137" s="1051"/>
      <c r="HJ137" s="1051"/>
      <c r="HK137" s="1051"/>
      <c r="HL137" s="1051"/>
      <c r="HM137" s="1051"/>
      <c r="HN137" s="1051"/>
      <c r="HO137" s="1051"/>
      <c r="HP137" s="1051"/>
      <c r="HQ137" s="1051"/>
      <c r="HR137" s="1051"/>
      <c r="HS137" s="1051"/>
      <c r="HT137" s="1051"/>
      <c r="HU137" s="1051"/>
      <c r="HV137" s="1051"/>
      <c r="HW137" s="1051"/>
      <c r="HX137" s="1051"/>
      <c r="HY137" s="1051"/>
      <c r="HZ137" s="1051"/>
      <c r="IA137" s="1051"/>
      <c r="IB137" s="1051"/>
      <c r="IC137" s="1051"/>
      <c r="ID137" s="1051"/>
      <c r="IE137" s="1051"/>
      <c r="IF137" s="1051"/>
      <c r="IG137" s="1051"/>
      <c r="IH137" s="1051"/>
      <c r="II137" s="1051"/>
      <c r="IJ137" s="1051"/>
      <c r="IK137" s="1051"/>
      <c r="IL137" s="1051"/>
      <c r="IM137" s="1051"/>
      <c r="IN137" s="1051"/>
      <c r="IO137" s="1051"/>
      <c r="IP137" s="1051"/>
      <c r="IQ137" s="1051"/>
      <c r="IR137" s="1051"/>
      <c r="IS137" s="1051"/>
      <c r="IT137" s="1051"/>
      <c r="IU137" s="1051"/>
      <c r="IV137" s="1051"/>
    </row>
    <row r="138" spans="1:256" x14ac:dyDescent="0.2">
      <c r="A138" s="1549" t="s">
        <v>74</v>
      </c>
      <c r="B138" s="1569"/>
      <c r="C138" s="1046">
        <f>C133+C137+C135</f>
        <v>9115000</v>
      </c>
      <c r="D138" s="1046">
        <f>D133+D137+D135</f>
        <v>9115000</v>
      </c>
      <c r="E138" s="1046">
        <f>E133+E137+E135</f>
        <v>8956916</v>
      </c>
      <c r="F138" s="1047">
        <f t="shared" si="6"/>
        <v>0.9826567196928141</v>
      </c>
    </row>
    <row r="139" spans="1:256" x14ac:dyDescent="0.2">
      <c r="A139" s="1041" t="s">
        <v>520</v>
      </c>
      <c r="B139" s="1041" t="s">
        <v>762</v>
      </c>
      <c r="C139" s="1043">
        <v>6495000</v>
      </c>
      <c r="D139" s="1043">
        <v>6495000</v>
      </c>
      <c r="E139" s="1052">
        <v>6382856</v>
      </c>
      <c r="F139" s="1045">
        <f t="shared" si="6"/>
        <v>0.98273379522709781</v>
      </c>
    </row>
    <row r="140" spans="1:256" x14ac:dyDescent="0.2">
      <c r="A140" s="1564" t="s">
        <v>166</v>
      </c>
      <c r="B140" s="1574"/>
      <c r="C140" s="1043">
        <f>SUM(C139)</f>
        <v>6495000</v>
      </c>
      <c r="D140" s="1043">
        <f>SUM(D139)</f>
        <v>6495000</v>
      </c>
      <c r="E140" s="1043">
        <f>SUM(E139)</f>
        <v>6382856</v>
      </c>
      <c r="F140" s="1045">
        <f t="shared" si="6"/>
        <v>0.98273379522709781</v>
      </c>
      <c r="G140" s="1051"/>
      <c r="H140" s="1051"/>
      <c r="I140" s="1051"/>
      <c r="J140" s="1051"/>
      <c r="K140" s="1051"/>
      <c r="L140" s="1051"/>
      <c r="M140" s="1051"/>
      <c r="N140" s="1051"/>
      <c r="O140" s="1051"/>
      <c r="P140" s="1051"/>
      <c r="Q140" s="1051"/>
      <c r="R140" s="1051"/>
      <c r="S140" s="1051"/>
      <c r="T140" s="1051"/>
      <c r="U140" s="1051"/>
      <c r="V140" s="1051"/>
      <c r="W140" s="1051"/>
      <c r="X140" s="1051"/>
      <c r="Y140" s="1051"/>
      <c r="Z140" s="1051"/>
      <c r="AA140" s="1051"/>
      <c r="AB140" s="1051"/>
      <c r="AC140" s="1051"/>
      <c r="AD140" s="1051"/>
      <c r="AE140" s="1051"/>
      <c r="AF140" s="1051"/>
      <c r="AG140" s="1051"/>
      <c r="AH140" s="1051"/>
      <c r="AI140" s="1051"/>
      <c r="AJ140" s="1051"/>
      <c r="AK140" s="1051"/>
      <c r="AL140" s="1051"/>
      <c r="AM140" s="1051"/>
      <c r="AN140" s="1051"/>
      <c r="AO140" s="1051"/>
      <c r="AP140" s="1051"/>
      <c r="AQ140" s="1051"/>
      <c r="AR140" s="1051"/>
      <c r="AS140" s="1051"/>
      <c r="AT140" s="1051"/>
      <c r="AU140" s="1051"/>
      <c r="AV140" s="1051"/>
      <c r="AW140" s="1051"/>
      <c r="AX140" s="1051"/>
      <c r="AY140" s="1051"/>
      <c r="AZ140" s="1051"/>
      <c r="BA140" s="1051"/>
      <c r="BB140" s="1051"/>
      <c r="BC140" s="1051"/>
      <c r="BD140" s="1051"/>
      <c r="BE140" s="1051"/>
      <c r="BF140" s="1051"/>
      <c r="BG140" s="1051"/>
      <c r="BH140" s="1051"/>
      <c r="BI140" s="1051"/>
      <c r="BJ140" s="1051"/>
      <c r="BK140" s="1051"/>
      <c r="BL140" s="1051"/>
      <c r="BM140" s="1051"/>
      <c r="BN140" s="1051"/>
      <c r="BO140" s="1051"/>
      <c r="BP140" s="1051"/>
      <c r="BQ140" s="1051"/>
      <c r="BR140" s="1051"/>
      <c r="BS140" s="1051"/>
      <c r="BT140" s="1051"/>
      <c r="BU140" s="1051"/>
      <c r="BV140" s="1051"/>
      <c r="BW140" s="1051"/>
      <c r="BX140" s="1051"/>
      <c r="BY140" s="1051"/>
      <c r="BZ140" s="1051"/>
      <c r="CA140" s="1051"/>
      <c r="CB140" s="1051"/>
      <c r="CC140" s="1051"/>
      <c r="CD140" s="1051"/>
      <c r="CE140" s="1051"/>
      <c r="CF140" s="1051"/>
      <c r="CG140" s="1051"/>
      <c r="CH140" s="1051"/>
      <c r="CI140" s="1051"/>
      <c r="CJ140" s="1051"/>
      <c r="CK140" s="1051"/>
      <c r="CL140" s="1051"/>
      <c r="CM140" s="1051"/>
      <c r="CN140" s="1051"/>
      <c r="CO140" s="1051"/>
      <c r="CP140" s="1051"/>
      <c r="CQ140" s="1051"/>
      <c r="CR140" s="1051"/>
      <c r="CS140" s="1051"/>
      <c r="CT140" s="1051"/>
      <c r="CU140" s="1051"/>
      <c r="CV140" s="1051"/>
      <c r="CW140" s="1051"/>
      <c r="CX140" s="1051"/>
      <c r="CY140" s="1051"/>
      <c r="CZ140" s="1051"/>
      <c r="DA140" s="1051"/>
      <c r="DB140" s="1051"/>
      <c r="DC140" s="1051"/>
      <c r="DD140" s="1051"/>
      <c r="DE140" s="1051"/>
      <c r="DF140" s="1051"/>
      <c r="DG140" s="1051"/>
      <c r="DH140" s="1051"/>
      <c r="DI140" s="1051"/>
      <c r="DJ140" s="1051"/>
      <c r="DK140" s="1051"/>
      <c r="DL140" s="1051"/>
      <c r="DM140" s="1051"/>
      <c r="DN140" s="1051"/>
      <c r="DO140" s="1051"/>
      <c r="DP140" s="1051"/>
      <c r="DQ140" s="1051"/>
      <c r="DR140" s="1051"/>
      <c r="DS140" s="1051"/>
      <c r="DT140" s="1051"/>
      <c r="DU140" s="1051"/>
      <c r="DV140" s="1051"/>
      <c r="DW140" s="1051"/>
      <c r="DX140" s="1051"/>
      <c r="DY140" s="1051"/>
      <c r="DZ140" s="1051"/>
      <c r="EA140" s="1051"/>
      <c r="EB140" s="1051"/>
      <c r="EC140" s="1051"/>
      <c r="ED140" s="1051"/>
      <c r="EE140" s="1051"/>
      <c r="EF140" s="1051"/>
      <c r="EG140" s="1051"/>
      <c r="EH140" s="1051"/>
      <c r="EI140" s="1051"/>
      <c r="EJ140" s="1051"/>
      <c r="EK140" s="1051"/>
      <c r="EL140" s="1051"/>
      <c r="EM140" s="1051"/>
      <c r="EN140" s="1051"/>
      <c r="EO140" s="1051"/>
      <c r="EP140" s="1051"/>
      <c r="EQ140" s="1051"/>
      <c r="ER140" s="1051"/>
      <c r="ES140" s="1051"/>
      <c r="ET140" s="1051"/>
      <c r="EU140" s="1051"/>
      <c r="EV140" s="1051"/>
      <c r="EW140" s="1051"/>
      <c r="EX140" s="1051"/>
      <c r="EY140" s="1051"/>
      <c r="EZ140" s="1051"/>
      <c r="FA140" s="1051"/>
      <c r="FB140" s="1051"/>
      <c r="FC140" s="1051"/>
      <c r="FD140" s="1051"/>
      <c r="FE140" s="1051"/>
      <c r="FF140" s="1051"/>
      <c r="FG140" s="1051"/>
      <c r="FH140" s="1051"/>
      <c r="FI140" s="1051"/>
      <c r="FJ140" s="1051"/>
      <c r="FK140" s="1051"/>
      <c r="FL140" s="1051"/>
      <c r="FM140" s="1051"/>
      <c r="FN140" s="1051"/>
      <c r="FO140" s="1051"/>
      <c r="FP140" s="1051"/>
      <c r="FQ140" s="1051"/>
      <c r="FR140" s="1051"/>
      <c r="FS140" s="1051"/>
      <c r="FT140" s="1051"/>
      <c r="FU140" s="1051"/>
      <c r="FV140" s="1051"/>
      <c r="FW140" s="1051"/>
      <c r="FX140" s="1051"/>
      <c r="FY140" s="1051"/>
      <c r="FZ140" s="1051"/>
      <c r="GA140" s="1051"/>
      <c r="GB140" s="1051"/>
      <c r="GC140" s="1051"/>
      <c r="GD140" s="1051"/>
      <c r="GE140" s="1051"/>
      <c r="GF140" s="1051"/>
      <c r="GG140" s="1051"/>
      <c r="GH140" s="1051"/>
      <c r="GI140" s="1051"/>
      <c r="GJ140" s="1051"/>
      <c r="GK140" s="1051"/>
      <c r="GL140" s="1051"/>
      <c r="GM140" s="1051"/>
      <c r="GN140" s="1051"/>
      <c r="GO140" s="1051"/>
      <c r="GP140" s="1051"/>
      <c r="GQ140" s="1051"/>
      <c r="GR140" s="1051"/>
      <c r="GS140" s="1051"/>
      <c r="GT140" s="1051"/>
      <c r="GU140" s="1051"/>
      <c r="GV140" s="1051"/>
      <c r="GW140" s="1051"/>
      <c r="GX140" s="1051"/>
      <c r="GY140" s="1051"/>
      <c r="GZ140" s="1051"/>
      <c r="HA140" s="1051"/>
      <c r="HB140" s="1051"/>
      <c r="HC140" s="1051"/>
      <c r="HD140" s="1051"/>
      <c r="HE140" s="1051"/>
      <c r="HF140" s="1051"/>
      <c r="HG140" s="1051"/>
      <c r="HH140" s="1051"/>
      <c r="HI140" s="1051"/>
      <c r="HJ140" s="1051"/>
      <c r="HK140" s="1051"/>
      <c r="HL140" s="1051"/>
      <c r="HM140" s="1051"/>
      <c r="HN140" s="1051"/>
      <c r="HO140" s="1051"/>
      <c r="HP140" s="1051"/>
      <c r="HQ140" s="1051"/>
      <c r="HR140" s="1051"/>
      <c r="HS140" s="1051"/>
      <c r="HT140" s="1051"/>
      <c r="HU140" s="1051"/>
      <c r="HV140" s="1051"/>
      <c r="HW140" s="1051"/>
      <c r="HX140" s="1051"/>
      <c r="HY140" s="1051"/>
      <c r="HZ140" s="1051"/>
      <c r="IA140" s="1051"/>
      <c r="IB140" s="1051"/>
      <c r="IC140" s="1051"/>
      <c r="ID140" s="1051"/>
      <c r="IE140" s="1051"/>
      <c r="IF140" s="1051"/>
      <c r="IG140" s="1051"/>
      <c r="IH140" s="1051"/>
      <c r="II140" s="1051"/>
      <c r="IJ140" s="1051"/>
      <c r="IK140" s="1051"/>
      <c r="IL140" s="1051"/>
      <c r="IM140" s="1051"/>
      <c r="IN140" s="1051"/>
      <c r="IO140" s="1051"/>
      <c r="IP140" s="1051"/>
      <c r="IQ140" s="1051"/>
      <c r="IR140" s="1051"/>
      <c r="IS140" s="1051"/>
      <c r="IT140" s="1051"/>
      <c r="IU140" s="1051"/>
      <c r="IV140" s="1051"/>
    </row>
    <row r="141" spans="1:256" x14ac:dyDescent="0.2">
      <c r="A141" s="1041" t="s">
        <v>694</v>
      </c>
      <c r="B141" s="1041" t="s">
        <v>764</v>
      </c>
      <c r="C141" s="1043">
        <v>569000</v>
      </c>
      <c r="D141" s="1043">
        <v>569000</v>
      </c>
      <c r="E141" s="1052">
        <v>522420</v>
      </c>
      <c r="F141" s="1045">
        <f t="shared" si="6"/>
        <v>0.91813708260105453</v>
      </c>
    </row>
    <row r="142" spans="1:256" x14ac:dyDescent="0.2">
      <c r="A142" s="1564" t="s">
        <v>94</v>
      </c>
      <c r="B142" s="1574"/>
      <c r="C142" s="1043">
        <f>SUM(C141)</f>
        <v>569000</v>
      </c>
      <c r="D142" s="1043">
        <f>SUM(D141)</f>
        <v>569000</v>
      </c>
      <c r="E142" s="1043">
        <f>SUM(E141)</f>
        <v>522420</v>
      </c>
      <c r="F142" s="1045">
        <f t="shared" si="6"/>
        <v>0.91813708260105453</v>
      </c>
      <c r="G142" s="1051"/>
      <c r="H142" s="1051"/>
      <c r="I142" s="1051"/>
      <c r="J142" s="1051"/>
      <c r="K142" s="1051"/>
      <c r="L142" s="1051"/>
      <c r="M142" s="1051"/>
      <c r="N142" s="1051"/>
      <c r="O142" s="1051"/>
      <c r="P142" s="1051"/>
      <c r="Q142" s="1051"/>
      <c r="R142" s="1051"/>
      <c r="S142" s="1051"/>
      <c r="T142" s="1051"/>
      <c r="U142" s="1051"/>
      <c r="V142" s="1051"/>
      <c r="W142" s="1051"/>
      <c r="X142" s="1051"/>
      <c r="Y142" s="1051"/>
      <c r="Z142" s="1051"/>
      <c r="AA142" s="1051"/>
      <c r="AB142" s="1051"/>
      <c r="AC142" s="1051"/>
      <c r="AD142" s="1051"/>
      <c r="AE142" s="1051"/>
      <c r="AF142" s="1051"/>
      <c r="AG142" s="1051"/>
      <c r="AH142" s="1051"/>
      <c r="AI142" s="1051"/>
      <c r="AJ142" s="1051"/>
      <c r="AK142" s="1051"/>
      <c r="AL142" s="1051"/>
      <c r="AM142" s="1051"/>
      <c r="AN142" s="1051"/>
      <c r="AO142" s="1051"/>
      <c r="AP142" s="1051"/>
      <c r="AQ142" s="1051"/>
      <c r="AR142" s="1051"/>
      <c r="AS142" s="1051"/>
      <c r="AT142" s="1051"/>
      <c r="AU142" s="1051"/>
      <c r="AV142" s="1051"/>
      <c r="AW142" s="1051"/>
      <c r="AX142" s="1051"/>
      <c r="AY142" s="1051"/>
      <c r="AZ142" s="1051"/>
      <c r="BA142" s="1051"/>
      <c r="BB142" s="1051"/>
      <c r="BC142" s="1051"/>
      <c r="BD142" s="1051"/>
      <c r="BE142" s="1051"/>
      <c r="BF142" s="1051"/>
      <c r="BG142" s="1051"/>
      <c r="BH142" s="1051"/>
      <c r="BI142" s="1051"/>
      <c r="BJ142" s="1051"/>
      <c r="BK142" s="1051"/>
      <c r="BL142" s="1051"/>
      <c r="BM142" s="1051"/>
      <c r="BN142" s="1051"/>
      <c r="BO142" s="1051"/>
      <c r="BP142" s="1051"/>
      <c r="BQ142" s="1051"/>
      <c r="BR142" s="1051"/>
      <c r="BS142" s="1051"/>
      <c r="BT142" s="1051"/>
      <c r="BU142" s="1051"/>
      <c r="BV142" s="1051"/>
      <c r="BW142" s="1051"/>
      <c r="BX142" s="1051"/>
      <c r="BY142" s="1051"/>
      <c r="BZ142" s="1051"/>
      <c r="CA142" s="1051"/>
      <c r="CB142" s="1051"/>
      <c r="CC142" s="1051"/>
      <c r="CD142" s="1051"/>
      <c r="CE142" s="1051"/>
      <c r="CF142" s="1051"/>
      <c r="CG142" s="1051"/>
      <c r="CH142" s="1051"/>
      <c r="CI142" s="1051"/>
      <c r="CJ142" s="1051"/>
      <c r="CK142" s="1051"/>
      <c r="CL142" s="1051"/>
      <c r="CM142" s="1051"/>
      <c r="CN142" s="1051"/>
      <c r="CO142" s="1051"/>
      <c r="CP142" s="1051"/>
      <c r="CQ142" s="1051"/>
      <c r="CR142" s="1051"/>
      <c r="CS142" s="1051"/>
      <c r="CT142" s="1051"/>
      <c r="CU142" s="1051"/>
      <c r="CV142" s="1051"/>
      <c r="CW142" s="1051"/>
      <c r="CX142" s="1051"/>
      <c r="CY142" s="1051"/>
      <c r="CZ142" s="1051"/>
      <c r="DA142" s="1051"/>
      <c r="DB142" s="1051"/>
      <c r="DC142" s="1051"/>
      <c r="DD142" s="1051"/>
      <c r="DE142" s="1051"/>
      <c r="DF142" s="1051"/>
      <c r="DG142" s="1051"/>
      <c r="DH142" s="1051"/>
      <c r="DI142" s="1051"/>
      <c r="DJ142" s="1051"/>
      <c r="DK142" s="1051"/>
      <c r="DL142" s="1051"/>
      <c r="DM142" s="1051"/>
      <c r="DN142" s="1051"/>
      <c r="DO142" s="1051"/>
      <c r="DP142" s="1051"/>
      <c r="DQ142" s="1051"/>
      <c r="DR142" s="1051"/>
      <c r="DS142" s="1051"/>
      <c r="DT142" s="1051"/>
      <c r="DU142" s="1051"/>
      <c r="DV142" s="1051"/>
      <c r="DW142" s="1051"/>
      <c r="DX142" s="1051"/>
      <c r="DY142" s="1051"/>
      <c r="DZ142" s="1051"/>
      <c r="EA142" s="1051"/>
      <c r="EB142" s="1051"/>
      <c r="EC142" s="1051"/>
      <c r="ED142" s="1051"/>
      <c r="EE142" s="1051"/>
      <c r="EF142" s="1051"/>
      <c r="EG142" s="1051"/>
      <c r="EH142" s="1051"/>
      <c r="EI142" s="1051"/>
      <c r="EJ142" s="1051"/>
      <c r="EK142" s="1051"/>
      <c r="EL142" s="1051"/>
      <c r="EM142" s="1051"/>
      <c r="EN142" s="1051"/>
      <c r="EO142" s="1051"/>
      <c r="EP142" s="1051"/>
      <c r="EQ142" s="1051"/>
      <c r="ER142" s="1051"/>
      <c r="ES142" s="1051"/>
      <c r="ET142" s="1051"/>
      <c r="EU142" s="1051"/>
      <c r="EV142" s="1051"/>
      <c r="EW142" s="1051"/>
      <c r="EX142" s="1051"/>
      <c r="EY142" s="1051"/>
      <c r="EZ142" s="1051"/>
      <c r="FA142" s="1051"/>
      <c r="FB142" s="1051"/>
      <c r="FC142" s="1051"/>
      <c r="FD142" s="1051"/>
      <c r="FE142" s="1051"/>
      <c r="FF142" s="1051"/>
      <c r="FG142" s="1051"/>
      <c r="FH142" s="1051"/>
      <c r="FI142" s="1051"/>
      <c r="FJ142" s="1051"/>
      <c r="FK142" s="1051"/>
      <c r="FL142" s="1051"/>
      <c r="FM142" s="1051"/>
      <c r="FN142" s="1051"/>
      <c r="FO142" s="1051"/>
      <c r="FP142" s="1051"/>
      <c r="FQ142" s="1051"/>
      <c r="FR142" s="1051"/>
      <c r="FS142" s="1051"/>
      <c r="FT142" s="1051"/>
      <c r="FU142" s="1051"/>
      <c r="FV142" s="1051"/>
      <c r="FW142" s="1051"/>
      <c r="FX142" s="1051"/>
      <c r="FY142" s="1051"/>
      <c r="FZ142" s="1051"/>
      <c r="GA142" s="1051"/>
      <c r="GB142" s="1051"/>
      <c r="GC142" s="1051"/>
      <c r="GD142" s="1051"/>
      <c r="GE142" s="1051"/>
      <c r="GF142" s="1051"/>
      <c r="GG142" s="1051"/>
      <c r="GH142" s="1051"/>
      <c r="GI142" s="1051"/>
      <c r="GJ142" s="1051"/>
      <c r="GK142" s="1051"/>
      <c r="GL142" s="1051"/>
      <c r="GM142" s="1051"/>
      <c r="GN142" s="1051"/>
      <c r="GO142" s="1051"/>
      <c r="GP142" s="1051"/>
      <c r="GQ142" s="1051"/>
      <c r="GR142" s="1051"/>
      <c r="GS142" s="1051"/>
      <c r="GT142" s="1051"/>
      <c r="GU142" s="1051"/>
      <c r="GV142" s="1051"/>
      <c r="GW142" s="1051"/>
      <c r="GX142" s="1051"/>
      <c r="GY142" s="1051"/>
      <c r="GZ142" s="1051"/>
      <c r="HA142" s="1051"/>
      <c r="HB142" s="1051"/>
      <c r="HC142" s="1051"/>
      <c r="HD142" s="1051"/>
      <c r="HE142" s="1051"/>
      <c r="HF142" s="1051"/>
      <c r="HG142" s="1051"/>
      <c r="HH142" s="1051"/>
      <c r="HI142" s="1051"/>
      <c r="HJ142" s="1051"/>
      <c r="HK142" s="1051"/>
      <c r="HL142" s="1051"/>
      <c r="HM142" s="1051"/>
      <c r="HN142" s="1051"/>
      <c r="HO142" s="1051"/>
      <c r="HP142" s="1051"/>
      <c r="HQ142" s="1051"/>
      <c r="HR142" s="1051"/>
      <c r="HS142" s="1051"/>
      <c r="HT142" s="1051"/>
      <c r="HU142" s="1051"/>
      <c r="HV142" s="1051"/>
      <c r="HW142" s="1051"/>
      <c r="HX142" s="1051"/>
      <c r="HY142" s="1051"/>
      <c r="HZ142" s="1051"/>
      <c r="IA142" s="1051"/>
      <c r="IB142" s="1051"/>
      <c r="IC142" s="1051"/>
      <c r="ID142" s="1051"/>
      <c r="IE142" s="1051"/>
      <c r="IF142" s="1051"/>
      <c r="IG142" s="1051"/>
      <c r="IH142" s="1051"/>
      <c r="II142" s="1051"/>
      <c r="IJ142" s="1051"/>
      <c r="IK142" s="1051"/>
      <c r="IL142" s="1051"/>
      <c r="IM142" s="1051"/>
      <c r="IN142" s="1051"/>
      <c r="IO142" s="1051"/>
      <c r="IP142" s="1051"/>
      <c r="IQ142" s="1051"/>
      <c r="IR142" s="1051"/>
      <c r="IS142" s="1051"/>
      <c r="IT142" s="1051"/>
      <c r="IU142" s="1051"/>
      <c r="IV142" s="1051"/>
    </row>
    <row r="143" spans="1:256" x14ac:dyDescent="0.2">
      <c r="A143" s="1041" t="s">
        <v>706</v>
      </c>
      <c r="B143" s="1041" t="s">
        <v>766</v>
      </c>
      <c r="C143" s="1048">
        <v>460000</v>
      </c>
      <c r="D143" s="1043">
        <v>460000</v>
      </c>
      <c r="E143" s="1059">
        <v>1055618</v>
      </c>
      <c r="F143" s="1045">
        <f t="shared" si="6"/>
        <v>2.2948217391304349</v>
      </c>
      <c r="G143" s="1051"/>
      <c r="H143" s="1051"/>
      <c r="I143" s="1051"/>
      <c r="J143" s="1051"/>
      <c r="K143" s="1051"/>
      <c r="L143" s="1051"/>
      <c r="M143" s="1051"/>
      <c r="N143" s="1051"/>
      <c r="O143" s="1051"/>
      <c r="P143" s="1051"/>
      <c r="Q143" s="1051"/>
      <c r="R143" s="1051"/>
      <c r="S143" s="1051"/>
      <c r="T143" s="1051"/>
      <c r="U143" s="1051"/>
      <c r="V143" s="1051"/>
      <c r="W143" s="1051"/>
      <c r="X143" s="1051"/>
      <c r="Y143" s="1051"/>
      <c r="Z143" s="1051"/>
      <c r="AA143" s="1051"/>
      <c r="AB143" s="1051"/>
      <c r="AC143" s="1051"/>
      <c r="AD143" s="1051"/>
      <c r="AE143" s="1051"/>
      <c r="AF143" s="1051"/>
      <c r="AG143" s="1051"/>
      <c r="AH143" s="1051"/>
      <c r="AI143" s="1051"/>
      <c r="AJ143" s="1051"/>
      <c r="AK143" s="1051"/>
      <c r="AL143" s="1051"/>
      <c r="AM143" s="1051"/>
      <c r="AN143" s="1051"/>
      <c r="AO143" s="1051"/>
      <c r="AP143" s="1051"/>
      <c r="AQ143" s="1051"/>
      <c r="AR143" s="1051"/>
      <c r="AS143" s="1051"/>
      <c r="AT143" s="1051"/>
      <c r="AU143" s="1051"/>
      <c r="AV143" s="1051"/>
      <c r="AW143" s="1051"/>
      <c r="AX143" s="1051"/>
      <c r="AY143" s="1051"/>
      <c r="AZ143" s="1051"/>
      <c r="BA143" s="1051"/>
      <c r="BB143" s="1051"/>
      <c r="BC143" s="1051"/>
      <c r="BD143" s="1051"/>
      <c r="BE143" s="1051"/>
      <c r="BF143" s="1051"/>
      <c r="BG143" s="1051"/>
      <c r="BH143" s="1051"/>
      <c r="BI143" s="1051"/>
      <c r="BJ143" s="1051"/>
      <c r="BK143" s="1051"/>
      <c r="BL143" s="1051"/>
      <c r="BM143" s="1051"/>
      <c r="BN143" s="1051"/>
      <c r="BO143" s="1051"/>
      <c r="BP143" s="1051"/>
      <c r="BQ143" s="1051"/>
      <c r="BR143" s="1051"/>
      <c r="BS143" s="1051"/>
      <c r="BT143" s="1051"/>
      <c r="BU143" s="1051"/>
      <c r="BV143" s="1051"/>
      <c r="BW143" s="1051"/>
      <c r="BX143" s="1051"/>
      <c r="BY143" s="1051"/>
      <c r="BZ143" s="1051"/>
      <c r="CA143" s="1051"/>
      <c r="CB143" s="1051"/>
      <c r="CC143" s="1051"/>
      <c r="CD143" s="1051"/>
      <c r="CE143" s="1051"/>
      <c r="CF143" s="1051"/>
      <c r="CG143" s="1051"/>
      <c r="CH143" s="1051"/>
      <c r="CI143" s="1051"/>
      <c r="CJ143" s="1051"/>
      <c r="CK143" s="1051"/>
      <c r="CL143" s="1051"/>
      <c r="CM143" s="1051"/>
      <c r="CN143" s="1051"/>
      <c r="CO143" s="1051"/>
      <c r="CP143" s="1051"/>
      <c r="CQ143" s="1051"/>
      <c r="CR143" s="1051"/>
      <c r="CS143" s="1051"/>
      <c r="CT143" s="1051"/>
      <c r="CU143" s="1051"/>
      <c r="CV143" s="1051"/>
      <c r="CW143" s="1051"/>
      <c r="CX143" s="1051"/>
      <c r="CY143" s="1051"/>
      <c r="CZ143" s="1051"/>
      <c r="DA143" s="1051"/>
      <c r="DB143" s="1051"/>
      <c r="DC143" s="1051"/>
      <c r="DD143" s="1051"/>
      <c r="DE143" s="1051"/>
      <c r="DF143" s="1051"/>
      <c r="DG143" s="1051"/>
      <c r="DH143" s="1051"/>
      <c r="DI143" s="1051"/>
      <c r="DJ143" s="1051"/>
      <c r="DK143" s="1051"/>
      <c r="DL143" s="1051"/>
      <c r="DM143" s="1051"/>
      <c r="DN143" s="1051"/>
      <c r="DO143" s="1051"/>
      <c r="DP143" s="1051"/>
      <c r="DQ143" s="1051"/>
      <c r="DR143" s="1051"/>
      <c r="DS143" s="1051"/>
      <c r="DT143" s="1051"/>
      <c r="DU143" s="1051"/>
      <c r="DV143" s="1051"/>
      <c r="DW143" s="1051"/>
      <c r="DX143" s="1051"/>
      <c r="DY143" s="1051"/>
      <c r="DZ143" s="1051"/>
      <c r="EA143" s="1051"/>
      <c r="EB143" s="1051"/>
      <c r="EC143" s="1051"/>
      <c r="ED143" s="1051"/>
      <c r="EE143" s="1051"/>
      <c r="EF143" s="1051"/>
      <c r="EG143" s="1051"/>
      <c r="EH143" s="1051"/>
      <c r="EI143" s="1051"/>
      <c r="EJ143" s="1051"/>
      <c r="EK143" s="1051"/>
      <c r="EL143" s="1051"/>
      <c r="EM143" s="1051"/>
      <c r="EN143" s="1051"/>
      <c r="EO143" s="1051"/>
      <c r="EP143" s="1051"/>
      <c r="EQ143" s="1051"/>
      <c r="ER143" s="1051"/>
      <c r="ES143" s="1051"/>
      <c r="ET143" s="1051"/>
      <c r="EU143" s="1051"/>
      <c r="EV143" s="1051"/>
      <c r="EW143" s="1051"/>
      <c r="EX143" s="1051"/>
      <c r="EY143" s="1051"/>
      <c r="EZ143" s="1051"/>
      <c r="FA143" s="1051"/>
      <c r="FB143" s="1051"/>
      <c r="FC143" s="1051"/>
      <c r="FD143" s="1051"/>
      <c r="FE143" s="1051"/>
      <c r="FF143" s="1051"/>
      <c r="FG143" s="1051"/>
      <c r="FH143" s="1051"/>
      <c r="FI143" s="1051"/>
      <c r="FJ143" s="1051"/>
      <c r="FK143" s="1051"/>
      <c r="FL143" s="1051"/>
      <c r="FM143" s="1051"/>
      <c r="FN143" s="1051"/>
      <c r="FO143" s="1051"/>
      <c r="FP143" s="1051"/>
      <c r="FQ143" s="1051"/>
      <c r="FR143" s="1051"/>
      <c r="FS143" s="1051"/>
      <c r="FT143" s="1051"/>
      <c r="FU143" s="1051"/>
      <c r="FV143" s="1051"/>
      <c r="FW143" s="1051"/>
      <c r="FX143" s="1051"/>
      <c r="FY143" s="1051"/>
      <c r="FZ143" s="1051"/>
      <c r="GA143" s="1051"/>
      <c r="GB143" s="1051"/>
      <c r="GC143" s="1051"/>
      <c r="GD143" s="1051"/>
      <c r="GE143" s="1051"/>
      <c r="GF143" s="1051"/>
      <c r="GG143" s="1051"/>
      <c r="GH143" s="1051"/>
      <c r="GI143" s="1051"/>
      <c r="GJ143" s="1051"/>
      <c r="GK143" s="1051"/>
      <c r="GL143" s="1051"/>
      <c r="GM143" s="1051"/>
      <c r="GN143" s="1051"/>
      <c r="GO143" s="1051"/>
      <c r="GP143" s="1051"/>
      <c r="GQ143" s="1051"/>
      <c r="GR143" s="1051"/>
      <c r="GS143" s="1051"/>
      <c r="GT143" s="1051"/>
      <c r="GU143" s="1051"/>
      <c r="GV143" s="1051"/>
      <c r="GW143" s="1051"/>
      <c r="GX143" s="1051"/>
      <c r="GY143" s="1051"/>
      <c r="GZ143" s="1051"/>
      <c r="HA143" s="1051"/>
      <c r="HB143" s="1051"/>
      <c r="HC143" s="1051"/>
      <c r="HD143" s="1051"/>
      <c r="HE143" s="1051"/>
      <c r="HF143" s="1051"/>
      <c r="HG143" s="1051"/>
      <c r="HH143" s="1051"/>
      <c r="HI143" s="1051"/>
      <c r="HJ143" s="1051"/>
      <c r="HK143" s="1051"/>
      <c r="HL143" s="1051"/>
      <c r="HM143" s="1051"/>
      <c r="HN143" s="1051"/>
      <c r="HO143" s="1051"/>
      <c r="HP143" s="1051"/>
      <c r="HQ143" s="1051"/>
      <c r="HR143" s="1051"/>
      <c r="HS143" s="1051"/>
      <c r="HT143" s="1051"/>
      <c r="HU143" s="1051"/>
      <c r="HV143" s="1051"/>
      <c r="HW143" s="1051"/>
      <c r="HX143" s="1051"/>
      <c r="HY143" s="1051"/>
      <c r="HZ143" s="1051"/>
      <c r="IA143" s="1051"/>
      <c r="IB143" s="1051"/>
      <c r="IC143" s="1051"/>
      <c r="ID143" s="1051"/>
      <c r="IE143" s="1051"/>
      <c r="IF143" s="1051"/>
      <c r="IG143" s="1051"/>
      <c r="IH143" s="1051"/>
      <c r="II143" s="1051"/>
      <c r="IJ143" s="1051"/>
      <c r="IK143" s="1051"/>
      <c r="IL143" s="1051"/>
      <c r="IM143" s="1051"/>
      <c r="IN143" s="1051"/>
      <c r="IO143" s="1051"/>
      <c r="IP143" s="1051"/>
      <c r="IQ143" s="1051"/>
      <c r="IR143" s="1051"/>
      <c r="IS143" s="1051"/>
      <c r="IT143" s="1051"/>
      <c r="IU143" s="1051"/>
      <c r="IV143" s="1051"/>
    </row>
    <row r="144" spans="1:256" x14ac:dyDescent="0.2">
      <c r="A144" s="1041" t="s">
        <v>698</v>
      </c>
      <c r="B144" s="1041" t="s">
        <v>719</v>
      </c>
      <c r="C144" s="1048">
        <v>50000</v>
      </c>
      <c r="D144" s="1048">
        <v>50000</v>
      </c>
      <c r="E144" s="1088">
        <v>0</v>
      </c>
      <c r="F144" s="1045">
        <f t="shared" si="6"/>
        <v>0</v>
      </c>
      <c r="G144" s="1051"/>
      <c r="H144" s="1051"/>
      <c r="I144" s="1051"/>
      <c r="J144" s="1051"/>
      <c r="K144" s="1051"/>
      <c r="L144" s="1051"/>
      <c r="M144" s="1051"/>
      <c r="N144" s="1051"/>
      <c r="O144" s="1051"/>
      <c r="P144" s="1051"/>
      <c r="Q144" s="1051"/>
      <c r="R144" s="1051"/>
      <c r="S144" s="1051"/>
      <c r="T144" s="1051"/>
      <c r="U144" s="1051"/>
      <c r="V144" s="1051"/>
      <c r="W144" s="1051"/>
      <c r="X144" s="1051"/>
      <c r="Y144" s="1051"/>
      <c r="Z144" s="1051"/>
      <c r="AA144" s="1051"/>
      <c r="AB144" s="1051"/>
      <c r="AC144" s="1051"/>
      <c r="AD144" s="1051"/>
      <c r="AE144" s="1051"/>
      <c r="AF144" s="1051"/>
      <c r="AG144" s="1051"/>
      <c r="AH144" s="1051"/>
      <c r="AI144" s="1051"/>
      <c r="AJ144" s="1051"/>
      <c r="AK144" s="1051"/>
      <c r="AL144" s="1051"/>
      <c r="AM144" s="1051"/>
      <c r="AN144" s="1051"/>
      <c r="AO144" s="1051"/>
      <c r="AP144" s="1051"/>
      <c r="AQ144" s="1051"/>
      <c r="AR144" s="1051"/>
      <c r="AS144" s="1051"/>
      <c r="AT144" s="1051"/>
      <c r="AU144" s="1051"/>
      <c r="AV144" s="1051"/>
      <c r="AW144" s="1051"/>
      <c r="AX144" s="1051"/>
      <c r="AY144" s="1051"/>
      <c r="AZ144" s="1051"/>
      <c r="BA144" s="1051"/>
      <c r="BB144" s="1051"/>
      <c r="BC144" s="1051"/>
      <c r="BD144" s="1051"/>
      <c r="BE144" s="1051"/>
      <c r="BF144" s="1051"/>
      <c r="BG144" s="1051"/>
      <c r="BH144" s="1051"/>
      <c r="BI144" s="1051"/>
      <c r="BJ144" s="1051"/>
      <c r="BK144" s="1051"/>
      <c r="BL144" s="1051"/>
      <c r="BM144" s="1051"/>
      <c r="BN144" s="1051"/>
      <c r="BO144" s="1051"/>
      <c r="BP144" s="1051"/>
      <c r="BQ144" s="1051"/>
      <c r="BR144" s="1051"/>
      <c r="BS144" s="1051"/>
      <c r="BT144" s="1051"/>
      <c r="BU144" s="1051"/>
      <c r="BV144" s="1051"/>
      <c r="BW144" s="1051"/>
      <c r="BX144" s="1051"/>
      <c r="BY144" s="1051"/>
      <c r="BZ144" s="1051"/>
      <c r="CA144" s="1051"/>
      <c r="CB144" s="1051"/>
      <c r="CC144" s="1051"/>
      <c r="CD144" s="1051"/>
      <c r="CE144" s="1051"/>
      <c r="CF144" s="1051"/>
      <c r="CG144" s="1051"/>
      <c r="CH144" s="1051"/>
      <c r="CI144" s="1051"/>
      <c r="CJ144" s="1051"/>
      <c r="CK144" s="1051"/>
      <c r="CL144" s="1051"/>
      <c r="CM144" s="1051"/>
      <c r="CN144" s="1051"/>
      <c r="CO144" s="1051"/>
      <c r="CP144" s="1051"/>
      <c r="CQ144" s="1051"/>
      <c r="CR144" s="1051"/>
      <c r="CS144" s="1051"/>
      <c r="CT144" s="1051"/>
      <c r="CU144" s="1051"/>
      <c r="CV144" s="1051"/>
      <c r="CW144" s="1051"/>
      <c r="CX144" s="1051"/>
      <c r="CY144" s="1051"/>
      <c r="CZ144" s="1051"/>
      <c r="DA144" s="1051"/>
      <c r="DB144" s="1051"/>
      <c r="DC144" s="1051"/>
      <c r="DD144" s="1051"/>
      <c r="DE144" s="1051"/>
      <c r="DF144" s="1051"/>
      <c r="DG144" s="1051"/>
      <c r="DH144" s="1051"/>
      <c r="DI144" s="1051"/>
      <c r="DJ144" s="1051"/>
      <c r="DK144" s="1051"/>
      <c r="DL144" s="1051"/>
      <c r="DM144" s="1051"/>
      <c r="DN144" s="1051"/>
      <c r="DO144" s="1051"/>
      <c r="DP144" s="1051"/>
      <c r="DQ144" s="1051"/>
      <c r="DR144" s="1051"/>
      <c r="DS144" s="1051"/>
      <c r="DT144" s="1051"/>
      <c r="DU144" s="1051"/>
      <c r="DV144" s="1051"/>
      <c r="DW144" s="1051"/>
      <c r="DX144" s="1051"/>
      <c r="DY144" s="1051"/>
      <c r="DZ144" s="1051"/>
      <c r="EA144" s="1051"/>
      <c r="EB144" s="1051"/>
      <c r="EC144" s="1051"/>
      <c r="ED144" s="1051"/>
      <c r="EE144" s="1051"/>
      <c r="EF144" s="1051"/>
      <c r="EG144" s="1051"/>
      <c r="EH144" s="1051"/>
      <c r="EI144" s="1051"/>
      <c r="EJ144" s="1051"/>
      <c r="EK144" s="1051"/>
      <c r="EL144" s="1051"/>
      <c r="EM144" s="1051"/>
      <c r="EN144" s="1051"/>
      <c r="EO144" s="1051"/>
      <c r="EP144" s="1051"/>
      <c r="EQ144" s="1051"/>
      <c r="ER144" s="1051"/>
      <c r="ES144" s="1051"/>
      <c r="ET144" s="1051"/>
      <c r="EU144" s="1051"/>
      <c r="EV144" s="1051"/>
      <c r="EW144" s="1051"/>
      <c r="EX144" s="1051"/>
      <c r="EY144" s="1051"/>
      <c r="EZ144" s="1051"/>
      <c r="FA144" s="1051"/>
      <c r="FB144" s="1051"/>
      <c r="FC144" s="1051"/>
      <c r="FD144" s="1051"/>
      <c r="FE144" s="1051"/>
      <c r="FF144" s="1051"/>
      <c r="FG144" s="1051"/>
      <c r="FH144" s="1051"/>
      <c r="FI144" s="1051"/>
      <c r="FJ144" s="1051"/>
      <c r="FK144" s="1051"/>
      <c r="FL144" s="1051"/>
      <c r="FM144" s="1051"/>
      <c r="FN144" s="1051"/>
      <c r="FO144" s="1051"/>
      <c r="FP144" s="1051"/>
      <c r="FQ144" s="1051"/>
      <c r="FR144" s="1051"/>
      <c r="FS144" s="1051"/>
      <c r="FT144" s="1051"/>
      <c r="FU144" s="1051"/>
      <c r="FV144" s="1051"/>
      <c r="FW144" s="1051"/>
      <c r="FX144" s="1051"/>
      <c r="FY144" s="1051"/>
      <c r="FZ144" s="1051"/>
      <c r="GA144" s="1051"/>
      <c r="GB144" s="1051"/>
      <c r="GC144" s="1051"/>
      <c r="GD144" s="1051"/>
      <c r="GE144" s="1051"/>
      <c r="GF144" s="1051"/>
      <c r="GG144" s="1051"/>
      <c r="GH144" s="1051"/>
      <c r="GI144" s="1051"/>
      <c r="GJ144" s="1051"/>
      <c r="GK144" s="1051"/>
      <c r="GL144" s="1051"/>
      <c r="GM144" s="1051"/>
      <c r="GN144" s="1051"/>
      <c r="GO144" s="1051"/>
      <c r="GP144" s="1051"/>
      <c r="GQ144" s="1051"/>
      <c r="GR144" s="1051"/>
      <c r="GS144" s="1051"/>
      <c r="GT144" s="1051"/>
      <c r="GU144" s="1051"/>
      <c r="GV144" s="1051"/>
      <c r="GW144" s="1051"/>
      <c r="GX144" s="1051"/>
      <c r="GY144" s="1051"/>
      <c r="GZ144" s="1051"/>
      <c r="HA144" s="1051"/>
      <c r="HB144" s="1051"/>
      <c r="HC144" s="1051"/>
      <c r="HD144" s="1051"/>
      <c r="HE144" s="1051"/>
      <c r="HF144" s="1051"/>
      <c r="HG144" s="1051"/>
      <c r="HH144" s="1051"/>
      <c r="HI144" s="1051"/>
      <c r="HJ144" s="1051"/>
      <c r="HK144" s="1051"/>
      <c r="HL144" s="1051"/>
      <c r="HM144" s="1051"/>
      <c r="HN144" s="1051"/>
      <c r="HO144" s="1051"/>
      <c r="HP144" s="1051"/>
      <c r="HQ144" s="1051"/>
      <c r="HR144" s="1051"/>
      <c r="HS144" s="1051"/>
      <c r="HT144" s="1051"/>
      <c r="HU144" s="1051"/>
      <c r="HV144" s="1051"/>
      <c r="HW144" s="1051"/>
      <c r="HX144" s="1051"/>
      <c r="HY144" s="1051"/>
      <c r="HZ144" s="1051"/>
      <c r="IA144" s="1051"/>
      <c r="IB144" s="1051"/>
      <c r="IC144" s="1051"/>
      <c r="ID144" s="1051"/>
      <c r="IE144" s="1051"/>
      <c r="IF144" s="1051"/>
      <c r="IG144" s="1051"/>
      <c r="IH144" s="1051"/>
      <c r="II144" s="1051"/>
      <c r="IJ144" s="1051"/>
      <c r="IK144" s="1051"/>
      <c r="IL144" s="1051"/>
      <c r="IM144" s="1051"/>
      <c r="IN144" s="1051"/>
      <c r="IO144" s="1051"/>
      <c r="IP144" s="1051"/>
      <c r="IQ144" s="1051"/>
      <c r="IR144" s="1051"/>
      <c r="IS144" s="1051"/>
      <c r="IT144" s="1051"/>
      <c r="IU144" s="1051"/>
      <c r="IV144" s="1051"/>
    </row>
    <row r="145" spans="1:256" x14ac:dyDescent="0.2">
      <c r="A145" s="1041" t="s">
        <v>703</v>
      </c>
      <c r="B145" s="1041" t="s">
        <v>557</v>
      </c>
      <c r="C145" s="1043">
        <v>138000</v>
      </c>
      <c r="D145" s="1043">
        <v>138000</v>
      </c>
      <c r="E145" s="1088">
        <v>285017</v>
      </c>
      <c r="F145" s="1045">
        <f t="shared" si="6"/>
        <v>2.0653405797101447</v>
      </c>
      <c r="G145" s="1051"/>
      <c r="H145" s="1051"/>
      <c r="I145" s="1051"/>
      <c r="J145" s="1051"/>
      <c r="K145" s="1051"/>
      <c r="L145" s="1051"/>
      <c r="M145" s="1051"/>
      <c r="N145" s="1051"/>
      <c r="O145" s="1051"/>
      <c r="P145" s="1051"/>
      <c r="Q145" s="1051"/>
      <c r="R145" s="1051"/>
      <c r="S145" s="1051"/>
      <c r="T145" s="1051"/>
      <c r="U145" s="1051"/>
      <c r="V145" s="1051"/>
      <c r="W145" s="1051"/>
      <c r="X145" s="1051"/>
      <c r="Y145" s="1051"/>
      <c r="Z145" s="1051"/>
      <c r="AA145" s="1051"/>
      <c r="AB145" s="1051"/>
      <c r="AC145" s="1051"/>
      <c r="AD145" s="1051"/>
      <c r="AE145" s="1051"/>
      <c r="AF145" s="1051"/>
      <c r="AG145" s="1051"/>
      <c r="AH145" s="1051"/>
      <c r="AI145" s="1051"/>
      <c r="AJ145" s="1051"/>
      <c r="AK145" s="1051"/>
      <c r="AL145" s="1051"/>
      <c r="AM145" s="1051"/>
      <c r="AN145" s="1051"/>
      <c r="AO145" s="1051"/>
      <c r="AP145" s="1051"/>
      <c r="AQ145" s="1051"/>
      <c r="AR145" s="1051"/>
      <c r="AS145" s="1051"/>
      <c r="AT145" s="1051"/>
      <c r="AU145" s="1051"/>
      <c r="AV145" s="1051"/>
      <c r="AW145" s="1051"/>
      <c r="AX145" s="1051"/>
      <c r="AY145" s="1051"/>
      <c r="AZ145" s="1051"/>
      <c r="BA145" s="1051"/>
      <c r="BB145" s="1051"/>
      <c r="BC145" s="1051"/>
      <c r="BD145" s="1051"/>
      <c r="BE145" s="1051"/>
      <c r="BF145" s="1051"/>
      <c r="BG145" s="1051"/>
      <c r="BH145" s="1051"/>
      <c r="BI145" s="1051"/>
      <c r="BJ145" s="1051"/>
      <c r="BK145" s="1051"/>
      <c r="BL145" s="1051"/>
      <c r="BM145" s="1051"/>
      <c r="BN145" s="1051"/>
      <c r="BO145" s="1051"/>
      <c r="BP145" s="1051"/>
      <c r="BQ145" s="1051"/>
      <c r="BR145" s="1051"/>
      <c r="BS145" s="1051"/>
      <c r="BT145" s="1051"/>
      <c r="BU145" s="1051"/>
      <c r="BV145" s="1051"/>
      <c r="BW145" s="1051"/>
      <c r="BX145" s="1051"/>
      <c r="BY145" s="1051"/>
      <c r="BZ145" s="1051"/>
      <c r="CA145" s="1051"/>
      <c r="CB145" s="1051"/>
      <c r="CC145" s="1051"/>
      <c r="CD145" s="1051"/>
      <c r="CE145" s="1051"/>
      <c r="CF145" s="1051"/>
      <c r="CG145" s="1051"/>
      <c r="CH145" s="1051"/>
      <c r="CI145" s="1051"/>
      <c r="CJ145" s="1051"/>
      <c r="CK145" s="1051"/>
      <c r="CL145" s="1051"/>
      <c r="CM145" s="1051"/>
      <c r="CN145" s="1051"/>
      <c r="CO145" s="1051"/>
      <c r="CP145" s="1051"/>
      <c r="CQ145" s="1051"/>
      <c r="CR145" s="1051"/>
      <c r="CS145" s="1051"/>
      <c r="CT145" s="1051"/>
      <c r="CU145" s="1051"/>
      <c r="CV145" s="1051"/>
      <c r="CW145" s="1051"/>
      <c r="CX145" s="1051"/>
      <c r="CY145" s="1051"/>
      <c r="CZ145" s="1051"/>
      <c r="DA145" s="1051"/>
      <c r="DB145" s="1051"/>
      <c r="DC145" s="1051"/>
      <c r="DD145" s="1051"/>
      <c r="DE145" s="1051"/>
      <c r="DF145" s="1051"/>
      <c r="DG145" s="1051"/>
      <c r="DH145" s="1051"/>
      <c r="DI145" s="1051"/>
      <c r="DJ145" s="1051"/>
      <c r="DK145" s="1051"/>
      <c r="DL145" s="1051"/>
      <c r="DM145" s="1051"/>
      <c r="DN145" s="1051"/>
      <c r="DO145" s="1051"/>
      <c r="DP145" s="1051"/>
      <c r="DQ145" s="1051"/>
      <c r="DR145" s="1051"/>
      <c r="DS145" s="1051"/>
      <c r="DT145" s="1051"/>
      <c r="DU145" s="1051"/>
      <c r="DV145" s="1051"/>
      <c r="DW145" s="1051"/>
      <c r="DX145" s="1051"/>
      <c r="DY145" s="1051"/>
      <c r="DZ145" s="1051"/>
      <c r="EA145" s="1051"/>
      <c r="EB145" s="1051"/>
      <c r="EC145" s="1051"/>
      <c r="ED145" s="1051"/>
      <c r="EE145" s="1051"/>
      <c r="EF145" s="1051"/>
      <c r="EG145" s="1051"/>
      <c r="EH145" s="1051"/>
      <c r="EI145" s="1051"/>
      <c r="EJ145" s="1051"/>
      <c r="EK145" s="1051"/>
      <c r="EL145" s="1051"/>
      <c r="EM145" s="1051"/>
      <c r="EN145" s="1051"/>
      <c r="EO145" s="1051"/>
      <c r="EP145" s="1051"/>
      <c r="EQ145" s="1051"/>
      <c r="ER145" s="1051"/>
      <c r="ES145" s="1051"/>
      <c r="ET145" s="1051"/>
      <c r="EU145" s="1051"/>
      <c r="EV145" s="1051"/>
      <c r="EW145" s="1051"/>
      <c r="EX145" s="1051"/>
      <c r="EY145" s="1051"/>
      <c r="EZ145" s="1051"/>
      <c r="FA145" s="1051"/>
      <c r="FB145" s="1051"/>
      <c r="FC145" s="1051"/>
      <c r="FD145" s="1051"/>
      <c r="FE145" s="1051"/>
      <c r="FF145" s="1051"/>
      <c r="FG145" s="1051"/>
      <c r="FH145" s="1051"/>
      <c r="FI145" s="1051"/>
      <c r="FJ145" s="1051"/>
      <c r="FK145" s="1051"/>
      <c r="FL145" s="1051"/>
      <c r="FM145" s="1051"/>
      <c r="FN145" s="1051"/>
      <c r="FO145" s="1051"/>
      <c r="FP145" s="1051"/>
      <c r="FQ145" s="1051"/>
      <c r="FR145" s="1051"/>
      <c r="FS145" s="1051"/>
      <c r="FT145" s="1051"/>
      <c r="FU145" s="1051"/>
      <c r="FV145" s="1051"/>
      <c r="FW145" s="1051"/>
      <c r="FX145" s="1051"/>
      <c r="FY145" s="1051"/>
      <c r="FZ145" s="1051"/>
      <c r="GA145" s="1051"/>
      <c r="GB145" s="1051"/>
      <c r="GC145" s="1051"/>
      <c r="GD145" s="1051"/>
      <c r="GE145" s="1051"/>
      <c r="GF145" s="1051"/>
      <c r="GG145" s="1051"/>
      <c r="GH145" s="1051"/>
      <c r="GI145" s="1051"/>
      <c r="GJ145" s="1051"/>
      <c r="GK145" s="1051"/>
      <c r="GL145" s="1051"/>
      <c r="GM145" s="1051"/>
      <c r="GN145" s="1051"/>
      <c r="GO145" s="1051"/>
      <c r="GP145" s="1051"/>
      <c r="GQ145" s="1051"/>
      <c r="GR145" s="1051"/>
      <c r="GS145" s="1051"/>
      <c r="GT145" s="1051"/>
      <c r="GU145" s="1051"/>
      <c r="GV145" s="1051"/>
      <c r="GW145" s="1051"/>
      <c r="GX145" s="1051"/>
      <c r="GY145" s="1051"/>
      <c r="GZ145" s="1051"/>
      <c r="HA145" s="1051"/>
      <c r="HB145" s="1051"/>
      <c r="HC145" s="1051"/>
      <c r="HD145" s="1051"/>
      <c r="HE145" s="1051"/>
      <c r="HF145" s="1051"/>
      <c r="HG145" s="1051"/>
      <c r="HH145" s="1051"/>
      <c r="HI145" s="1051"/>
      <c r="HJ145" s="1051"/>
      <c r="HK145" s="1051"/>
      <c r="HL145" s="1051"/>
      <c r="HM145" s="1051"/>
      <c r="HN145" s="1051"/>
      <c r="HO145" s="1051"/>
      <c r="HP145" s="1051"/>
      <c r="HQ145" s="1051"/>
      <c r="HR145" s="1051"/>
      <c r="HS145" s="1051"/>
      <c r="HT145" s="1051"/>
      <c r="HU145" s="1051"/>
      <c r="HV145" s="1051"/>
      <c r="HW145" s="1051"/>
      <c r="HX145" s="1051"/>
      <c r="HY145" s="1051"/>
      <c r="HZ145" s="1051"/>
      <c r="IA145" s="1051"/>
      <c r="IB145" s="1051"/>
      <c r="IC145" s="1051"/>
      <c r="ID145" s="1051"/>
      <c r="IE145" s="1051"/>
      <c r="IF145" s="1051"/>
      <c r="IG145" s="1051"/>
      <c r="IH145" s="1051"/>
      <c r="II145" s="1051"/>
      <c r="IJ145" s="1051"/>
      <c r="IK145" s="1051"/>
      <c r="IL145" s="1051"/>
      <c r="IM145" s="1051"/>
      <c r="IN145" s="1051"/>
      <c r="IO145" s="1051"/>
      <c r="IP145" s="1051"/>
      <c r="IQ145" s="1051"/>
      <c r="IR145" s="1051"/>
      <c r="IS145" s="1051"/>
      <c r="IT145" s="1051"/>
      <c r="IU145" s="1051"/>
      <c r="IV145" s="1051"/>
    </row>
    <row r="146" spans="1:256" x14ac:dyDescent="0.2">
      <c r="A146" s="1564" t="s">
        <v>168</v>
      </c>
      <c r="B146" s="1574"/>
      <c r="C146" s="1043">
        <f>SUM(C143:C145)</f>
        <v>648000</v>
      </c>
      <c r="D146" s="1043">
        <f>SUM(D143:D145)</f>
        <v>648000</v>
      </c>
      <c r="E146" s="1043">
        <f>SUM(E143:E145)</f>
        <v>1340635</v>
      </c>
      <c r="F146" s="1045">
        <f t="shared" si="6"/>
        <v>2.068881172839506</v>
      </c>
      <c r="G146" s="1051"/>
      <c r="H146" s="1051"/>
      <c r="I146" s="1051"/>
      <c r="J146" s="1051"/>
      <c r="K146" s="1051"/>
      <c r="L146" s="1051"/>
      <c r="M146" s="1051"/>
      <c r="N146" s="1051"/>
      <c r="O146" s="1051"/>
      <c r="P146" s="1051"/>
      <c r="Q146" s="1051"/>
      <c r="R146" s="1051"/>
      <c r="S146" s="1051"/>
      <c r="T146" s="1051"/>
      <c r="U146" s="1051"/>
      <c r="V146" s="1051"/>
      <c r="W146" s="1051"/>
      <c r="X146" s="1051"/>
      <c r="Y146" s="1051"/>
      <c r="Z146" s="1051"/>
      <c r="AA146" s="1051"/>
      <c r="AB146" s="1051"/>
      <c r="AC146" s="1051"/>
      <c r="AD146" s="1051"/>
      <c r="AE146" s="1051"/>
      <c r="AF146" s="1051"/>
      <c r="AG146" s="1051"/>
      <c r="AH146" s="1051"/>
      <c r="AI146" s="1051"/>
      <c r="AJ146" s="1051"/>
      <c r="AK146" s="1051"/>
      <c r="AL146" s="1051"/>
      <c r="AM146" s="1051"/>
      <c r="AN146" s="1051"/>
      <c r="AO146" s="1051"/>
      <c r="AP146" s="1051"/>
      <c r="AQ146" s="1051"/>
      <c r="AR146" s="1051"/>
      <c r="AS146" s="1051"/>
      <c r="AT146" s="1051"/>
      <c r="AU146" s="1051"/>
      <c r="AV146" s="1051"/>
      <c r="AW146" s="1051"/>
      <c r="AX146" s="1051"/>
      <c r="AY146" s="1051"/>
      <c r="AZ146" s="1051"/>
      <c r="BA146" s="1051"/>
      <c r="BB146" s="1051"/>
      <c r="BC146" s="1051"/>
      <c r="BD146" s="1051"/>
      <c r="BE146" s="1051"/>
      <c r="BF146" s="1051"/>
      <c r="BG146" s="1051"/>
      <c r="BH146" s="1051"/>
      <c r="BI146" s="1051"/>
      <c r="BJ146" s="1051"/>
      <c r="BK146" s="1051"/>
      <c r="BL146" s="1051"/>
      <c r="BM146" s="1051"/>
      <c r="BN146" s="1051"/>
      <c r="BO146" s="1051"/>
      <c r="BP146" s="1051"/>
      <c r="BQ146" s="1051"/>
      <c r="BR146" s="1051"/>
      <c r="BS146" s="1051"/>
      <c r="BT146" s="1051"/>
      <c r="BU146" s="1051"/>
      <c r="BV146" s="1051"/>
      <c r="BW146" s="1051"/>
      <c r="BX146" s="1051"/>
      <c r="BY146" s="1051"/>
      <c r="BZ146" s="1051"/>
      <c r="CA146" s="1051"/>
      <c r="CB146" s="1051"/>
      <c r="CC146" s="1051"/>
      <c r="CD146" s="1051"/>
      <c r="CE146" s="1051"/>
      <c r="CF146" s="1051"/>
      <c r="CG146" s="1051"/>
      <c r="CH146" s="1051"/>
      <c r="CI146" s="1051"/>
      <c r="CJ146" s="1051"/>
      <c r="CK146" s="1051"/>
      <c r="CL146" s="1051"/>
      <c r="CM146" s="1051"/>
      <c r="CN146" s="1051"/>
      <c r="CO146" s="1051"/>
      <c r="CP146" s="1051"/>
      <c r="CQ146" s="1051"/>
      <c r="CR146" s="1051"/>
      <c r="CS146" s="1051"/>
      <c r="CT146" s="1051"/>
      <c r="CU146" s="1051"/>
      <c r="CV146" s="1051"/>
      <c r="CW146" s="1051"/>
      <c r="CX146" s="1051"/>
      <c r="CY146" s="1051"/>
      <c r="CZ146" s="1051"/>
      <c r="DA146" s="1051"/>
      <c r="DB146" s="1051"/>
      <c r="DC146" s="1051"/>
      <c r="DD146" s="1051"/>
      <c r="DE146" s="1051"/>
      <c r="DF146" s="1051"/>
      <c r="DG146" s="1051"/>
      <c r="DH146" s="1051"/>
      <c r="DI146" s="1051"/>
      <c r="DJ146" s="1051"/>
      <c r="DK146" s="1051"/>
      <c r="DL146" s="1051"/>
      <c r="DM146" s="1051"/>
      <c r="DN146" s="1051"/>
      <c r="DO146" s="1051"/>
      <c r="DP146" s="1051"/>
      <c r="DQ146" s="1051"/>
      <c r="DR146" s="1051"/>
      <c r="DS146" s="1051"/>
      <c r="DT146" s="1051"/>
      <c r="DU146" s="1051"/>
      <c r="DV146" s="1051"/>
      <c r="DW146" s="1051"/>
      <c r="DX146" s="1051"/>
      <c r="DY146" s="1051"/>
      <c r="DZ146" s="1051"/>
      <c r="EA146" s="1051"/>
      <c r="EB146" s="1051"/>
      <c r="EC146" s="1051"/>
      <c r="ED146" s="1051"/>
      <c r="EE146" s="1051"/>
      <c r="EF146" s="1051"/>
      <c r="EG146" s="1051"/>
      <c r="EH146" s="1051"/>
      <c r="EI146" s="1051"/>
      <c r="EJ146" s="1051"/>
      <c r="EK146" s="1051"/>
      <c r="EL146" s="1051"/>
      <c r="EM146" s="1051"/>
      <c r="EN146" s="1051"/>
      <c r="EO146" s="1051"/>
      <c r="EP146" s="1051"/>
      <c r="EQ146" s="1051"/>
      <c r="ER146" s="1051"/>
      <c r="ES146" s="1051"/>
      <c r="ET146" s="1051"/>
      <c r="EU146" s="1051"/>
      <c r="EV146" s="1051"/>
      <c r="EW146" s="1051"/>
      <c r="EX146" s="1051"/>
      <c r="EY146" s="1051"/>
      <c r="EZ146" s="1051"/>
      <c r="FA146" s="1051"/>
      <c r="FB146" s="1051"/>
      <c r="FC146" s="1051"/>
      <c r="FD146" s="1051"/>
      <c r="FE146" s="1051"/>
      <c r="FF146" s="1051"/>
      <c r="FG146" s="1051"/>
      <c r="FH146" s="1051"/>
      <c r="FI146" s="1051"/>
      <c r="FJ146" s="1051"/>
      <c r="FK146" s="1051"/>
      <c r="FL146" s="1051"/>
      <c r="FM146" s="1051"/>
      <c r="FN146" s="1051"/>
      <c r="FO146" s="1051"/>
      <c r="FP146" s="1051"/>
      <c r="FQ146" s="1051"/>
      <c r="FR146" s="1051"/>
      <c r="FS146" s="1051"/>
      <c r="FT146" s="1051"/>
      <c r="FU146" s="1051"/>
      <c r="FV146" s="1051"/>
      <c r="FW146" s="1051"/>
      <c r="FX146" s="1051"/>
      <c r="FY146" s="1051"/>
      <c r="FZ146" s="1051"/>
      <c r="GA146" s="1051"/>
      <c r="GB146" s="1051"/>
      <c r="GC146" s="1051"/>
      <c r="GD146" s="1051"/>
      <c r="GE146" s="1051"/>
      <c r="GF146" s="1051"/>
      <c r="GG146" s="1051"/>
      <c r="GH146" s="1051"/>
      <c r="GI146" s="1051"/>
      <c r="GJ146" s="1051"/>
      <c r="GK146" s="1051"/>
      <c r="GL146" s="1051"/>
      <c r="GM146" s="1051"/>
      <c r="GN146" s="1051"/>
      <c r="GO146" s="1051"/>
      <c r="GP146" s="1051"/>
      <c r="GQ146" s="1051"/>
      <c r="GR146" s="1051"/>
      <c r="GS146" s="1051"/>
      <c r="GT146" s="1051"/>
      <c r="GU146" s="1051"/>
      <c r="GV146" s="1051"/>
      <c r="GW146" s="1051"/>
      <c r="GX146" s="1051"/>
      <c r="GY146" s="1051"/>
      <c r="GZ146" s="1051"/>
      <c r="HA146" s="1051"/>
      <c r="HB146" s="1051"/>
      <c r="HC146" s="1051"/>
      <c r="HD146" s="1051"/>
      <c r="HE146" s="1051"/>
      <c r="HF146" s="1051"/>
      <c r="HG146" s="1051"/>
      <c r="HH146" s="1051"/>
      <c r="HI146" s="1051"/>
      <c r="HJ146" s="1051"/>
      <c r="HK146" s="1051"/>
      <c r="HL146" s="1051"/>
      <c r="HM146" s="1051"/>
      <c r="HN146" s="1051"/>
      <c r="HO146" s="1051"/>
      <c r="HP146" s="1051"/>
      <c r="HQ146" s="1051"/>
      <c r="HR146" s="1051"/>
      <c r="HS146" s="1051"/>
      <c r="HT146" s="1051"/>
      <c r="HU146" s="1051"/>
      <c r="HV146" s="1051"/>
      <c r="HW146" s="1051"/>
      <c r="HX146" s="1051"/>
      <c r="HY146" s="1051"/>
      <c r="HZ146" s="1051"/>
      <c r="IA146" s="1051"/>
      <c r="IB146" s="1051"/>
      <c r="IC146" s="1051"/>
      <c r="ID146" s="1051"/>
      <c r="IE146" s="1051"/>
      <c r="IF146" s="1051"/>
      <c r="IG146" s="1051"/>
      <c r="IH146" s="1051"/>
      <c r="II146" s="1051"/>
      <c r="IJ146" s="1051"/>
      <c r="IK146" s="1051"/>
      <c r="IL146" s="1051"/>
      <c r="IM146" s="1051"/>
      <c r="IN146" s="1051"/>
      <c r="IO146" s="1051"/>
      <c r="IP146" s="1051"/>
      <c r="IQ146" s="1051"/>
      <c r="IR146" s="1051"/>
      <c r="IS146" s="1051"/>
      <c r="IT146" s="1051"/>
      <c r="IU146" s="1051"/>
      <c r="IV146" s="1051"/>
    </row>
    <row r="147" spans="1:256" x14ac:dyDescent="0.2">
      <c r="A147" s="1056" t="s">
        <v>611</v>
      </c>
      <c r="B147" s="1089" t="s">
        <v>767</v>
      </c>
      <c r="C147" s="1043">
        <v>414000</v>
      </c>
      <c r="D147" s="1043">
        <v>414000</v>
      </c>
      <c r="E147" s="1090">
        <v>411269</v>
      </c>
      <c r="F147" s="1045">
        <f t="shared" si="6"/>
        <v>0.99340338164251207</v>
      </c>
      <c r="G147" s="1051"/>
      <c r="H147" s="1051"/>
      <c r="I147" s="1051"/>
      <c r="J147" s="1051"/>
      <c r="K147" s="1051"/>
      <c r="L147" s="1051"/>
      <c r="M147" s="1051"/>
      <c r="N147" s="1051"/>
      <c r="O147" s="1051"/>
      <c r="P147" s="1051"/>
      <c r="Q147" s="1051"/>
      <c r="R147" s="1051"/>
      <c r="S147" s="1051"/>
      <c r="T147" s="1051"/>
      <c r="U147" s="1051"/>
      <c r="V147" s="1051"/>
      <c r="W147" s="1051"/>
      <c r="X147" s="1051"/>
      <c r="Y147" s="1051"/>
      <c r="Z147" s="1051"/>
      <c r="AA147" s="1051"/>
      <c r="AB147" s="1051"/>
      <c r="AC147" s="1051"/>
      <c r="AD147" s="1051"/>
      <c r="AE147" s="1051"/>
      <c r="AF147" s="1051"/>
      <c r="AG147" s="1051"/>
      <c r="AH147" s="1051"/>
      <c r="AI147" s="1051"/>
      <c r="AJ147" s="1051"/>
      <c r="AK147" s="1051"/>
      <c r="AL147" s="1051"/>
      <c r="AM147" s="1051"/>
      <c r="AN147" s="1051"/>
      <c r="AO147" s="1051"/>
      <c r="AP147" s="1051"/>
      <c r="AQ147" s="1051"/>
      <c r="AR147" s="1051"/>
      <c r="AS147" s="1051"/>
      <c r="AT147" s="1051"/>
      <c r="AU147" s="1051"/>
      <c r="AV147" s="1051"/>
      <c r="AW147" s="1051"/>
      <c r="AX147" s="1051"/>
      <c r="AY147" s="1051"/>
      <c r="AZ147" s="1051"/>
      <c r="BA147" s="1051"/>
      <c r="BB147" s="1051"/>
      <c r="BC147" s="1051"/>
      <c r="BD147" s="1051"/>
      <c r="BE147" s="1051"/>
      <c r="BF147" s="1051"/>
      <c r="BG147" s="1051"/>
      <c r="BH147" s="1051"/>
      <c r="BI147" s="1051"/>
      <c r="BJ147" s="1051"/>
      <c r="BK147" s="1051"/>
      <c r="BL147" s="1051"/>
      <c r="BM147" s="1051"/>
      <c r="BN147" s="1051"/>
      <c r="BO147" s="1051"/>
      <c r="BP147" s="1051"/>
      <c r="BQ147" s="1051"/>
      <c r="BR147" s="1051"/>
      <c r="BS147" s="1051"/>
      <c r="BT147" s="1051"/>
      <c r="BU147" s="1051"/>
      <c r="BV147" s="1051"/>
      <c r="BW147" s="1051"/>
      <c r="BX147" s="1051"/>
      <c r="BY147" s="1051"/>
      <c r="BZ147" s="1051"/>
      <c r="CA147" s="1051"/>
      <c r="CB147" s="1051"/>
      <c r="CC147" s="1051"/>
      <c r="CD147" s="1051"/>
      <c r="CE147" s="1051"/>
      <c r="CF147" s="1051"/>
      <c r="CG147" s="1051"/>
      <c r="CH147" s="1051"/>
      <c r="CI147" s="1051"/>
      <c r="CJ147" s="1051"/>
      <c r="CK147" s="1051"/>
      <c r="CL147" s="1051"/>
      <c r="CM147" s="1051"/>
      <c r="CN147" s="1051"/>
      <c r="CO147" s="1051"/>
      <c r="CP147" s="1051"/>
      <c r="CQ147" s="1051"/>
      <c r="CR147" s="1051"/>
      <c r="CS147" s="1051"/>
      <c r="CT147" s="1051"/>
      <c r="CU147" s="1051"/>
      <c r="CV147" s="1051"/>
      <c r="CW147" s="1051"/>
      <c r="CX147" s="1051"/>
      <c r="CY147" s="1051"/>
      <c r="CZ147" s="1051"/>
      <c r="DA147" s="1051"/>
      <c r="DB147" s="1051"/>
      <c r="DC147" s="1051"/>
      <c r="DD147" s="1051"/>
      <c r="DE147" s="1051"/>
      <c r="DF147" s="1051"/>
      <c r="DG147" s="1051"/>
      <c r="DH147" s="1051"/>
      <c r="DI147" s="1051"/>
      <c r="DJ147" s="1051"/>
      <c r="DK147" s="1051"/>
      <c r="DL147" s="1051"/>
      <c r="DM147" s="1051"/>
      <c r="DN147" s="1051"/>
      <c r="DO147" s="1051"/>
      <c r="DP147" s="1051"/>
      <c r="DQ147" s="1051"/>
      <c r="DR147" s="1051"/>
      <c r="DS147" s="1051"/>
      <c r="DT147" s="1051"/>
      <c r="DU147" s="1051"/>
      <c r="DV147" s="1051"/>
      <c r="DW147" s="1051"/>
      <c r="DX147" s="1051"/>
      <c r="DY147" s="1051"/>
      <c r="DZ147" s="1051"/>
      <c r="EA147" s="1051"/>
      <c r="EB147" s="1051"/>
      <c r="EC147" s="1051"/>
      <c r="ED147" s="1051"/>
      <c r="EE147" s="1051"/>
      <c r="EF147" s="1051"/>
      <c r="EG147" s="1051"/>
      <c r="EH147" s="1051"/>
      <c r="EI147" s="1051"/>
      <c r="EJ147" s="1051"/>
      <c r="EK147" s="1051"/>
      <c r="EL147" s="1051"/>
      <c r="EM147" s="1051"/>
      <c r="EN147" s="1051"/>
      <c r="EO147" s="1051"/>
      <c r="EP147" s="1051"/>
      <c r="EQ147" s="1051"/>
      <c r="ER147" s="1051"/>
      <c r="ES147" s="1051"/>
      <c r="ET147" s="1051"/>
      <c r="EU147" s="1051"/>
      <c r="EV147" s="1051"/>
      <c r="EW147" s="1051"/>
      <c r="EX147" s="1051"/>
      <c r="EY147" s="1051"/>
      <c r="EZ147" s="1051"/>
      <c r="FA147" s="1051"/>
      <c r="FB147" s="1051"/>
      <c r="FC147" s="1051"/>
      <c r="FD147" s="1051"/>
      <c r="FE147" s="1051"/>
      <c r="FF147" s="1051"/>
      <c r="FG147" s="1051"/>
      <c r="FH147" s="1051"/>
      <c r="FI147" s="1051"/>
      <c r="FJ147" s="1051"/>
      <c r="FK147" s="1051"/>
      <c r="FL147" s="1051"/>
      <c r="FM147" s="1051"/>
      <c r="FN147" s="1051"/>
      <c r="FO147" s="1051"/>
      <c r="FP147" s="1051"/>
      <c r="FQ147" s="1051"/>
      <c r="FR147" s="1051"/>
      <c r="FS147" s="1051"/>
      <c r="FT147" s="1051"/>
      <c r="FU147" s="1051"/>
      <c r="FV147" s="1051"/>
      <c r="FW147" s="1051"/>
      <c r="FX147" s="1051"/>
      <c r="FY147" s="1051"/>
      <c r="FZ147" s="1051"/>
      <c r="GA147" s="1051"/>
      <c r="GB147" s="1051"/>
      <c r="GC147" s="1051"/>
      <c r="GD147" s="1051"/>
      <c r="GE147" s="1051"/>
      <c r="GF147" s="1051"/>
      <c r="GG147" s="1051"/>
      <c r="GH147" s="1051"/>
      <c r="GI147" s="1051"/>
      <c r="GJ147" s="1051"/>
      <c r="GK147" s="1051"/>
      <c r="GL147" s="1051"/>
      <c r="GM147" s="1051"/>
      <c r="GN147" s="1051"/>
      <c r="GO147" s="1051"/>
      <c r="GP147" s="1051"/>
      <c r="GQ147" s="1051"/>
      <c r="GR147" s="1051"/>
      <c r="GS147" s="1051"/>
      <c r="GT147" s="1051"/>
      <c r="GU147" s="1051"/>
      <c r="GV147" s="1051"/>
      <c r="GW147" s="1051"/>
      <c r="GX147" s="1051"/>
      <c r="GY147" s="1051"/>
      <c r="GZ147" s="1051"/>
      <c r="HA147" s="1051"/>
      <c r="HB147" s="1051"/>
      <c r="HC147" s="1051"/>
      <c r="HD147" s="1051"/>
      <c r="HE147" s="1051"/>
      <c r="HF147" s="1051"/>
      <c r="HG147" s="1051"/>
      <c r="HH147" s="1051"/>
      <c r="HI147" s="1051"/>
      <c r="HJ147" s="1051"/>
      <c r="HK147" s="1051"/>
      <c r="HL147" s="1051"/>
      <c r="HM147" s="1051"/>
      <c r="HN147" s="1051"/>
      <c r="HO147" s="1051"/>
      <c r="HP147" s="1051"/>
      <c r="HQ147" s="1051"/>
      <c r="HR147" s="1051"/>
      <c r="HS147" s="1051"/>
      <c r="HT147" s="1051"/>
      <c r="HU147" s="1051"/>
      <c r="HV147" s="1051"/>
      <c r="HW147" s="1051"/>
      <c r="HX147" s="1051"/>
      <c r="HY147" s="1051"/>
      <c r="HZ147" s="1051"/>
      <c r="IA147" s="1051"/>
      <c r="IB147" s="1051"/>
      <c r="IC147" s="1051"/>
      <c r="ID147" s="1051"/>
      <c r="IE147" s="1051"/>
      <c r="IF147" s="1051"/>
      <c r="IG147" s="1051"/>
      <c r="IH147" s="1051"/>
      <c r="II147" s="1051"/>
      <c r="IJ147" s="1051"/>
      <c r="IK147" s="1051"/>
      <c r="IL147" s="1051"/>
      <c r="IM147" s="1051"/>
      <c r="IN147" s="1051"/>
      <c r="IO147" s="1051"/>
      <c r="IP147" s="1051"/>
      <c r="IQ147" s="1051"/>
      <c r="IR147" s="1051"/>
      <c r="IS147" s="1051"/>
      <c r="IT147" s="1051"/>
      <c r="IU147" s="1051"/>
      <c r="IV147" s="1051"/>
    </row>
    <row r="148" spans="1:256" x14ac:dyDescent="0.2">
      <c r="A148" s="1056" t="s">
        <v>613</v>
      </c>
      <c r="B148" s="1089" t="s">
        <v>768</v>
      </c>
      <c r="C148" s="1043">
        <v>112000</v>
      </c>
      <c r="D148" s="1043">
        <v>112000</v>
      </c>
      <c r="E148" s="1090">
        <v>111043</v>
      </c>
      <c r="F148" s="1045">
        <f t="shared" si="6"/>
        <v>0.99145535714285715</v>
      </c>
      <c r="G148" s="1051"/>
      <c r="H148" s="1051"/>
      <c r="I148" s="1051"/>
      <c r="J148" s="1051"/>
      <c r="K148" s="1051"/>
      <c r="L148" s="1051"/>
      <c r="M148" s="1051"/>
      <c r="N148" s="1051"/>
      <c r="O148" s="1051"/>
      <c r="P148" s="1051"/>
      <c r="Q148" s="1051"/>
      <c r="R148" s="1051"/>
      <c r="S148" s="1051"/>
      <c r="T148" s="1051"/>
      <c r="U148" s="1051"/>
      <c r="V148" s="1051"/>
      <c r="W148" s="1051"/>
      <c r="X148" s="1051"/>
      <c r="Y148" s="1051"/>
      <c r="Z148" s="1051"/>
      <c r="AA148" s="1051"/>
      <c r="AB148" s="1051"/>
      <c r="AC148" s="1051"/>
      <c r="AD148" s="1051"/>
      <c r="AE148" s="1051"/>
      <c r="AF148" s="1051"/>
      <c r="AG148" s="1051"/>
      <c r="AH148" s="1051"/>
      <c r="AI148" s="1051"/>
      <c r="AJ148" s="1051"/>
      <c r="AK148" s="1051"/>
      <c r="AL148" s="1051"/>
      <c r="AM148" s="1051"/>
      <c r="AN148" s="1051"/>
      <c r="AO148" s="1051"/>
      <c r="AP148" s="1051"/>
      <c r="AQ148" s="1051"/>
      <c r="AR148" s="1051"/>
      <c r="AS148" s="1051"/>
      <c r="AT148" s="1051"/>
      <c r="AU148" s="1051"/>
      <c r="AV148" s="1051"/>
      <c r="AW148" s="1051"/>
      <c r="AX148" s="1051"/>
      <c r="AY148" s="1051"/>
      <c r="AZ148" s="1051"/>
      <c r="BA148" s="1051"/>
      <c r="BB148" s="1051"/>
      <c r="BC148" s="1051"/>
      <c r="BD148" s="1051"/>
      <c r="BE148" s="1051"/>
      <c r="BF148" s="1051"/>
      <c r="BG148" s="1051"/>
      <c r="BH148" s="1051"/>
      <c r="BI148" s="1051"/>
      <c r="BJ148" s="1051"/>
      <c r="BK148" s="1051"/>
      <c r="BL148" s="1051"/>
      <c r="BM148" s="1051"/>
      <c r="BN148" s="1051"/>
      <c r="BO148" s="1051"/>
      <c r="BP148" s="1051"/>
      <c r="BQ148" s="1051"/>
      <c r="BR148" s="1051"/>
      <c r="BS148" s="1051"/>
      <c r="BT148" s="1051"/>
      <c r="BU148" s="1051"/>
      <c r="BV148" s="1051"/>
      <c r="BW148" s="1051"/>
      <c r="BX148" s="1051"/>
      <c r="BY148" s="1051"/>
      <c r="BZ148" s="1051"/>
      <c r="CA148" s="1051"/>
      <c r="CB148" s="1051"/>
      <c r="CC148" s="1051"/>
      <c r="CD148" s="1051"/>
      <c r="CE148" s="1051"/>
      <c r="CF148" s="1051"/>
      <c r="CG148" s="1051"/>
      <c r="CH148" s="1051"/>
      <c r="CI148" s="1051"/>
      <c r="CJ148" s="1051"/>
      <c r="CK148" s="1051"/>
      <c r="CL148" s="1051"/>
      <c r="CM148" s="1051"/>
      <c r="CN148" s="1051"/>
      <c r="CO148" s="1051"/>
      <c r="CP148" s="1051"/>
      <c r="CQ148" s="1051"/>
      <c r="CR148" s="1051"/>
      <c r="CS148" s="1051"/>
      <c r="CT148" s="1051"/>
      <c r="CU148" s="1051"/>
      <c r="CV148" s="1051"/>
      <c r="CW148" s="1051"/>
      <c r="CX148" s="1051"/>
      <c r="CY148" s="1051"/>
      <c r="CZ148" s="1051"/>
      <c r="DA148" s="1051"/>
      <c r="DB148" s="1051"/>
      <c r="DC148" s="1051"/>
      <c r="DD148" s="1051"/>
      <c r="DE148" s="1051"/>
      <c r="DF148" s="1051"/>
      <c r="DG148" s="1051"/>
      <c r="DH148" s="1051"/>
      <c r="DI148" s="1051"/>
      <c r="DJ148" s="1051"/>
      <c r="DK148" s="1051"/>
      <c r="DL148" s="1051"/>
      <c r="DM148" s="1051"/>
      <c r="DN148" s="1051"/>
      <c r="DO148" s="1051"/>
      <c r="DP148" s="1051"/>
      <c r="DQ148" s="1051"/>
      <c r="DR148" s="1051"/>
      <c r="DS148" s="1051"/>
      <c r="DT148" s="1051"/>
      <c r="DU148" s="1051"/>
      <c r="DV148" s="1051"/>
      <c r="DW148" s="1051"/>
      <c r="DX148" s="1051"/>
      <c r="DY148" s="1051"/>
      <c r="DZ148" s="1051"/>
      <c r="EA148" s="1051"/>
      <c r="EB148" s="1051"/>
      <c r="EC148" s="1051"/>
      <c r="ED148" s="1051"/>
      <c r="EE148" s="1051"/>
      <c r="EF148" s="1051"/>
      <c r="EG148" s="1051"/>
      <c r="EH148" s="1051"/>
      <c r="EI148" s="1051"/>
      <c r="EJ148" s="1051"/>
      <c r="EK148" s="1051"/>
      <c r="EL148" s="1051"/>
      <c r="EM148" s="1051"/>
      <c r="EN148" s="1051"/>
      <c r="EO148" s="1051"/>
      <c r="EP148" s="1051"/>
      <c r="EQ148" s="1051"/>
      <c r="ER148" s="1051"/>
      <c r="ES148" s="1051"/>
      <c r="ET148" s="1051"/>
      <c r="EU148" s="1051"/>
      <c r="EV148" s="1051"/>
      <c r="EW148" s="1051"/>
      <c r="EX148" s="1051"/>
      <c r="EY148" s="1051"/>
      <c r="EZ148" s="1051"/>
      <c r="FA148" s="1051"/>
      <c r="FB148" s="1051"/>
      <c r="FC148" s="1051"/>
      <c r="FD148" s="1051"/>
      <c r="FE148" s="1051"/>
      <c r="FF148" s="1051"/>
      <c r="FG148" s="1051"/>
      <c r="FH148" s="1051"/>
      <c r="FI148" s="1051"/>
      <c r="FJ148" s="1051"/>
      <c r="FK148" s="1051"/>
      <c r="FL148" s="1051"/>
      <c r="FM148" s="1051"/>
      <c r="FN148" s="1051"/>
      <c r="FO148" s="1051"/>
      <c r="FP148" s="1051"/>
      <c r="FQ148" s="1051"/>
      <c r="FR148" s="1051"/>
      <c r="FS148" s="1051"/>
      <c r="FT148" s="1051"/>
      <c r="FU148" s="1051"/>
      <c r="FV148" s="1051"/>
      <c r="FW148" s="1051"/>
      <c r="FX148" s="1051"/>
      <c r="FY148" s="1051"/>
      <c r="FZ148" s="1051"/>
      <c r="GA148" s="1051"/>
      <c r="GB148" s="1051"/>
      <c r="GC148" s="1051"/>
      <c r="GD148" s="1051"/>
      <c r="GE148" s="1051"/>
      <c r="GF148" s="1051"/>
      <c r="GG148" s="1051"/>
      <c r="GH148" s="1051"/>
      <c r="GI148" s="1051"/>
      <c r="GJ148" s="1051"/>
      <c r="GK148" s="1051"/>
      <c r="GL148" s="1051"/>
      <c r="GM148" s="1051"/>
      <c r="GN148" s="1051"/>
      <c r="GO148" s="1051"/>
      <c r="GP148" s="1051"/>
      <c r="GQ148" s="1051"/>
      <c r="GR148" s="1051"/>
      <c r="GS148" s="1051"/>
      <c r="GT148" s="1051"/>
      <c r="GU148" s="1051"/>
      <c r="GV148" s="1051"/>
      <c r="GW148" s="1051"/>
      <c r="GX148" s="1051"/>
      <c r="GY148" s="1051"/>
      <c r="GZ148" s="1051"/>
      <c r="HA148" s="1051"/>
      <c r="HB148" s="1051"/>
      <c r="HC148" s="1051"/>
      <c r="HD148" s="1051"/>
      <c r="HE148" s="1051"/>
      <c r="HF148" s="1051"/>
      <c r="HG148" s="1051"/>
      <c r="HH148" s="1051"/>
      <c r="HI148" s="1051"/>
      <c r="HJ148" s="1051"/>
      <c r="HK148" s="1051"/>
      <c r="HL148" s="1051"/>
      <c r="HM148" s="1051"/>
      <c r="HN148" s="1051"/>
      <c r="HO148" s="1051"/>
      <c r="HP148" s="1051"/>
      <c r="HQ148" s="1051"/>
      <c r="HR148" s="1051"/>
      <c r="HS148" s="1051"/>
      <c r="HT148" s="1051"/>
      <c r="HU148" s="1051"/>
      <c r="HV148" s="1051"/>
      <c r="HW148" s="1051"/>
      <c r="HX148" s="1051"/>
      <c r="HY148" s="1051"/>
      <c r="HZ148" s="1051"/>
      <c r="IA148" s="1051"/>
      <c r="IB148" s="1051"/>
      <c r="IC148" s="1051"/>
      <c r="ID148" s="1051"/>
      <c r="IE148" s="1051"/>
      <c r="IF148" s="1051"/>
      <c r="IG148" s="1051"/>
      <c r="IH148" s="1051"/>
      <c r="II148" s="1051"/>
      <c r="IJ148" s="1051"/>
      <c r="IK148" s="1051"/>
      <c r="IL148" s="1051"/>
      <c r="IM148" s="1051"/>
      <c r="IN148" s="1051"/>
      <c r="IO148" s="1051"/>
      <c r="IP148" s="1051"/>
      <c r="IQ148" s="1051"/>
      <c r="IR148" s="1051"/>
      <c r="IS148" s="1051"/>
      <c r="IT148" s="1051"/>
      <c r="IU148" s="1051"/>
      <c r="IV148" s="1051"/>
    </row>
    <row r="149" spans="1:256" x14ac:dyDescent="0.2">
      <c r="A149" s="1564" t="s">
        <v>12</v>
      </c>
      <c r="B149" s="1574"/>
      <c r="C149" s="1043">
        <f>SUM(C147:C148)</f>
        <v>526000</v>
      </c>
      <c r="D149" s="1043">
        <f>SUM(D147:D148)</f>
        <v>526000</v>
      </c>
      <c r="E149" s="1043">
        <f>SUM(E147:E148)</f>
        <v>522312</v>
      </c>
      <c r="F149" s="1045">
        <f t="shared" si="6"/>
        <v>0.9929885931558935</v>
      </c>
      <c r="G149" s="1051"/>
      <c r="H149" s="1051"/>
      <c r="I149" s="1051"/>
      <c r="J149" s="1051"/>
      <c r="K149" s="1051"/>
      <c r="L149" s="1051"/>
      <c r="M149" s="1051"/>
      <c r="N149" s="1051"/>
      <c r="O149" s="1051"/>
      <c r="P149" s="1051"/>
      <c r="Q149" s="1051"/>
      <c r="R149" s="1051"/>
      <c r="S149" s="1051"/>
      <c r="T149" s="1051"/>
      <c r="U149" s="1051"/>
      <c r="V149" s="1051"/>
      <c r="W149" s="1051"/>
      <c r="X149" s="1051"/>
      <c r="Y149" s="1051"/>
      <c r="Z149" s="1051"/>
      <c r="AA149" s="1051"/>
      <c r="AB149" s="1051"/>
      <c r="AC149" s="1051"/>
      <c r="AD149" s="1051"/>
      <c r="AE149" s="1051"/>
      <c r="AF149" s="1051"/>
      <c r="AG149" s="1051"/>
      <c r="AH149" s="1051"/>
      <c r="AI149" s="1051"/>
      <c r="AJ149" s="1051"/>
      <c r="AK149" s="1051"/>
      <c r="AL149" s="1051"/>
      <c r="AM149" s="1051"/>
      <c r="AN149" s="1051"/>
      <c r="AO149" s="1051"/>
      <c r="AP149" s="1051"/>
      <c r="AQ149" s="1051"/>
      <c r="AR149" s="1051"/>
      <c r="AS149" s="1051"/>
      <c r="AT149" s="1051"/>
      <c r="AU149" s="1051"/>
      <c r="AV149" s="1051"/>
      <c r="AW149" s="1051"/>
      <c r="AX149" s="1051"/>
      <c r="AY149" s="1051"/>
      <c r="AZ149" s="1051"/>
      <c r="BA149" s="1051"/>
      <c r="BB149" s="1051"/>
      <c r="BC149" s="1051"/>
      <c r="BD149" s="1051"/>
      <c r="BE149" s="1051"/>
      <c r="BF149" s="1051"/>
      <c r="BG149" s="1051"/>
      <c r="BH149" s="1051"/>
      <c r="BI149" s="1051"/>
      <c r="BJ149" s="1051"/>
      <c r="BK149" s="1051"/>
      <c r="BL149" s="1051"/>
      <c r="BM149" s="1051"/>
      <c r="BN149" s="1051"/>
      <c r="BO149" s="1051"/>
      <c r="BP149" s="1051"/>
      <c r="BQ149" s="1051"/>
      <c r="BR149" s="1051"/>
      <c r="BS149" s="1051"/>
      <c r="BT149" s="1051"/>
      <c r="BU149" s="1051"/>
      <c r="BV149" s="1051"/>
      <c r="BW149" s="1051"/>
      <c r="BX149" s="1051"/>
      <c r="BY149" s="1051"/>
      <c r="BZ149" s="1051"/>
      <c r="CA149" s="1051"/>
      <c r="CB149" s="1051"/>
      <c r="CC149" s="1051"/>
      <c r="CD149" s="1051"/>
      <c r="CE149" s="1051"/>
      <c r="CF149" s="1051"/>
      <c r="CG149" s="1051"/>
      <c r="CH149" s="1051"/>
      <c r="CI149" s="1051"/>
      <c r="CJ149" s="1051"/>
      <c r="CK149" s="1051"/>
      <c r="CL149" s="1051"/>
      <c r="CM149" s="1051"/>
      <c r="CN149" s="1051"/>
      <c r="CO149" s="1051"/>
      <c r="CP149" s="1051"/>
      <c r="CQ149" s="1051"/>
      <c r="CR149" s="1051"/>
      <c r="CS149" s="1051"/>
      <c r="CT149" s="1051"/>
      <c r="CU149" s="1051"/>
      <c r="CV149" s="1051"/>
      <c r="CW149" s="1051"/>
      <c r="CX149" s="1051"/>
      <c r="CY149" s="1051"/>
      <c r="CZ149" s="1051"/>
      <c r="DA149" s="1051"/>
      <c r="DB149" s="1051"/>
      <c r="DC149" s="1051"/>
      <c r="DD149" s="1051"/>
      <c r="DE149" s="1051"/>
      <c r="DF149" s="1051"/>
      <c r="DG149" s="1051"/>
      <c r="DH149" s="1051"/>
      <c r="DI149" s="1051"/>
      <c r="DJ149" s="1051"/>
      <c r="DK149" s="1051"/>
      <c r="DL149" s="1051"/>
      <c r="DM149" s="1051"/>
      <c r="DN149" s="1051"/>
      <c r="DO149" s="1051"/>
      <c r="DP149" s="1051"/>
      <c r="DQ149" s="1051"/>
      <c r="DR149" s="1051"/>
      <c r="DS149" s="1051"/>
      <c r="DT149" s="1051"/>
      <c r="DU149" s="1051"/>
      <c r="DV149" s="1051"/>
      <c r="DW149" s="1051"/>
      <c r="DX149" s="1051"/>
      <c r="DY149" s="1051"/>
      <c r="DZ149" s="1051"/>
      <c r="EA149" s="1051"/>
      <c r="EB149" s="1051"/>
      <c r="EC149" s="1051"/>
      <c r="ED149" s="1051"/>
      <c r="EE149" s="1051"/>
      <c r="EF149" s="1051"/>
      <c r="EG149" s="1051"/>
      <c r="EH149" s="1051"/>
      <c r="EI149" s="1051"/>
      <c r="EJ149" s="1051"/>
      <c r="EK149" s="1051"/>
      <c r="EL149" s="1051"/>
      <c r="EM149" s="1051"/>
      <c r="EN149" s="1051"/>
      <c r="EO149" s="1051"/>
      <c r="EP149" s="1051"/>
      <c r="EQ149" s="1051"/>
      <c r="ER149" s="1051"/>
      <c r="ES149" s="1051"/>
      <c r="ET149" s="1051"/>
      <c r="EU149" s="1051"/>
      <c r="EV149" s="1051"/>
      <c r="EW149" s="1051"/>
      <c r="EX149" s="1051"/>
      <c r="EY149" s="1051"/>
      <c r="EZ149" s="1051"/>
      <c r="FA149" s="1051"/>
      <c r="FB149" s="1051"/>
      <c r="FC149" s="1051"/>
      <c r="FD149" s="1051"/>
      <c r="FE149" s="1051"/>
      <c r="FF149" s="1051"/>
      <c r="FG149" s="1051"/>
      <c r="FH149" s="1051"/>
      <c r="FI149" s="1051"/>
      <c r="FJ149" s="1051"/>
      <c r="FK149" s="1051"/>
      <c r="FL149" s="1051"/>
      <c r="FM149" s="1051"/>
      <c r="FN149" s="1051"/>
      <c r="FO149" s="1051"/>
      <c r="FP149" s="1051"/>
      <c r="FQ149" s="1051"/>
      <c r="FR149" s="1051"/>
      <c r="FS149" s="1051"/>
      <c r="FT149" s="1051"/>
      <c r="FU149" s="1051"/>
      <c r="FV149" s="1051"/>
      <c r="FW149" s="1051"/>
      <c r="FX149" s="1051"/>
      <c r="FY149" s="1051"/>
      <c r="FZ149" s="1051"/>
      <c r="GA149" s="1051"/>
      <c r="GB149" s="1051"/>
      <c r="GC149" s="1051"/>
      <c r="GD149" s="1051"/>
      <c r="GE149" s="1051"/>
      <c r="GF149" s="1051"/>
      <c r="GG149" s="1051"/>
      <c r="GH149" s="1051"/>
      <c r="GI149" s="1051"/>
      <c r="GJ149" s="1051"/>
      <c r="GK149" s="1051"/>
      <c r="GL149" s="1051"/>
      <c r="GM149" s="1051"/>
      <c r="GN149" s="1051"/>
      <c r="GO149" s="1051"/>
      <c r="GP149" s="1051"/>
      <c r="GQ149" s="1051"/>
      <c r="GR149" s="1051"/>
      <c r="GS149" s="1051"/>
      <c r="GT149" s="1051"/>
      <c r="GU149" s="1051"/>
      <c r="GV149" s="1051"/>
      <c r="GW149" s="1051"/>
      <c r="GX149" s="1051"/>
      <c r="GY149" s="1051"/>
      <c r="GZ149" s="1051"/>
      <c r="HA149" s="1051"/>
      <c r="HB149" s="1051"/>
      <c r="HC149" s="1051"/>
      <c r="HD149" s="1051"/>
      <c r="HE149" s="1051"/>
      <c r="HF149" s="1051"/>
      <c r="HG149" s="1051"/>
      <c r="HH149" s="1051"/>
      <c r="HI149" s="1051"/>
      <c r="HJ149" s="1051"/>
      <c r="HK149" s="1051"/>
      <c r="HL149" s="1051"/>
      <c r="HM149" s="1051"/>
      <c r="HN149" s="1051"/>
      <c r="HO149" s="1051"/>
      <c r="HP149" s="1051"/>
      <c r="HQ149" s="1051"/>
      <c r="HR149" s="1051"/>
      <c r="HS149" s="1051"/>
      <c r="HT149" s="1051"/>
      <c r="HU149" s="1051"/>
      <c r="HV149" s="1051"/>
      <c r="HW149" s="1051"/>
      <c r="HX149" s="1051"/>
      <c r="HY149" s="1051"/>
      <c r="HZ149" s="1051"/>
      <c r="IA149" s="1051"/>
      <c r="IB149" s="1051"/>
      <c r="IC149" s="1051"/>
      <c r="ID149" s="1051"/>
      <c r="IE149" s="1051"/>
      <c r="IF149" s="1051"/>
      <c r="IG149" s="1051"/>
      <c r="IH149" s="1051"/>
      <c r="II149" s="1051"/>
      <c r="IJ149" s="1051"/>
      <c r="IK149" s="1051"/>
      <c r="IL149" s="1051"/>
      <c r="IM149" s="1051"/>
      <c r="IN149" s="1051"/>
      <c r="IO149" s="1051"/>
      <c r="IP149" s="1051"/>
      <c r="IQ149" s="1051"/>
      <c r="IR149" s="1051"/>
      <c r="IS149" s="1051"/>
      <c r="IT149" s="1051"/>
      <c r="IU149" s="1051"/>
      <c r="IV149" s="1051"/>
    </row>
    <row r="150" spans="1:256" x14ac:dyDescent="0.2">
      <c r="A150" s="1056" t="s">
        <v>614</v>
      </c>
      <c r="B150" s="1091" t="s">
        <v>265</v>
      </c>
      <c r="C150" s="1043">
        <v>1850000</v>
      </c>
      <c r="D150" s="1043">
        <v>1850000</v>
      </c>
      <c r="E150" s="1043">
        <v>0</v>
      </c>
      <c r="F150" s="1045">
        <f t="shared" si="6"/>
        <v>0</v>
      </c>
      <c r="G150" s="1051"/>
      <c r="H150" s="1051"/>
      <c r="I150" s="1051"/>
      <c r="J150" s="1051"/>
      <c r="K150" s="1051"/>
      <c r="L150" s="1051"/>
      <c r="M150" s="1051"/>
      <c r="N150" s="1051"/>
      <c r="O150" s="1051"/>
      <c r="P150" s="1051"/>
      <c r="Q150" s="1051"/>
      <c r="R150" s="1051"/>
      <c r="S150" s="1051"/>
      <c r="T150" s="1051"/>
      <c r="U150" s="1051"/>
      <c r="V150" s="1051"/>
      <c r="W150" s="1051"/>
      <c r="X150" s="1051"/>
      <c r="Y150" s="1051"/>
      <c r="Z150" s="1051"/>
      <c r="AA150" s="1051"/>
      <c r="AB150" s="1051"/>
      <c r="AC150" s="1051"/>
      <c r="AD150" s="1051"/>
      <c r="AE150" s="1051"/>
      <c r="AF150" s="1051"/>
      <c r="AG150" s="1051"/>
      <c r="AH150" s="1051"/>
      <c r="AI150" s="1051"/>
      <c r="AJ150" s="1051"/>
      <c r="AK150" s="1051"/>
      <c r="AL150" s="1051"/>
      <c r="AM150" s="1051"/>
      <c r="AN150" s="1051"/>
      <c r="AO150" s="1051"/>
      <c r="AP150" s="1051"/>
      <c r="AQ150" s="1051"/>
      <c r="AR150" s="1051"/>
      <c r="AS150" s="1051"/>
      <c r="AT150" s="1051"/>
      <c r="AU150" s="1051"/>
      <c r="AV150" s="1051"/>
      <c r="AW150" s="1051"/>
      <c r="AX150" s="1051"/>
      <c r="AY150" s="1051"/>
      <c r="AZ150" s="1051"/>
      <c r="BA150" s="1051"/>
      <c r="BB150" s="1051"/>
      <c r="BC150" s="1051"/>
      <c r="BD150" s="1051"/>
      <c r="BE150" s="1051"/>
      <c r="BF150" s="1051"/>
      <c r="BG150" s="1051"/>
      <c r="BH150" s="1051"/>
      <c r="BI150" s="1051"/>
      <c r="BJ150" s="1051"/>
      <c r="BK150" s="1051"/>
      <c r="BL150" s="1051"/>
      <c r="BM150" s="1051"/>
      <c r="BN150" s="1051"/>
      <c r="BO150" s="1051"/>
      <c r="BP150" s="1051"/>
      <c r="BQ150" s="1051"/>
      <c r="BR150" s="1051"/>
      <c r="BS150" s="1051"/>
      <c r="BT150" s="1051"/>
      <c r="BU150" s="1051"/>
      <c r="BV150" s="1051"/>
      <c r="BW150" s="1051"/>
      <c r="BX150" s="1051"/>
      <c r="BY150" s="1051"/>
      <c r="BZ150" s="1051"/>
      <c r="CA150" s="1051"/>
      <c r="CB150" s="1051"/>
      <c r="CC150" s="1051"/>
      <c r="CD150" s="1051"/>
      <c r="CE150" s="1051"/>
      <c r="CF150" s="1051"/>
      <c r="CG150" s="1051"/>
      <c r="CH150" s="1051"/>
      <c r="CI150" s="1051"/>
      <c r="CJ150" s="1051"/>
      <c r="CK150" s="1051"/>
      <c r="CL150" s="1051"/>
      <c r="CM150" s="1051"/>
      <c r="CN150" s="1051"/>
      <c r="CO150" s="1051"/>
      <c r="CP150" s="1051"/>
      <c r="CQ150" s="1051"/>
      <c r="CR150" s="1051"/>
      <c r="CS150" s="1051"/>
      <c r="CT150" s="1051"/>
      <c r="CU150" s="1051"/>
      <c r="CV150" s="1051"/>
      <c r="CW150" s="1051"/>
      <c r="CX150" s="1051"/>
      <c r="CY150" s="1051"/>
      <c r="CZ150" s="1051"/>
      <c r="DA150" s="1051"/>
      <c r="DB150" s="1051"/>
      <c r="DC150" s="1051"/>
      <c r="DD150" s="1051"/>
      <c r="DE150" s="1051"/>
      <c r="DF150" s="1051"/>
      <c r="DG150" s="1051"/>
      <c r="DH150" s="1051"/>
      <c r="DI150" s="1051"/>
      <c r="DJ150" s="1051"/>
      <c r="DK150" s="1051"/>
      <c r="DL150" s="1051"/>
      <c r="DM150" s="1051"/>
      <c r="DN150" s="1051"/>
      <c r="DO150" s="1051"/>
      <c r="DP150" s="1051"/>
      <c r="DQ150" s="1051"/>
      <c r="DR150" s="1051"/>
      <c r="DS150" s="1051"/>
      <c r="DT150" s="1051"/>
      <c r="DU150" s="1051"/>
      <c r="DV150" s="1051"/>
      <c r="DW150" s="1051"/>
      <c r="DX150" s="1051"/>
      <c r="DY150" s="1051"/>
      <c r="DZ150" s="1051"/>
      <c r="EA150" s="1051"/>
      <c r="EB150" s="1051"/>
      <c r="EC150" s="1051"/>
      <c r="ED150" s="1051"/>
      <c r="EE150" s="1051"/>
      <c r="EF150" s="1051"/>
      <c r="EG150" s="1051"/>
      <c r="EH150" s="1051"/>
      <c r="EI150" s="1051"/>
      <c r="EJ150" s="1051"/>
      <c r="EK150" s="1051"/>
      <c r="EL150" s="1051"/>
      <c r="EM150" s="1051"/>
      <c r="EN150" s="1051"/>
      <c r="EO150" s="1051"/>
      <c r="EP150" s="1051"/>
      <c r="EQ150" s="1051"/>
      <c r="ER150" s="1051"/>
      <c r="ES150" s="1051"/>
      <c r="ET150" s="1051"/>
      <c r="EU150" s="1051"/>
      <c r="EV150" s="1051"/>
      <c r="EW150" s="1051"/>
      <c r="EX150" s="1051"/>
      <c r="EY150" s="1051"/>
      <c r="EZ150" s="1051"/>
      <c r="FA150" s="1051"/>
      <c r="FB150" s="1051"/>
      <c r="FC150" s="1051"/>
      <c r="FD150" s="1051"/>
      <c r="FE150" s="1051"/>
      <c r="FF150" s="1051"/>
      <c r="FG150" s="1051"/>
      <c r="FH150" s="1051"/>
      <c r="FI150" s="1051"/>
      <c r="FJ150" s="1051"/>
      <c r="FK150" s="1051"/>
      <c r="FL150" s="1051"/>
      <c r="FM150" s="1051"/>
      <c r="FN150" s="1051"/>
      <c r="FO150" s="1051"/>
      <c r="FP150" s="1051"/>
      <c r="FQ150" s="1051"/>
      <c r="FR150" s="1051"/>
      <c r="FS150" s="1051"/>
      <c r="FT150" s="1051"/>
      <c r="FU150" s="1051"/>
      <c r="FV150" s="1051"/>
      <c r="FW150" s="1051"/>
      <c r="FX150" s="1051"/>
      <c r="FY150" s="1051"/>
      <c r="FZ150" s="1051"/>
      <c r="GA150" s="1051"/>
      <c r="GB150" s="1051"/>
      <c r="GC150" s="1051"/>
      <c r="GD150" s="1051"/>
      <c r="GE150" s="1051"/>
      <c r="GF150" s="1051"/>
      <c r="GG150" s="1051"/>
      <c r="GH150" s="1051"/>
      <c r="GI150" s="1051"/>
      <c r="GJ150" s="1051"/>
      <c r="GK150" s="1051"/>
      <c r="GL150" s="1051"/>
      <c r="GM150" s="1051"/>
      <c r="GN150" s="1051"/>
      <c r="GO150" s="1051"/>
      <c r="GP150" s="1051"/>
      <c r="GQ150" s="1051"/>
      <c r="GR150" s="1051"/>
      <c r="GS150" s="1051"/>
      <c r="GT150" s="1051"/>
      <c r="GU150" s="1051"/>
      <c r="GV150" s="1051"/>
      <c r="GW150" s="1051"/>
      <c r="GX150" s="1051"/>
      <c r="GY150" s="1051"/>
      <c r="GZ150" s="1051"/>
      <c r="HA150" s="1051"/>
      <c r="HB150" s="1051"/>
      <c r="HC150" s="1051"/>
      <c r="HD150" s="1051"/>
      <c r="HE150" s="1051"/>
      <c r="HF150" s="1051"/>
      <c r="HG150" s="1051"/>
      <c r="HH150" s="1051"/>
      <c r="HI150" s="1051"/>
      <c r="HJ150" s="1051"/>
      <c r="HK150" s="1051"/>
      <c r="HL150" s="1051"/>
      <c r="HM150" s="1051"/>
      <c r="HN150" s="1051"/>
      <c r="HO150" s="1051"/>
      <c r="HP150" s="1051"/>
      <c r="HQ150" s="1051"/>
      <c r="HR150" s="1051"/>
      <c r="HS150" s="1051"/>
      <c r="HT150" s="1051"/>
      <c r="HU150" s="1051"/>
      <c r="HV150" s="1051"/>
      <c r="HW150" s="1051"/>
      <c r="HX150" s="1051"/>
      <c r="HY150" s="1051"/>
      <c r="HZ150" s="1051"/>
      <c r="IA150" s="1051"/>
      <c r="IB150" s="1051"/>
      <c r="IC150" s="1051"/>
      <c r="ID150" s="1051"/>
      <c r="IE150" s="1051"/>
      <c r="IF150" s="1051"/>
      <c r="IG150" s="1051"/>
      <c r="IH150" s="1051"/>
      <c r="II150" s="1051"/>
      <c r="IJ150" s="1051"/>
      <c r="IK150" s="1051"/>
      <c r="IL150" s="1051"/>
      <c r="IM150" s="1051"/>
      <c r="IN150" s="1051"/>
      <c r="IO150" s="1051"/>
      <c r="IP150" s="1051"/>
      <c r="IQ150" s="1051"/>
      <c r="IR150" s="1051"/>
      <c r="IS150" s="1051"/>
      <c r="IT150" s="1051"/>
      <c r="IU150" s="1051"/>
      <c r="IV150" s="1051"/>
    </row>
    <row r="151" spans="1:256" x14ac:dyDescent="0.2">
      <c r="A151" s="1056" t="s">
        <v>615</v>
      </c>
      <c r="B151" s="1091" t="s">
        <v>712</v>
      </c>
      <c r="C151" s="1043">
        <v>500000</v>
      </c>
      <c r="D151" s="1043">
        <v>500000</v>
      </c>
      <c r="E151" s="1043">
        <v>0</v>
      </c>
      <c r="F151" s="1045">
        <f t="shared" si="6"/>
        <v>0</v>
      </c>
      <c r="G151" s="1051"/>
      <c r="H151" s="1051"/>
      <c r="I151" s="1051"/>
      <c r="J151" s="1051"/>
      <c r="K151" s="1051"/>
      <c r="L151" s="1051"/>
      <c r="M151" s="1051"/>
      <c r="N151" s="1051"/>
      <c r="O151" s="1051"/>
      <c r="P151" s="1051"/>
      <c r="Q151" s="1051"/>
      <c r="R151" s="1051"/>
      <c r="S151" s="1051"/>
      <c r="T151" s="1051"/>
      <c r="U151" s="1051"/>
      <c r="V151" s="1051"/>
      <c r="W151" s="1051"/>
      <c r="X151" s="1051"/>
      <c r="Y151" s="1051"/>
      <c r="Z151" s="1051"/>
      <c r="AA151" s="1051"/>
      <c r="AB151" s="1051"/>
      <c r="AC151" s="1051"/>
      <c r="AD151" s="1051"/>
      <c r="AE151" s="1051"/>
      <c r="AF151" s="1051"/>
      <c r="AG151" s="1051"/>
      <c r="AH151" s="1051"/>
      <c r="AI151" s="1051"/>
      <c r="AJ151" s="1051"/>
      <c r="AK151" s="1051"/>
      <c r="AL151" s="1051"/>
      <c r="AM151" s="1051"/>
      <c r="AN151" s="1051"/>
      <c r="AO151" s="1051"/>
      <c r="AP151" s="1051"/>
      <c r="AQ151" s="1051"/>
      <c r="AR151" s="1051"/>
      <c r="AS151" s="1051"/>
      <c r="AT151" s="1051"/>
      <c r="AU151" s="1051"/>
      <c r="AV151" s="1051"/>
      <c r="AW151" s="1051"/>
      <c r="AX151" s="1051"/>
      <c r="AY151" s="1051"/>
      <c r="AZ151" s="1051"/>
      <c r="BA151" s="1051"/>
      <c r="BB151" s="1051"/>
      <c r="BC151" s="1051"/>
      <c r="BD151" s="1051"/>
      <c r="BE151" s="1051"/>
      <c r="BF151" s="1051"/>
      <c r="BG151" s="1051"/>
      <c r="BH151" s="1051"/>
      <c r="BI151" s="1051"/>
      <c r="BJ151" s="1051"/>
      <c r="BK151" s="1051"/>
      <c r="BL151" s="1051"/>
      <c r="BM151" s="1051"/>
      <c r="BN151" s="1051"/>
      <c r="BO151" s="1051"/>
      <c r="BP151" s="1051"/>
      <c r="BQ151" s="1051"/>
      <c r="BR151" s="1051"/>
      <c r="BS151" s="1051"/>
      <c r="BT151" s="1051"/>
      <c r="BU151" s="1051"/>
      <c r="BV151" s="1051"/>
      <c r="BW151" s="1051"/>
      <c r="BX151" s="1051"/>
      <c r="BY151" s="1051"/>
      <c r="BZ151" s="1051"/>
      <c r="CA151" s="1051"/>
      <c r="CB151" s="1051"/>
      <c r="CC151" s="1051"/>
      <c r="CD151" s="1051"/>
      <c r="CE151" s="1051"/>
      <c r="CF151" s="1051"/>
      <c r="CG151" s="1051"/>
      <c r="CH151" s="1051"/>
      <c r="CI151" s="1051"/>
      <c r="CJ151" s="1051"/>
      <c r="CK151" s="1051"/>
      <c r="CL151" s="1051"/>
      <c r="CM151" s="1051"/>
      <c r="CN151" s="1051"/>
      <c r="CO151" s="1051"/>
      <c r="CP151" s="1051"/>
      <c r="CQ151" s="1051"/>
      <c r="CR151" s="1051"/>
      <c r="CS151" s="1051"/>
      <c r="CT151" s="1051"/>
      <c r="CU151" s="1051"/>
      <c r="CV151" s="1051"/>
      <c r="CW151" s="1051"/>
      <c r="CX151" s="1051"/>
      <c r="CY151" s="1051"/>
      <c r="CZ151" s="1051"/>
      <c r="DA151" s="1051"/>
      <c r="DB151" s="1051"/>
      <c r="DC151" s="1051"/>
      <c r="DD151" s="1051"/>
      <c r="DE151" s="1051"/>
      <c r="DF151" s="1051"/>
      <c r="DG151" s="1051"/>
      <c r="DH151" s="1051"/>
      <c r="DI151" s="1051"/>
      <c r="DJ151" s="1051"/>
      <c r="DK151" s="1051"/>
      <c r="DL151" s="1051"/>
      <c r="DM151" s="1051"/>
      <c r="DN151" s="1051"/>
      <c r="DO151" s="1051"/>
      <c r="DP151" s="1051"/>
      <c r="DQ151" s="1051"/>
      <c r="DR151" s="1051"/>
      <c r="DS151" s="1051"/>
      <c r="DT151" s="1051"/>
      <c r="DU151" s="1051"/>
      <c r="DV151" s="1051"/>
      <c r="DW151" s="1051"/>
      <c r="DX151" s="1051"/>
      <c r="DY151" s="1051"/>
      <c r="DZ151" s="1051"/>
      <c r="EA151" s="1051"/>
      <c r="EB151" s="1051"/>
      <c r="EC151" s="1051"/>
      <c r="ED151" s="1051"/>
      <c r="EE151" s="1051"/>
      <c r="EF151" s="1051"/>
      <c r="EG151" s="1051"/>
      <c r="EH151" s="1051"/>
      <c r="EI151" s="1051"/>
      <c r="EJ151" s="1051"/>
      <c r="EK151" s="1051"/>
      <c r="EL151" s="1051"/>
      <c r="EM151" s="1051"/>
      <c r="EN151" s="1051"/>
      <c r="EO151" s="1051"/>
      <c r="EP151" s="1051"/>
      <c r="EQ151" s="1051"/>
      <c r="ER151" s="1051"/>
      <c r="ES151" s="1051"/>
      <c r="ET151" s="1051"/>
      <c r="EU151" s="1051"/>
      <c r="EV151" s="1051"/>
      <c r="EW151" s="1051"/>
      <c r="EX151" s="1051"/>
      <c r="EY151" s="1051"/>
      <c r="EZ151" s="1051"/>
      <c r="FA151" s="1051"/>
      <c r="FB151" s="1051"/>
      <c r="FC151" s="1051"/>
      <c r="FD151" s="1051"/>
      <c r="FE151" s="1051"/>
      <c r="FF151" s="1051"/>
      <c r="FG151" s="1051"/>
      <c r="FH151" s="1051"/>
      <c r="FI151" s="1051"/>
      <c r="FJ151" s="1051"/>
      <c r="FK151" s="1051"/>
      <c r="FL151" s="1051"/>
      <c r="FM151" s="1051"/>
      <c r="FN151" s="1051"/>
      <c r="FO151" s="1051"/>
      <c r="FP151" s="1051"/>
      <c r="FQ151" s="1051"/>
      <c r="FR151" s="1051"/>
      <c r="FS151" s="1051"/>
      <c r="FT151" s="1051"/>
      <c r="FU151" s="1051"/>
      <c r="FV151" s="1051"/>
      <c r="FW151" s="1051"/>
      <c r="FX151" s="1051"/>
      <c r="FY151" s="1051"/>
      <c r="FZ151" s="1051"/>
      <c r="GA151" s="1051"/>
      <c r="GB151" s="1051"/>
      <c r="GC151" s="1051"/>
      <c r="GD151" s="1051"/>
      <c r="GE151" s="1051"/>
      <c r="GF151" s="1051"/>
      <c r="GG151" s="1051"/>
      <c r="GH151" s="1051"/>
      <c r="GI151" s="1051"/>
      <c r="GJ151" s="1051"/>
      <c r="GK151" s="1051"/>
      <c r="GL151" s="1051"/>
      <c r="GM151" s="1051"/>
      <c r="GN151" s="1051"/>
      <c r="GO151" s="1051"/>
      <c r="GP151" s="1051"/>
      <c r="GQ151" s="1051"/>
      <c r="GR151" s="1051"/>
      <c r="GS151" s="1051"/>
      <c r="GT151" s="1051"/>
      <c r="GU151" s="1051"/>
      <c r="GV151" s="1051"/>
      <c r="GW151" s="1051"/>
      <c r="GX151" s="1051"/>
      <c r="GY151" s="1051"/>
      <c r="GZ151" s="1051"/>
      <c r="HA151" s="1051"/>
      <c r="HB151" s="1051"/>
      <c r="HC151" s="1051"/>
      <c r="HD151" s="1051"/>
      <c r="HE151" s="1051"/>
      <c r="HF151" s="1051"/>
      <c r="HG151" s="1051"/>
      <c r="HH151" s="1051"/>
      <c r="HI151" s="1051"/>
      <c r="HJ151" s="1051"/>
      <c r="HK151" s="1051"/>
      <c r="HL151" s="1051"/>
      <c r="HM151" s="1051"/>
      <c r="HN151" s="1051"/>
      <c r="HO151" s="1051"/>
      <c r="HP151" s="1051"/>
      <c r="HQ151" s="1051"/>
      <c r="HR151" s="1051"/>
      <c r="HS151" s="1051"/>
      <c r="HT151" s="1051"/>
      <c r="HU151" s="1051"/>
      <c r="HV151" s="1051"/>
      <c r="HW151" s="1051"/>
      <c r="HX151" s="1051"/>
      <c r="HY151" s="1051"/>
      <c r="HZ151" s="1051"/>
      <c r="IA151" s="1051"/>
      <c r="IB151" s="1051"/>
      <c r="IC151" s="1051"/>
      <c r="ID151" s="1051"/>
      <c r="IE151" s="1051"/>
      <c r="IF151" s="1051"/>
      <c r="IG151" s="1051"/>
      <c r="IH151" s="1051"/>
      <c r="II151" s="1051"/>
      <c r="IJ151" s="1051"/>
      <c r="IK151" s="1051"/>
      <c r="IL151" s="1051"/>
      <c r="IM151" s="1051"/>
      <c r="IN151" s="1051"/>
      <c r="IO151" s="1051"/>
      <c r="IP151" s="1051"/>
      <c r="IQ151" s="1051"/>
      <c r="IR151" s="1051"/>
      <c r="IS151" s="1051"/>
      <c r="IT151" s="1051"/>
      <c r="IU151" s="1051"/>
      <c r="IV151" s="1051"/>
    </row>
    <row r="152" spans="1:256" x14ac:dyDescent="0.2">
      <c r="A152" s="1555" t="s">
        <v>11</v>
      </c>
      <c r="B152" s="1556"/>
      <c r="C152" s="1043">
        <f>SUM(C150:C151)</f>
        <v>2350000</v>
      </c>
      <c r="D152" s="1043">
        <f>SUM(D150:D151)</f>
        <v>2350000</v>
      </c>
      <c r="E152" s="1043">
        <f>SUM(E150:E151)</f>
        <v>0</v>
      </c>
      <c r="F152" s="1045">
        <f t="shared" si="6"/>
        <v>0</v>
      </c>
      <c r="G152" s="1051"/>
      <c r="H152" s="1051"/>
      <c r="I152" s="1051"/>
      <c r="J152" s="1051"/>
      <c r="K152" s="1051"/>
      <c r="L152" s="1051"/>
      <c r="M152" s="1051"/>
      <c r="N152" s="1051"/>
      <c r="O152" s="1051"/>
      <c r="P152" s="1051"/>
      <c r="Q152" s="1051"/>
      <c r="R152" s="1051"/>
      <c r="S152" s="1051"/>
      <c r="T152" s="1051"/>
      <c r="U152" s="1051"/>
      <c r="V152" s="1051"/>
      <c r="W152" s="1051"/>
      <c r="X152" s="1051"/>
      <c r="Y152" s="1051"/>
      <c r="Z152" s="1051"/>
      <c r="AA152" s="1051"/>
      <c r="AB152" s="1051"/>
      <c r="AC152" s="1051"/>
      <c r="AD152" s="1051"/>
      <c r="AE152" s="1051"/>
      <c r="AF152" s="1051"/>
      <c r="AG152" s="1051"/>
      <c r="AH152" s="1051"/>
      <c r="AI152" s="1051"/>
      <c r="AJ152" s="1051"/>
      <c r="AK152" s="1051"/>
      <c r="AL152" s="1051"/>
      <c r="AM152" s="1051"/>
      <c r="AN152" s="1051"/>
      <c r="AO152" s="1051"/>
      <c r="AP152" s="1051"/>
      <c r="AQ152" s="1051"/>
      <c r="AR152" s="1051"/>
      <c r="AS152" s="1051"/>
      <c r="AT152" s="1051"/>
      <c r="AU152" s="1051"/>
      <c r="AV152" s="1051"/>
      <c r="AW152" s="1051"/>
      <c r="AX152" s="1051"/>
      <c r="AY152" s="1051"/>
      <c r="AZ152" s="1051"/>
      <c r="BA152" s="1051"/>
      <c r="BB152" s="1051"/>
      <c r="BC152" s="1051"/>
      <c r="BD152" s="1051"/>
      <c r="BE152" s="1051"/>
      <c r="BF152" s="1051"/>
      <c r="BG152" s="1051"/>
      <c r="BH152" s="1051"/>
      <c r="BI152" s="1051"/>
      <c r="BJ152" s="1051"/>
      <c r="BK152" s="1051"/>
      <c r="BL152" s="1051"/>
      <c r="BM152" s="1051"/>
      <c r="BN152" s="1051"/>
      <c r="BO152" s="1051"/>
      <c r="BP152" s="1051"/>
      <c r="BQ152" s="1051"/>
      <c r="BR152" s="1051"/>
      <c r="BS152" s="1051"/>
      <c r="BT152" s="1051"/>
      <c r="BU152" s="1051"/>
      <c r="BV152" s="1051"/>
      <c r="BW152" s="1051"/>
      <c r="BX152" s="1051"/>
      <c r="BY152" s="1051"/>
      <c r="BZ152" s="1051"/>
      <c r="CA152" s="1051"/>
      <c r="CB152" s="1051"/>
      <c r="CC152" s="1051"/>
      <c r="CD152" s="1051"/>
      <c r="CE152" s="1051"/>
      <c r="CF152" s="1051"/>
      <c r="CG152" s="1051"/>
      <c r="CH152" s="1051"/>
      <c r="CI152" s="1051"/>
      <c r="CJ152" s="1051"/>
      <c r="CK152" s="1051"/>
      <c r="CL152" s="1051"/>
      <c r="CM152" s="1051"/>
      <c r="CN152" s="1051"/>
      <c r="CO152" s="1051"/>
      <c r="CP152" s="1051"/>
      <c r="CQ152" s="1051"/>
      <c r="CR152" s="1051"/>
      <c r="CS152" s="1051"/>
      <c r="CT152" s="1051"/>
      <c r="CU152" s="1051"/>
      <c r="CV152" s="1051"/>
      <c r="CW152" s="1051"/>
      <c r="CX152" s="1051"/>
      <c r="CY152" s="1051"/>
      <c r="CZ152" s="1051"/>
      <c r="DA152" s="1051"/>
      <c r="DB152" s="1051"/>
      <c r="DC152" s="1051"/>
      <c r="DD152" s="1051"/>
      <c r="DE152" s="1051"/>
      <c r="DF152" s="1051"/>
      <c r="DG152" s="1051"/>
      <c r="DH152" s="1051"/>
      <c r="DI152" s="1051"/>
      <c r="DJ152" s="1051"/>
      <c r="DK152" s="1051"/>
      <c r="DL152" s="1051"/>
      <c r="DM152" s="1051"/>
      <c r="DN152" s="1051"/>
      <c r="DO152" s="1051"/>
      <c r="DP152" s="1051"/>
      <c r="DQ152" s="1051"/>
      <c r="DR152" s="1051"/>
      <c r="DS152" s="1051"/>
      <c r="DT152" s="1051"/>
      <c r="DU152" s="1051"/>
      <c r="DV152" s="1051"/>
      <c r="DW152" s="1051"/>
      <c r="DX152" s="1051"/>
      <c r="DY152" s="1051"/>
      <c r="DZ152" s="1051"/>
      <c r="EA152" s="1051"/>
      <c r="EB152" s="1051"/>
      <c r="EC152" s="1051"/>
      <c r="ED152" s="1051"/>
      <c r="EE152" s="1051"/>
      <c r="EF152" s="1051"/>
      <c r="EG152" s="1051"/>
      <c r="EH152" s="1051"/>
      <c r="EI152" s="1051"/>
      <c r="EJ152" s="1051"/>
      <c r="EK152" s="1051"/>
      <c r="EL152" s="1051"/>
      <c r="EM152" s="1051"/>
      <c r="EN152" s="1051"/>
      <c r="EO152" s="1051"/>
      <c r="EP152" s="1051"/>
      <c r="EQ152" s="1051"/>
      <c r="ER152" s="1051"/>
      <c r="ES152" s="1051"/>
      <c r="ET152" s="1051"/>
      <c r="EU152" s="1051"/>
      <c r="EV152" s="1051"/>
      <c r="EW152" s="1051"/>
      <c r="EX152" s="1051"/>
      <c r="EY152" s="1051"/>
      <c r="EZ152" s="1051"/>
      <c r="FA152" s="1051"/>
      <c r="FB152" s="1051"/>
      <c r="FC152" s="1051"/>
      <c r="FD152" s="1051"/>
      <c r="FE152" s="1051"/>
      <c r="FF152" s="1051"/>
      <c r="FG152" s="1051"/>
      <c r="FH152" s="1051"/>
      <c r="FI152" s="1051"/>
      <c r="FJ152" s="1051"/>
      <c r="FK152" s="1051"/>
      <c r="FL152" s="1051"/>
      <c r="FM152" s="1051"/>
      <c r="FN152" s="1051"/>
      <c r="FO152" s="1051"/>
      <c r="FP152" s="1051"/>
      <c r="FQ152" s="1051"/>
      <c r="FR152" s="1051"/>
      <c r="FS152" s="1051"/>
      <c r="FT152" s="1051"/>
      <c r="FU152" s="1051"/>
      <c r="FV152" s="1051"/>
      <c r="FW152" s="1051"/>
      <c r="FX152" s="1051"/>
      <c r="FY152" s="1051"/>
      <c r="FZ152" s="1051"/>
      <c r="GA152" s="1051"/>
      <c r="GB152" s="1051"/>
      <c r="GC152" s="1051"/>
      <c r="GD152" s="1051"/>
      <c r="GE152" s="1051"/>
      <c r="GF152" s="1051"/>
      <c r="GG152" s="1051"/>
      <c r="GH152" s="1051"/>
      <c r="GI152" s="1051"/>
      <c r="GJ152" s="1051"/>
      <c r="GK152" s="1051"/>
      <c r="GL152" s="1051"/>
      <c r="GM152" s="1051"/>
      <c r="GN152" s="1051"/>
      <c r="GO152" s="1051"/>
      <c r="GP152" s="1051"/>
      <c r="GQ152" s="1051"/>
      <c r="GR152" s="1051"/>
      <c r="GS152" s="1051"/>
      <c r="GT152" s="1051"/>
      <c r="GU152" s="1051"/>
      <c r="GV152" s="1051"/>
      <c r="GW152" s="1051"/>
      <c r="GX152" s="1051"/>
      <c r="GY152" s="1051"/>
      <c r="GZ152" s="1051"/>
      <c r="HA152" s="1051"/>
      <c r="HB152" s="1051"/>
      <c r="HC152" s="1051"/>
      <c r="HD152" s="1051"/>
      <c r="HE152" s="1051"/>
      <c r="HF152" s="1051"/>
      <c r="HG152" s="1051"/>
      <c r="HH152" s="1051"/>
      <c r="HI152" s="1051"/>
      <c r="HJ152" s="1051"/>
      <c r="HK152" s="1051"/>
      <c r="HL152" s="1051"/>
      <c r="HM152" s="1051"/>
      <c r="HN152" s="1051"/>
      <c r="HO152" s="1051"/>
      <c r="HP152" s="1051"/>
      <c r="HQ152" s="1051"/>
      <c r="HR152" s="1051"/>
      <c r="HS152" s="1051"/>
      <c r="HT152" s="1051"/>
      <c r="HU152" s="1051"/>
      <c r="HV152" s="1051"/>
      <c r="HW152" s="1051"/>
      <c r="HX152" s="1051"/>
      <c r="HY152" s="1051"/>
      <c r="HZ152" s="1051"/>
      <c r="IA152" s="1051"/>
      <c r="IB152" s="1051"/>
      <c r="IC152" s="1051"/>
      <c r="ID152" s="1051"/>
      <c r="IE152" s="1051"/>
      <c r="IF152" s="1051"/>
      <c r="IG152" s="1051"/>
      <c r="IH152" s="1051"/>
      <c r="II152" s="1051"/>
      <c r="IJ152" s="1051"/>
      <c r="IK152" s="1051"/>
      <c r="IL152" s="1051"/>
      <c r="IM152" s="1051"/>
      <c r="IN152" s="1051"/>
      <c r="IO152" s="1051"/>
      <c r="IP152" s="1051"/>
      <c r="IQ152" s="1051"/>
      <c r="IR152" s="1051"/>
      <c r="IS152" s="1051"/>
      <c r="IT152" s="1051"/>
      <c r="IU152" s="1051"/>
      <c r="IV152" s="1051"/>
    </row>
    <row r="153" spans="1:256" x14ac:dyDescent="0.2">
      <c r="A153" s="1549" t="s">
        <v>73</v>
      </c>
      <c r="B153" s="1569"/>
      <c r="C153" s="1046">
        <f>C140+C142+C146+C149+C152</f>
        <v>10588000</v>
      </c>
      <c r="D153" s="1046">
        <f>D140+D142+D146+D149+D152</f>
        <v>10588000</v>
      </c>
      <c r="E153" s="1046">
        <f>E140+E142+E146+E149+E152</f>
        <v>8768223</v>
      </c>
      <c r="F153" s="1047">
        <f t="shared" si="6"/>
        <v>0.82812835285228559</v>
      </c>
    </row>
    <row r="154" spans="1:256" x14ac:dyDescent="0.2">
      <c r="A154" s="1552" t="s">
        <v>175</v>
      </c>
      <c r="B154" s="1553"/>
      <c r="C154" s="1553"/>
      <c r="D154" s="1553"/>
      <c r="E154" s="1553"/>
      <c r="F154" s="1554"/>
    </row>
    <row r="155" spans="1:256" x14ac:dyDescent="0.2">
      <c r="A155" s="1065" t="s">
        <v>70</v>
      </c>
      <c r="B155" s="1066" t="s">
        <v>71</v>
      </c>
      <c r="C155" s="1038" t="s">
        <v>687</v>
      </c>
      <c r="D155" s="1038" t="s">
        <v>688</v>
      </c>
      <c r="E155" s="1039" t="s">
        <v>689</v>
      </c>
      <c r="F155" s="1040" t="s">
        <v>690</v>
      </c>
    </row>
    <row r="156" spans="1:256" x14ac:dyDescent="0.2">
      <c r="A156" s="1041" t="s">
        <v>683</v>
      </c>
      <c r="B156" s="1042" t="s">
        <v>769</v>
      </c>
      <c r="C156" s="1043">
        <v>2400000</v>
      </c>
      <c r="D156" s="1043">
        <v>2400000</v>
      </c>
      <c r="E156" s="1052">
        <v>1022220</v>
      </c>
      <c r="F156" s="1045">
        <f>E156/D156</f>
        <v>0.425925</v>
      </c>
    </row>
    <row r="157" spans="1:256" x14ac:dyDescent="0.2">
      <c r="A157" s="1564" t="s">
        <v>20</v>
      </c>
      <c r="B157" s="1559"/>
      <c r="C157" s="1043">
        <f>SUM(C156)</f>
        <v>2400000</v>
      </c>
      <c r="D157" s="1043">
        <f>SUM(D156)</f>
        <v>2400000</v>
      </c>
      <c r="E157" s="1043">
        <f>SUM(E156)</f>
        <v>1022220</v>
      </c>
      <c r="F157" s="1045">
        <f t="shared" ref="F157:F169" si="7">E157/D157</f>
        <v>0.425925</v>
      </c>
      <c r="G157" s="1051"/>
      <c r="H157" s="1051"/>
      <c r="I157" s="1051"/>
      <c r="J157" s="1051"/>
      <c r="K157" s="1051"/>
      <c r="L157" s="1051"/>
      <c r="M157" s="1051"/>
      <c r="N157" s="1051"/>
      <c r="O157" s="1051"/>
      <c r="P157" s="1051"/>
      <c r="Q157" s="1051"/>
      <c r="R157" s="1051"/>
      <c r="S157" s="1051"/>
      <c r="T157" s="1051"/>
      <c r="U157" s="1051"/>
      <c r="V157" s="1051"/>
      <c r="W157" s="1051"/>
      <c r="X157" s="1051"/>
      <c r="Y157" s="1051"/>
      <c r="Z157" s="1051"/>
      <c r="AA157" s="1051"/>
      <c r="AB157" s="1051"/>
      <c r="AC157" s="1051"/>
      <c r="AD157" s="1051"/>
      <c r="AE157" s="1051"/>
      <c r="AF157" s="1051"/>
      <c r="AG157" s="1051"/>
      <c r="AH157" s="1051"/>
      <c r="AI157" s="1051"/>
      <c r="AJ157" s="1051"/>
      <c r="AK157" s="1051"/>
      <c r="AL157" s="1051"/>
      <c r="AM157" s="1051"/>
      <c r="AN157" s="1051"/>
      <c r="AO157" s="1051"/>
      <c r="AP157" s="1051"/>
      <c r="AQ157" s="1051"/>
      <c r="AR157" s="1051"/>
      <c r="AS157" s="1051"/>
      <c r="AT157" s="1051"/>
      <c r="AU157" s="1051"/>
      <c r="AV157" s="1051"/>
      <c r="AW157" s="1051"/>
      <c r="AX157" s="1051"/>
      <c r="AY157" s="1051"/>
      <c r="AZ157" s="1051"/>
      <c r="BA157" s="1051"/>
      <c r="BB157" s="1051"/>
      <c r="BC157" s="1051"/>
      <c r="BD157" s="1051"/>
      <c r="BE157" s="1051"/>
      <c r="BF157" s="1051"/>
      <c r="BG157" s="1051"/>
      <c r="BH157" s="1051"/>
      <c r="BI157" s="1051"/>
      <c r="BJ157" s="1051"/>
      <c r="BK157" s="1051"/>
      <c r="BL157" s="1051"/>
      <c r="BM157" s="1051"/>
      <c r="BN157" s="1051"/>
      <c r="BO157" s="1051"/>
      <c r="BP157" s="1051"/>
      <c r="BQ157" s="1051"/>
      <c r="BR157" s="1051"/>
      <c r="BS157" s="1051"/>
      <c r="BT157" s="1051"/>
      <c r="BU157" s="1051"/>
      <c r="BV157" s="1051"/>
      <c r="BW157" s="1051"/>
      <c r="BX157" s="1051"/>
      <c r="BY157" s="1051"/>
      <c r="BZ157" s="1051"/>
      <c r="CA157" s="1051"/>
      <c r="CB157" s="1051"/>
      <c r="CC157" s="1051"/>
      <c r="CD157" s="1051"/>
      <c r="CE157" s="1051"/>
      <c r="CF157" s="1051"/>
      <c r="CG157" s="1051"/>
      <c r="CH157" s="1051"/>
      <c r="CI157" s="1051"/>
      <c r="CJ157" s="1051"/>
      <c r="CK157" s="1051"/>
      <c r="CL157" s="1051"/>
      <c r="CM157" s="1051"/>
      <c r="CN157" s="1051"/>
      <c r="CO157" s="1051"/>
      <c r="CP157" s="1051"/>
      <c r="CQ157" s="1051"/>
      <c r="CR157" s="1051"/>
      <c r="CS157" s="1051"/>
      <c r="CT157" s="1051"/>
      <c r="CU157" s="1051"/>
      <c r="CV157" s="1051"/>
      <c r="CW157" s="1051"/>
      <c r="CX157" s="1051"/>
      <c r="CY157" s="1051"/>
      <c r="CZ157" s="1051"/>
      <c r="DA157" s="1051"/>
      <c r="DB157" s="1051"/>
      <c r="DC157" s="1051"/>
      <c r="DD157" s="1051"/>
      <c r="DE157" s="1051"/>
      <c r="DF157" s="1051"/>
      <c r="DG157" s="1051"/>
      <c r="DH157" s="1051"/>
      <c r="DI157" s="1051"/>
      <c r="DJ157" s="1051"/>
      <c r="DK157" s="1051"/>
      <c r="DL157" s="1051"/>
      <c r="DM157" s="1051"/>
      <c r="DN157" s="1051"/>
      <c r="DO157" s="1051"/>
      <c r="DP157" s="1051"/>
      <c r="DQ157" s="1051"/>
      <c r="DR157" s="1051"/>
      <c r="DS157" s="1051"/>
      <c r="DT157" s="1051"/>
      <c r="DU157" s="1051"/>
      <c r="DV157" s="1051"/>
      <c r="DW157" s="1051"/>
      <c r="DX157" s="1051"/>
      <c r="DY157" s="1051"/>
      <c r="DZ157" s="1051"/>
      <c r="EA157" s="1051"/>
      <c r="EB157" s="1051"/>
      <c r="EC157" s="1051"/>
      <c r="ED157" s="1051"/>
      <c r="EE157" s="1051"/>
      <c r="EF157" s="1051"/>
      <c r="EG157" s="1051"/>
      <c r="EH157" s="1051"/>
      <c r="EI157" s="1051"/>
      <c r="EJ157" s="1051"/>
      <c r="EK157" s="1051"/>
      <c r="EL157" s="1051"/>
      <c r="EM157" s="1051"/>
      <c r="EN157" s="1051"/>
      <c r="EO157" s="1051"/>
      <c r="EP157" s="1051"/>
      <c r="EQ157" s="1051"/>
      <c r="ER157" s="1051"/>
      <c r="ES157" s="1051"/>
      <c r="ET157" s="1051"/>
      <c r="EU157" s="1051"/>
      <c r="EV157" s="1051"/>
      <c r="EW157" s="1051"/>
      <c r="EX157" s="1051"/>
      <c r="EY157" s="1051"/>
      <c r="EZ157" s="1051"/>
      <c r="FA157" s="1051"/>
      <c r="FB157" s="1051"/>
      <c r="FC157" s="1051"/>
      <c r="FD157" s="1051"/>
      <c r="FE157" s="1051"/>
      <c r="FF157" s="1051"/>
      <c r="FG157" s="1051"/>
      <c r="FH157" s="1051"/>
      <c r="FI157" s="1051"/>
      <c r="FJ157" s="1051"/>
      <c r="FK157" s="1051"/>
      <c r="FL157" s="1051"/>
      <c r="FM157" s="1051"/>
      <c r="FN157" s="1051"/>
      <c r="FO157" s="1051"/>
      <c r="FP157" s="1051"/>
      <c r="FQ157" s="1051"/>
      <c r="FR157" s="1051"/>
      <c r="FS157" s="1051"/>
      <c r="FT157" s="1051"/>
      <c r="FU157" s="1051"/>
      <c r="FV157" s="1051"/>
      <c r="FW157" s="1051"/>
      <c r="FX157" s="1051"/>
      <c r="FY157" s="1051"/>
      <c r="FZ157" s="1051"/>
      <c r="GA157" s="1051"/>
      <c r="GB157" s="1051"/>
      <c r="GC157" s="1051"/>
      <c r="GD157" s="1051"/>
      <c r="GE157" s="1051"/>
      <c r="GF157" s="1051"/>
      <c r="GG157" s="1051"/>
      <c r="GH157" s="1051"/>
      <c r="GI157" s="1051"/>
      <c r="GJ157" s="1051"/>
      <c r="GK157" s="1051"/>
      <c r="GL157" s="1051"/>
      <c r="GM157" s="1051"/>
      <c r="GN157" s="1051"/>
      <c r="GO157" s="1051"/>
      <c r="GP157" s="1051"/>
      <c r="GQ157" s="1051"/>
      <c r="GR157" s="1051"/>
      <c r="GS157" s="1051"/>
      <c r="GT157" s="1051"/>
      <c r="GU157" s="1051"/>
      <c r="GV157" s="1051"/>
      <c r="GW157" s="1051"/>
      <c r="GX157" s="1051"/>
      <c r="GY157" s="1051"/>
      <c r="GZ157" s="1051"/>
      <c r="HA157" s="1051"/>
      <c r="HB157" s="1051"/>
      <c r="HC157" s="1051"/>
      <c r="HD157" s="1051"/>
      <c r="HE157" s="1051"/>
      <c r="HF157" s="1051"/>
      <c r="HG157" s="1051"/>
      <c r="HH157" s="1051"/>
      <c r="HI157" s="1051"/>
      <c r="HJ157" s="1051"/>
      <c r="HK157" s="1051"/>
      <c r="HL157" s="1051"/>
      <c r="HM157" s="1051"/>
      <c r="HN157" s="1051"/>
      <c r="HO157" s="1051"/>
      <c r="HP157" s="1051"/>
      <c r="HQ157" s="1051"/>
      <c r="HR157" s="1051"/>
      <c r="HS157" s="1051"/>
      <c r="HT157" s="1051"/>
      <c r="HU157" s="1051"/>
      <c r="HV157" s="1051"/>
      <c r="HW157" s="1051"/>
      <c r="HX157" s="1051"/>
      <c r="HY157" s="1051"/>
      <c r="HZ157" s="1051"/>
      <c r="IA157" s="1051"/>
      <c r="IB157" s="1051"/>
      <c r="IC157" s="1051"/>
      <c r="ID157" s="1051"/>
      <c r="IE157" s="1051"/>
      <c r="IF157" s="1051"/>
      <c r="IG157" s="1051"/>
      <c r="IH157" s="1051"/>
      <c r="II157" s="1051"/>
      <c r="IJ157" s="1051"/>
      <c r="IK157" s="1051"/>
      <c r="IL157" s="1051"/>
      <c r="IM157" s="1051"/>
      <c r="IN157" s="1051"/>
      <c r="IO157" s="1051"/>
      <c r="IP157" s="1051"/>
      <c r="IQ157" s="1051"/>
      <c r="IR157" s="1051"/>
      <c r="IS157" s="1051"/>
      <c r="IT157" s="1051"/>
      <c r="IU157" s="1051"/>
      <c r="IV157" s="1051"/>
    </row>
    <row r="158" spans="1:256" x14ac:dyDescent="0.2">
      <c r="A158" s="1549" t="s">
        <v>74</v>
      </c>
      <c r="B158" s="1569"/>
      <c r="C158" s="1046">
        <f>C157</f>
        <v>2400000</v>
      </c>
      <c r="D158" s="1046">
        <f>D157</f>
        <v>2400000</v>
      </c>
      <c r="E158" s="1046">
        <f>E157</f>
        <v>1022220</v>
      </c>
      <c r="F158" s="1047">
        <f t="shared" si="7"/>
        <v>0.425925</v>
      </c>
    </row>
    <row r="159" spans="1:256" x14ac:dyDescent="0.2">
      <c r="A159" s="1041" t="s">
        <v>520</v>
      </c>
      <c r="B159" s="1041" t="s">
        <v>266</v>
      </c>
      <c r="C159" s="1043">
        <v>211000</v>
      </c>
      <c r="D159" s="1043">
        <v>211000</v>
      </c>
      <c r="E159" s="1043">
        <v>0</v>
      </c>
      <c r="F159" s="1045">
        <f t="shared" si="7"/>
        <v>0</v>
      </c>
    </row>
    <row r="160" spans="1:256" x14ac:dyDescent="0.2">
      <c r="A160" s="1564" t="s">
        <v>166</v>
      </c>
      <c r="B160" s="1574"/>
      <c r="C160" s="1043">
        <f>SUM(C159)</f>
        <v>211000</v>
      </c>
      <c r="D160" s="1043">
        <f>SUM(D159)</f>
        <v>211000</v>
      </c>
      <c r="E160" s="1043">
        <f>SUM(E159)</f>
        <v>0</v>
      </c>
      <c r="F160" s="1045">
        <f t="shared" si="7"/>
        <v>0</v>
      </c>
    </row>
    <row r="161" spans="1:256" x14ac:dyDescent="0.2">
      <c r="A161" s="1041" t="s">
        <v>694</v>
      </c>
      <c r="B161" s="1041" t="s">
        <v>764</v>
      </c>
      <c r="C161" s="1043">
        <v>37000</v>
      </c>
      <c r="D161" s="1043">
        <v>37000</v>
      </c>
      <c r="E161" s="1043">
        <v>0</v>
      </c>
      <c r="F161" s="1045">
        <f t="shared" si="7"/>
        <v>0</v>
      </c>
    </row>
    <row r="162" spans="1:256" x14ac:dyDescent="0.2">
      <c r="A162" s="1564" t="s">
        <v>94</v>
      </c>
      <c r="B162" s="1574"/>
      <c r="C162" s="1043">
        <f>SUM(C161)</f>
        <v>37000</v>
      </c>
      <c r="D162" s="1043">
        <f>SUM(D161)</f>
        <v>37000</v>
      </c>
      <c r="E162" s="1043">
        <f>SUM(E161)</f>
        <v>0</v>
      </c>
      <c r="F162" s="1045">
        <f t="shared" si="7"/>
        <v>0</v>
      </c>
    </row>
    <row r="163" spans="1:256" x14ac:dyDescent="0.2">
      <c r="A163" s="1041" t="s">
        <v>706</v>
      </c>
      <c r="B163" s="1042" t="s">
        <v>707</v>
      </c>
      <c r="C163" s="1043">
        <v>900000</v>
      </c>
      <c r="D163" s="1043">
        <v>900000</v>
      </c>
      <c r="E163" s="1052">
        <v>310337</v>
      </c>
      <c r="F163" s="1045">
        <f t="shared" si="7"/>
        <v>0.3448188888888889</v>
      </c>
    </row>
    <row r="164" spans="1:256" x14ac:dyDescent="0.2">
      <c r="A164" s="1041" t="s">
        <v>709</v>
      </c>
      <c r="B164" s="1042" t="s">
        <v>90</v>
      </c>
      <c r="C164" s="1043">
        <v>350000</v>
      </c>
      <c r="D164" s="1043">
        <v>350000</v>
      </c>
      <c r="E164" s="1052">
        <v>123291</v>
      </c>
      <c r="F164" s="1045">
        <f t="shared" si="7"/>
        <v>0.35226000000000002</v>
      </c>
    </row>
    <row r="165" spans="1:256" x14ac:dyDescent="0.2">
      <c r="A165" s="1041" t="s">
        <v>698</v>
      </c>
      <c r="B165" s="1042" t="s">
        <v>29</v>
      </c>
      <c r="C165" s="1070">
        <v>300000</v>
      </c>
      <c r="D165" s="1043">
        <v>300000</v>
      </c>
      <c r="E165" s="1052">
        <f>31940+230793</f>
        <v>262733</v>
      </c>
      <c r="F165" s="1045">
        <f t="shared" si="7"/>
        <v>0.87577666666666665</v>
      </c>
    </row>
    <row r="166" spans="1:256" x14ac:dyDescent="0.2">
      <c r="A166" s="1041" t="s">
        <v>703</v>
      </c>
      <c r="B166" s="1042" t="s">
        <v>557</v>
      </c>
      <c r="C166" s="1043">
        <v>240000</v>
      </c>
      <c r="D166" s="1043">
        <v>240000</v>
      </c>
      <c r="E166" s="1052">
        <v>117351</v>
      </c>
      <c r="F166" s="1045">
        <f t="shared" si="7"/>
        <v>0.48896250000000002</v>
      </c>
    </row>
    <row r="167" spans="1:256" x14ac:dyDescent="0.2">
      <c r="A167" s="1041" t="s">
        <v>720</v>
      </c>
      <c r="B167" s="1042" t="s">
        <v>770</v>
      </c>
      <c r="C167" s="1043">
        <v>300000</v>
      </c>
      <c r="D167" s="1043">
        <v>300000</v>
      </c>
      <c r="E167" s="1052">
        <v>31000</v>
      </c>
      <c r="F167" s="1045">
        <f t="shared" si="7"/>
        <v>0.10333333333333333</v>
      </c>
    </row>
    <row r="168" spans="1:256" x14ac:dyDescent="0.2">
      <c r="A168" s="1548" t="s">
        <v>168</v>
      </c>
      <c r="B168" s="1559"/>
      <c r="C168" s="1043">
        <f>SUM(C163:C167)</f>
        <v>2090000</v>
      </c>
      <c r="D168" s="1043">
        <f>SUM(D163:D167)</f>
        <v>2090000</v>
      </c>
      <c r="E168" s="1043">
        <f>SUM(E163:E167)</f>
        <v>844712</v>
      </c>
      <c r="F168" s="1045">
        <f t="shared" si="7"/>
        <v>0.40416842105263157</v>
      </c>
      <c r="G168" s="1051"/>
      <c r="H168" s="1051"/>
      <c r="I168" s="1051"/>
      <c r="J168" s="1051"/>
      <c r="K168" s="1051"/>
      <c r="L168" s="1051"/>
      <c r="M168" s="1051"/>
      <c r="N168" s="1051"/>
      <c r="O168" s="1051"/>
      <c r="P168" s="1051"/>
      <c r="Q168" s="1051"/>
      <c r="R168" s="1051"/>
      <c r="S168" s="1051"/>
      <c r="T168" s="1051"/>
      <c r="U168" s="1051"/>
      <c r="V168" s="1051"/>
      <c r="W168" s="1051"/>
      <c r="X168" s="1051"/>
      <c r="Y168" s="1051"/>
      <c r="Z168" s="1051"/>
      <c r="AA168" s="1051"/>
      <c r="AB168" s="1051"/>
      <c r="AC168" s="1051"/>
      <c r="AD168" s="1051"/>
      <c r="AE168" s="1051"/>
      <c r="AF168" s="1051"/>
      <c r="AG168" s="1051"/>
      <c r="AH168" s="1051"/>
      <c r="AI168" s="1051"/>
      <c r="AJ168" s="1051"/>
      <c r="AK168" s="1051"/>
      <c r="AL168" s="1051"/>
      <c r="AM168" s="1051"/>
      <c r="AN168" s="1051"/>
      <c r="AO168" s="1051"/>
      <c r="AP168" s="1051"/>
      <c r="AQ168" s="1051"/>
      <c r="AR168" s="1051"/>
      <c r="AS168" s="1051"/>
      <c r="AT168" s="1051"/>
      <c r="AU168" s="1051"/>
      <c r="AV168" s="1051"/>
      <c r="AW168" s="1051"/>
      <c r="AX168" s="1051"/>
      <c r="AY168" s="1051"/>
      <c r="AZ168" s="1051"/>
      <c r="BA168" s="1051"/>
      <c r="BB168" s="1051"/>
      <c r="BC168" s="1051"/>
      <c r="BD168" s="1051"/>
      <c r="BE168" s="1051"/>
      <c r="BF168" s="1051"/>
      <c r="BG168" s="1051"/>
      <c r="BH168" s="1051"/>
      <c r="BI168" s="1051"/>
      <c r="BJ168" s="1051"/>
      <c r="BK168" s="1051"/>
      <c r="BL168" s="1051"/>
      <c r="BM168" s="1051"/>
      <c r="BN168" s="1051"/>
      <c r="BO168" s="1051"/>
      <c r="BP168" s="1051"/>
      <c r="BQ168" s="1051"/>
      <c r="BR168" s="1051"/>
      <c r="BS168" s="1051"/>
      <c r="BT168" s="1051"/>
      <c r="BU168" s="1051"/>
      <c r="BV168" s="1051"/>
      <c r="BW168" s="1051"/>
      <c r="BX168" s="1051"/>
      <c r="BY168" s="1051"/>
      <c r="BZ168" s="1051"/>
      <c r="CA168" s="1051"/>
      <c r="CB168" s="1051"/>
      <c r="CC168" s="1051"/>
      <c r="CD168" s="1051"/>
      <c r="CE168" s="1051"/>
      <c r="CF168" s="1051"/>
      <c r="CG168" s="1051"/>
      <c r="CH168" s="1051"/>
      <c r="CI168" s="1051"/>
      <c r="CJ168" s="1051"/>
      <c r="CK168" s="1051"/>
      <c r="CL168" s="1051"/>
      <c r="CM168" s="1051"/>
      <c r="CN168" s="1051"/>
      <c r="CO168" s="1051"/>
      <c r="CP168" s="1051"/>
      <c r="CQ168" s="1051"/>
      <c r="CR168" s="1051"/>
      <c r="CS168" s="1051"/>
      <c r="CT168" s="1051"/>
      <c r="CU168" s="1051"/>
      <c r="CV168" s="1051"/>
      <c r="CW168" s="1051"/>
      <c r="CX168" s="1051"/>
      <c r="CY168" s="1051"/>
      <c r="CZ168" s="1051"/>
      <c r="DA168" s="1051"/>
      <c r="DB168" s="1051"/>
      <c r="DC168" s="1051"/>
      <c r="DD168" s="1051"/>
      <c r="DE168" s="1051"/>
      <c r="DF168" s="1051"/>
      <c r="DG168" s="1051"/>
      <c r="DH168" s="1051"/>
      <c r="DI168" s="1051"/>
      <c r="DJ168" s="1051"/>
      <c r="DK168" s="1051"/>
      <c r="DL168" s="1051"/>
      <c r="DM168" s="1051"/>
      <c r="DN168" s="1051"/>
      <c r="DO168" s="1051"/>
      <c r="DP168" s="1051"/>
      <c r="DQ168" s="1051"/>
      <c r="DR168" s="1051"/>
      <c r="DS168" s="1051"/>
      <c r="DT168" s="1051"/>
      <c r="DU168" s="1051"/>
      <c r="DV168" s="1051"/>
      <c r="DW168" s="1051"/>
      <c r="DX168" s="1051"/>
      <c r="DY168" s="1051"/>
      <c r="DZ168" s="1051"/>
      <c r="EA168" s="1051"/>
      <c r="EB168" s="1051"/>
      <c r="EC168" s="1051"/>
      <c r="ED168" s="1051"/>
      <c r="EE168" s="1051"/>
      <c r="EF168" s="1051"/>
      <c r="EG168" s="1051"/>
      <c r="EH168" s="1051"/>
      <c r="EI168" s="1051"/>
      <c r="EJ168" s="1051"/>
      <c r="EK168" s="1051"/>
      <c r="EL168" s="1051"/>
      <c r="EM168" s="1051"/>
      <c r="EN168" s="1051"/>
      <c r="EO168" s="1051"/>
      <c r="EP168" s="1051"/>
      <c r="EQ168" s="1051"/>
      <c r="ER168" s="1051"/>
      <c r="ES168" s="1051"/>
      <c r="ET168" s="1051"/>
      <c r="EU168" s="1051"/>
      <c r="EV168" s="1051"/>
      <c r="EW168" s="1051"/>
      <c r="EX168" s="1051"/>
      <c r="EY168" s="1051"/>
      <c r="EZ168" s="1051"/>
      <c r="FA168" s="1051"/>
      <c r="FB168" s="1051"/>
      <c r="FC168" s="1051"/>
      <c r="FD168" s="1051"/>
      <c r="FE168" s="1051"/>
      <c r="FF168" s="1051"/>
      <c r="FG168" s="1051"/>
      <c r="FH168" s="1051"/>
      <c r="FI168" s="1051"/>
      <c r="FJ168" s="1051"/>
      <c r="FK168" s="1051"/>
      <c r="FL168" s="1051"/>
      <c r="FM168" s="1051"/>
      <c r="FN168" s="1051"/>
      <c r="FO168" s="1051"/>
      <c r="FP168" s="1051"/>
      <c r="FQ168" s="1051"/>
      <c r="FR168" s="1051"/>
      <c r="FS168" s="1051"/>
      <c r="FT168" s="1051"/>
      <c r="FU168" s="1051"/>
      <c r="FV168" s="1051"/>
      <c r="FW168" s="1051"/>
      <c r="FX168" s="1051"/>
      <c r="FY168" s="1051"/>
      <c r="FZ168" s="1051"/>
      <c r="GA168" s="1051"/>
      <c r="GB168" s="1051"/>
      <c r="GC168" s="1051"/>
      <c r="GD168" s="1051"/>
      <c r="GE168" s="1051"/>
      <c r="GF168" s="1051"/>
      <c r="GG168" s="1051"/>
      <c r="GH168" s="1051"/>
      <c r="GI168" s="1051"/>
      <c r="GJ168" s="1051"/>
      <c r="GK168" s="1051"/>
      <c r="GL168" s="1051"/>
      <c r="GM168" s="1051"/>
      <c r="GN168" s="1051"/>
      <c r="GO168" s="1051"/>
      <c r="GP168" s="1051"/>
      <c r="GQ168" s="1051"/>
      <c r="GR168" s="1051"/>
      <c r="GS168" s="1051"/>
      <c r="GT168" s="1051"/>
      <c r="GU168" s="1051"/>
      <c r="GV168" s="1051"/>
      <c r="GW168" s="1051"/>
      <c r="GX168" s="1051"/>
      <c r="GY168" s="1051"/>
      <c r="GZ168" s="1051"/>
      <c r="HA168" s="1051"/>
      <c r="HB168" s="1051"/>
      <c r="HC168" s="1051"/>
      <c r="HD168" s="1051"/>
      <c r="HE168" s="1051"/>
      <c r="HF168" s="1051"/>
      <c r="HG168" s="1051"/>
      <c r="HH168" s="1051"/>
      <c r="HI168" s="1051"/>
      <c r="HJ168" s="1051"/>
      <c r="HK168" s="1051"/>
      <c r="HL168" s="1051"/>
      <c r="HM168" s="1051"/>
      <c r="HN168" s="1051"/>
      <c r="HO168" s="1051"/>
      <c r="HP168" s="1051"/>
      <c r="HQ168" s="1051"/>
      <c r="HR168" s="1051"/>
      <c r="HS168" s="1051"/>
      <c r="HT168" s="1051"/>
      <c r="HU168" s="1051"/>
      <c r="HV168" s="1051"/>
      <c r="HW168" s="1051"/>
      <c r="HX168" s="1051"/>
      <c r="HY168" s="1051"/>
      <c r="HZ168" s="1051"/>
      <c r="IA168" s="1051"/>
      <c r="IB168" s="1051"/>
      <c r="IC168" s="1051"/>
      <c r="ID168" s="1051"/>
      <c r="IE168" s="1051"/>
      <c r="IF168" s="1051"/>
      <c r="IG168" s="1051"/>
      <c r="IH168" s="1051"/>
      <c r="II168" s="1051"/>
      <c r="IJ168" s="1051"/>
      <c r="IK168" s="1051"/>
      <c r="IL168" s="1051"/>
      <c r="IM168" s="1051"/>
      <c r="IN168" s="1051"/>
      <c r="IO168" s="1051"/>
      <c r="IP168" s="1051"/>
      <c r="IQ168" s="1051"/>
      <c r="IR168" s="1051"/>
      <c r="IS168" s="1051"/>
      <c r="IT168" s="1051"/>
      <c r="IU168" s="1051"/>
      <c r="IV168" s="1051"/>
    </row>
    <row r="169" spans="1:256" x14ac:dyDescent="0.2">
      <c r="A169" s="1549" t="s">
        <v>73</v>
      </c>
      <c r="B169" s="1569"/>
      <c r="C169" s="1046">
        <f>C168+C162+C160</f>
        <v>2338000</v>
      </c>
      <c r="D169" s="1046">
        <f>D168+D162+D160</f>
        <v>2338000</v>
      </c>
      <c r="E169" s="1046">
        <f>E168+E162+E160</f>
        <v>844712</v>
      </c>
      <c r="F169" s="1047">
        <f t="shared" si="7"/>
        <v>0.36129683490162534</v>
      </c>
    </row>
    <row r="170" spans="1:256" x14ac:dyDescent="0.2">
      <c r="A170" s="1552" t="s">
        <v>177</v>
      </c>
      <c r="B170" s="1553"/>
      <c r="C170" s="1553"/>
      <c r="D170" s="1553"/>
      <c r="E170" s="1553"/>
      <c r="F170" s="1554"/>
    </row>
    <row r="171" spans="1:256" x14ac:dyDescent="0.2">
      <c r="A171" s="1065" t="s">
        <v>70</v>
      </c>
      <c r="B171" s="1066" t="s">
        <v>71</v>
      </c>
      <c r="C171" s="1038" t="s">
        <v>687</v>
      </c>
      <c r="D171" s="1038" t="s">
        <v>688</v>
      </c>
      <c r="E171" s="1039" t="s">
        <v>689</v>
      </c>
      <c r="F171" s="1040" t="s">
        <v>690</v>
      </c>
    </row>
    <row r="172" spans="1:256" x14ac:dyDescent="0.2">
      <c r="A172" s="1041" t="s">
        <v>706</v>
      </c>
      <c r="B172" s="1042" t="s">
        <v>707</v>
      </c>
      <c r="C172" s="1043">
        <v>400000</v>
      </c>
      <c r="D172" s="1052">
        <v>332000</v>
      </c>
      <c r="E172" s="1052">
        <v>12053</v>
      </c>
      <c r="F172" s="1045">
        <f>E172/D172</f>
        <v>3.6304216867469881E-2</v>
      </c>
    </row>
    <row r="173" spans="1:256" x14ac:dyDescent="0.2">
      <c r="A173" s="1041" t="s">
        <v>709</v>
      </c>
      <c r="B173" s="1042" t="s">
        <v>90</v>
      </c>
      <c r="C173" s="1043">
        <v>400000</v>
      </c>
      <c r="D173" s="1052">
        <v>400000</v>
      </c>
      <c r="E173" s="1052">
        <v>0</v>
      </c>
      <c r="F173" s="1045">
        <f t="shared" ref="F173:F179" si="8">E173/D173</f>
        <v>0</v>
      </c>
    </row>
    <row r="174" spans="1:256" x14ac:dyDescent="0.2">
      <c r="A174" s="1041" t="s">
        <v>703</v>
      </c>
      <c r="B174" s="1042" t="s">
        <v>557</v>
      </c>
      <c r="C174" s="1043">
        <f>SUM(C172*0.27)</f>
        <v>108000</v>
      </c>
      <c r="D174" s="1043">
        <v>108000</v>
      </c>
      <c r="E174" s="1059">
        <v>3255</v>
      </c>
      <c r="F174" s="1045">
        <f t="shared" si="8"/>
        <v>3.0138888888888889E-2</v>
      </c>
    </row>
    <row r="175" spans="1:256" x14ac:dyDescent="0.2">
      <c r="A175" s="1548" t="s">
        <v>168</v>
      </c>
      <c r="B175" s="1559"/>
      <c r="C175" s="1043">
        <f>SUM(C172:C174)</f>
        <v>908000</v>
      </c>
      <c r="D175" s="1043">
        <f>SUM(D172:D174)</f>
        <v>840000</v>
      </c>
      <c r="E175" s="1043">
        <f>SUM(E172:E174)</f>
        <v>15308</v>
      </c>
      <c r="F175" s="1045">
        <f t="shared" si="8"/>
        <v>1.8223809523809524E-2</v>
      </c>
      <c r="G175" s="1051"/>
      <c r="H175" s="1051"/>
      <c r="I175" s="1051"/>
      <c r="J175" s="1051"/>
      <c r="K175" s="1051"/>
      <c r="L175" s="1051"/>
      <c r="M175" s="1051"/>
      <c r="N175" s="1051"/>
      <c r="O175" s="1051"/>
      <c r="P175" s="1051"/>
      <c r="Q175" s="1051"/>
      <c r="R175" s="1051"/>
      <c r="S175" s="1051"/>
      <c r="T175" s="1051"/>
      <c r="U175" s="1051"/>
      <c r="V175" s="1051"/>
      <c r="W175" s="1051"/>
      <c r="X175" s="1051"/>
      <c r="Y175" s="1051"/>
      <c r="Z175" s="1051"/>
      <c r="AA175" s="1051"/>
      <c r="AB175" s="1051"/>
      <c r="AC175" s="1051"/>
      <c r="AD175" s="1051"/>
      <c r="AE175" s="1051"/>
      <c r="AF175" s="1051"/>
      <c r="AG175" s="1051"/>
      <c r="AH175" s="1051"/>
      <c r="AI175" s="1051"/>
      <c r="AJ175" s="1051"/>
      <c r="AK175" s="1051"/>
      <c r="AL175" s="1051"/>
      <c r="AM175" s="1051"/>
      <c r="AN175" s="1051"/>
      <c r="AO175" s="1051"/>
      <c r="AP175" s="1051"/>
      <c r="AQ175" s="1051"/>
      <c r="AR175" s="1051"/>
      <c r="AS175" s="1051"/>
      <c r="AT175" s="1051"/>
      <c r="AU175" s="1051"/>
      <c r="AV175" s="1051"/>
      <c r="AW175" s="1051"/>
      <c r="AX175" s="1051"/>
      <c r="AY175" s="1051"/>
      <c r="AZ175" s="1051"/>
      <c r="BA175" s="1051"/>
      <c r="BB175" s="1051"/>
      <c r="BC175" s="1051"/>
      <c r="BD175" s="1051"/>
      <c r="BE175" s="1051"/>
      <c r="BF175" s="1051"/>
      <c r="BG175" s="1051"/>
      <c r="BH175" s="1051"/>
      <c r="BI175" s="1051"/>
      <c r="BJ175" s="1051"/>
      <c r="BK175" s="1051"/>
      <c r="BL175" s="1051"/>
      <c r="BM175" s="1051"/>
      <c r="BN175" s="1051"/>
      <c r="BO175" s="1051"/>
      <c r="BP175" s="1051"/>
      <c r="BQ175" s="1051"/>
      <c r="BR175" s="1051"/>
      <c r="BS175" s="1051"/>
      <c r="BT175" s="1051"/>
      <c r="BU175" s="1051"/>
      <c r="BV175" s="1051"/>
      <c r="BW175" s="1051"/>
      <c r="BX175" s="1051"/>
      <c r="BY175" s="1051"/>
      <c r="BZ175" s="1051"/>
      <c r="CA175" s="1051"/>
      <c r="CB175" s="1051"/>
      <c r="CC175" s="1051"/>
      <c r="CD175" s="1051"/>
      <c r="CE175" s="1051"/>
      <c r="CF175" s="1051"/>
      <c r="CG175" s="1051"/>
      <c r="CH175" s="1051"/>
      <c r="CI175" s="1051"/>
      <c r="CJ175" s="1051"/>
      <c r="CK175" s="1051"/>
      <c r="CL175" s="1051"/>
      <c r="CM175" s="1051"/>
      <c r="CN175" s="1051"/>
      <c r="CO175" s="1051"/>
      <c r="CP175" s="1051"/>
      <c r="CQ175" s="1051"/>
      <c r="CR175" s="1051"/>
      <c r="CS175" s="1051"/>
      <c r="CT175" s="1051"/>
      <c r="CU175" s="1051"/>
      <c r="CV175" s="1051"/>
      <c r="CW175" s="1051"/>
      <c r="CX175" s="1051"/>
      <c r="CY175" s="1051"/>
      <c r="CZ175" s="1051"/>
      <c r="DA175" s="1051"/>
      <c r="DB175" s="1051"/>
      <c r="DC175" s="1051"/>
      <c r="DD175" s="1051"/>
      <c r="DE175" s="1051"/>
      <c r="DF175" s="1051"/>
      <c r="DG175" s="1051"/>
      <c r="DH175" s="1051"/>
      <c r="DI175" s="1051"/>
      <c r="DJ175" s="1051"/>
      <c r="DK175" s="1051"/>
      <c r="DL175" s="1051"/>
      <c r="DM175" s="1051"/>
      <c r="DN175" s="1051"/>
      <c r="DO175" s="1051"/>
      <c r="DP175" s="1051"/>
      <c r="DQ175" s="1051"/>
      <c r="DR175" s="1051"/>
      <c r="DS175" s="1051"/>
      <c r="DT175" s="1051"/>
      <c r="DU175" s="1051"/>
      <c r="DV175" s="1051"/>
      <c r="DW175" s="1051"/>
      <c r="DX175" s="1051"/>
      <c r="DY175" s="1051"/>
      <c r="DZ175" s="1051"/>
      <c r="EA175" s="1051"/>
      <c r="EB175" s="1051"/>
      <c r="EC175" s="1051"/>
      <c r="ED175" s="1051"/>
      <c r="EE175" s="1051"/>
      <c r="EF175" s="1051"/>
      <c r="EG175" s="1051"/>
      <c r="EH175" s="1051"/>
      <c r="EI175" s="1051"/>
      <c r="EJ175" s="1051"/>
      <c r="EK175" s="1051"/>
      <c r="EL175" s="1051"/>
      <c r="EM175" s="1051"/>
      <c r="EN175" s="1051"/>
      <c r="EO175" s="1051"/>
      <c r="EP175" s="1051"/>
      <c r="EQ175" s="1051"/>
      <c r="ER175" s="1051"/>
      <c r="ES175" s="1051"/>
      <c r="ET175" s="1051"/>
      <c r="EU175" s="1051"/>
      <c r="EV175" s="1051"/>
      <c r="EW175" s="1051"/>
      <c r="EX175" s="1051"/>
      <c r="EY175" s="1051"/>
      <c r="EZ175" s="1051"/>
      <c r="FA175" s="1051"/>
      <c r="FB175" s="1051"/>
      <c r="FC175" s="1051"/>
      <c r="FD175" s="1051"/>
      <c r="FE175" s="1051"/>
      <c r="FF175" s="1051"/>
      <c r="FG175" s="1051"/>
      <c r="FH175" s="1051"/>
      <c r="FI175" s="1051"/>
      <c r="FJ175" s="1051"/>
      <c r="FK175" s="1051"/>
      <c r="FL175" s="1051"/>
      <c r="FM175" s="1051"/>
      <c r="FN175" s="1051"/>
      <c r="FO175" s="1051"/>
      <c r="FP175" s="1051"/>
      <c r="FQ175" s="1051"/>
      <c r="FR175" s="1051"/>
      <c r="FS175" s="1051"/>
      <c r="FT175" s="1051"/>
      <c r="FU175" s="1051"/>
      <c r="FV175" s="1051"/>
      <c r="FW175" s="1051"/>
      <c r="FX175" s="1051"/>
      <c r="FY175" s="1051"/>
      <c r="FZ175" s="1051"/>
      <c r="GA175" s="1051"/>
      <c r="GB175" s="1051"/>
      <c r="GC175" s="1051"/>
      <c r="GD175" s="1051"/>
      <c r="GE175" s="1051"/>
      <c r="GF175" s="1051"/>
      <c r="GG175" s="1051"/>
      <c r="GH175" s="1051"/>
      <c r="GI175" s="1051"/>
      <c r="GJ175" s="1051"/>
      <c r="GK175" s="1051"/>
      <c r="GL175" s="1051"/>
      <c r="GM175" s="1051"/>
      <c r="GN175" s="1051"/>
      <c r="GO175" s="1051"/>
      <c r="GP175" s="1051"/>
      <c r="GQ175" s="1051"/>
      <c r="GR175" s="1051"/>
      <c r="GS175" s="1051"/>
      <c r="GT175" s="1051"/>
      <c r="GU175" s="1051"/>
      <c r="GV175" s="1051"/>
      <c r="GW175" s="1051"/>
      <c r="GX175" s="1051"/>
      <c r="GY175" s="1051"/>
      <c r="GZ175" s="1051"/>
      <c r="HA175" s="1051"/>
      <c r="HB175" s="1051"/>
      <c r="HC175" s="1051"/>
      <c r="HD175" s="1051"/>
      <c r="HE175" s="1051"/>
      <c r="HF175" s="1051"/>
      <c r="HG175" s="1051"/>
      <c r="HH175" s="1051"/>
      <c r="HI175" s="1051"/>
      <c r="HJ175" s="1051"/>
      <c r="HK175" s="1051"/>
      <c r="HL175" s="1051"/>
      <c r="HM175" s="1051"/>
      <c r="HN175" s="1051"/>
      <c r="HO175" s="1051"/>
      <c r="HP175" s="1051"/>
      <c r="HQ175" s="1051"/>
      <c r="HR175" s="1051"/>
      <c r="HS175" s="1051"/>
      <c r="HT175" s="1051"/>
      <c r="HU175" s="1051"/>
      <c r="HV175" s="1051"/>
      <c r="HW175" s="1051"/>
      <c r="HX175" s="1051"/>
      <c r="HY175" s="1051"/>
      <c r="HZ175" s="1051"/>
      <c r="IA175" s="1051"/>
      <c r="IB175" s="1051"/>
      <c r="IC175" s="1051"/>
      <c r="ID175" s="1051"/>
      <c r="IE175" s="1051"/>
      <c r="IF175" s="1051"/>
      <c r="IG175" s="1051"/>
      <c r="IH175" s="1051"/>
      <c r="II175" s="1051"/>
      <c r="IJ175" s="1051"/>
      <c r="IK175" s="1051"/>
      <c r="IL175" s="1051"/>
      <c r="IM175" s="1051"/>
      <c r="IN175" s="1051"/>
      <c r="IO175" s="1051"/>
      <c r="IP175" s="1051"/>
      <c r="IQ175" s="1051"/>
      <c r="IR175" s="1051"/>
      <c r="IS175" s="1051"/>
      <c r="IT175" s="1051"/>
      <c r="IU175" s="1051"/>
      <c r="IV175" s="1051"/>
    </row>
    <row r="176" spans="1:256" x14ac:dyDescent="0.2">
      <c r="A176" s="1056" t="s">
        <v>611</v>
      </c>
      <c r="B176" s="1089" t="s">
        <v>767</v>
      </c>
      <c r="C176" s="1043">
        <v>0</v>
      </c>
      <c r="D176" s="1043">
        <v>53000</v>
      </c>
      <c r="E176" s="1052">
        <v>52800</v>
      </c>
      <c r="F176" s="1045">
        <f t="shared" si="8"/>
        <v>0.99622641509433962</v>
      </c>
      <c r="G176" s="1051"/>
      <c r="H176" s="1051"/>
      <c r="I176" s="1051"/>
      <c r="J176" s="1051"/>
      <c r="K176" s="1051"/>
      <c r="L176" s="1051"/>
      <c r="M176" s="1051"/>
      <c r="N176" s="1051"/>
      <c r="O176" s="1051"/>
      <c r="P176" s="1051"/>
      <c r="Q176" s="1051"/>
      <c r="R176" s="1051"/>
      <c r="S176" s="1051"/>
      <c r="T176" s="1051"/>
      <c r="U176" s="1051"/>
      <c r="V176" s="1051"/>
      <c r="W176" s="1051"/>
      <c r="X176" s="1051"/>
      <c r="Y176" s="1051"/>
      <c r="Z176" s="1051"/>
      <c r="AA176" s="1051"/>
      <c r="AB176" s="1051"/>
      <c r="AC176" s="1051"/>
      <c r="AD176" s="1051"/>
      <c r="AE176" s="1051"/>
      <c r="AF176" s="1051"/>
      <c r="AG176" s="1051"/>
      <c r="AH176" s="1051"/>
      <c r="AI176" s="1051"/>
      <c r="AJ176" s="1051"/>
      <c r="AK176" s="1051"/>
      <c r="AL176" s="1051"/>
      <c r="AM176" s="1051"/>
      <c r="AN176" s="1051"/>
      <c r="AO176" s="1051"/>
      <c r="AP176" s="1051"/>
      <c r="AQ176" s="1051"/>
      <c r="AR176" s="1051"/>
      <c r="AS176" s="1051"/>
      <c r="AT176" s="1051"/>
      <c r="AU176" s="1051"/>
      <c r="AV176" s="1051"/>
      <c r="AW176" s="1051"/>
      <c r="AX176" s="1051"/>
      <c r="AY176" s="1051"/>
      <c r="AZ176" s="1051"/>
      <c r="BA176" s="1051"/>
      <c r="BB176" s="1051"/>
      <c r="BC176" s="1051"/>
      <c r="BD176" s="1051"/>
      <c r="BE176" s="1051"/>
      <c r="BF176" s="1051"/>
      <c r="BG176" s="1051"/>
      <c r="BH176" s="1051"/>
      <c r="BI176" s="1051"/>
      <c r="BJ176" s="1051"/>
      <c r="BK176" s="1051"/>
      <c r="BL176" s="1051"/>
      <c r="BM176" s="1051"/>
      <c r="BN176" s="1051"/>
      <c r="BO176" s="1051"/>
      <c r="BP176" s="1051"/>
      <c r="BQ176" s="1051"/>
      <c r="BR176" s="1051"/>
      <c r="BS176" s="1051"/>
      <c r="BT176" s="1051"/>
      <c r="BU176" s="1051"/>
      <c r="BV176" s="1051"/>
      <c r="BW176" s="1051"/>
      <c r="BX176" s="1051"/>
      <c r="BY176" s="1051"/>
      <c r="BZ176" s="1051"/>
      <c r="CA176" s="1051"/>
      <c r="CB176" s="1051"/>
      <c r="CC176" s="1051"/>
      <c r="CD176" s="1051"/>
      <c r="CE176" s="1051"/>
      <c r="CF176" s="1051"/>
      <c r="CG176" s="1051"/>
      <c r="CH176" s="1051"/>
      <c r="CI176" s="1051"/>
      <c r="CJ176" s="1051"/>
      <c r="CK176" s="1051"/>
      <c r="CL176" s="1051"/>
      <c r="CM176" s="1051"/>
      <c r="CN176" s="1051"/>
      <c r="CO176" s="1051"/>
      <c r="CP176" s="1051"/>
      <c r="CQ176" s="1051"/>
      <c r="CR176" s="1051"/>
      <c r="CS176" s="1051"/>
      <c r="CT176" s="1051"/>
      <c r="CU176" s="1051"/>
      <c r="CV176" s="1051"/>
      <c r="CW176" s="1051"/>
      <c r="CX176" s="1051"/>
      <c r="CY176" s="1051"/>
      <c r="CZ176" s="1051"/>
      <c r="DA176" s="1051"/>
      <c r="DB176" s="1051"/>
      <c r="DC176" s="1051"/>
      <c r="DD176" s="1051"/>
      <c r="DE176" s="1051"/>
      <c r="DF176" s="1051"/>
      <c r="DG176" s="1051"/>
      <c r="DH176" s="1051"/>
      <c r="DI176" s="1051"/>
      <c r="DJ176" s="1051"/>
      <c r="DK176" s="1051"/>
      <c r="DL176" s="1051"/>
      <c r="DM176" s="1051"/>
      <c r="DN176" s="1051"/>
      <c r="DO176" s="1051"/>
      <c r="DP176" s="1051"/>
      <c r="DQ176" s="1051"/>
      <c r="DR176" s="1051"/>
      <c r="DS176" s="1051"/>
      <c r="DT176" s="1051"/>
      <c r="DU176" s="1051"/>
      <c r="DV176" s="1051"/>
      <c r="DW176" s="1051"/>
      <c r="DX176" s="1051"/>
      <c r="DY176" s="1051"/>
      <c r="DZ176" s="1051"/>
      <c r="EA176" s="1051"/>
      <c r="EB176" s="1051"/>
      <c r="EC176" s="1051"/>
      <c r="ED176" s="1051"/>
      <c r="EE176" s="1051"/>
      <c r="EF176" s="1051"/>
      <c r="EG176" s="1051"/>
      <c r="EH176" s="1051"/>
      <c r="EI176" s="1051"/>
      <c r="EJ176" s="1051"/>
      <c r="EK176" s="1051"/>
      <c r="EL176" s="1051"/>
      <c r="EM176" s="1051"/>
      <c r="EN176" s="1051"/>
      <c r="EO176" s="1051"/>
      <c r="EP176" s="1051"/>
      <c r="EQ176" s="1051"/>
      <c r="ER176" s="1051"/>
      <c r="ES176" s="1051"/>
      <c r="ET176" s="1051"/>
      <c r="EU176" s="1051"/>
      <c r="EV176" s="1051"/>
      <c r="EW176" s="1051"/>
      <c r="EX176" s="1051"/>
      <c r="EY176" s="1051"/>
      <c r="EZ176" s="1051"/>
      <c r="FA176" s="1051"/>
      <c r="FB176" s="1051"/>
      <c r="FC176" s="1051"/>
      <c r="FD176" s="1051"/>
      <c r="FE176" s="1051"/>
      <c r="FF176" s="1051"/>
      <c r="FG176" s="1051"/>
      <c r="FH176" s="1051"/>
      <c r="FI176" s="1051"/>
      <c r="FJ176" s="1051"/>
      <c r="FK176" s="1051"/>
      <c r="FL176" s="1051"/>
      <c r="FM176" s="1051"/>
      <c r="FN176" s="1051"/>
      <c r="FO176" s="1051"/>
      <c r="FP176" s="1051"/>
      <c r="FQ176" s="1051"/>
      <c r="FR176" s="1051"/>
      <c r="FS176" s="1051"/>
      <c r="FT176" s="1051"/>
      <c r="FU176" s="1051"/>
      <c r="FV176" s="1051"/>
      <c r="FW176" s="1051"/>
      <c r="FX176" s="1051"/>
      <c r="FY176" s="1051"/>
      <c r="FZ176" s="1051"/>
      <c r="GA176" s="1051"/>
      <c r="GB176" s="1051"/>
      <c r="GC176" s="1051"/>
      <c r="GD176" s="1051"/>
      <c r="GE176" s="1051"/>
      <c r="GF176" s="1051"/>
      <c r="GG176" s="1051"/>
      <c r="GH176" s="1051"/>
      <c r="GI176" s="1051"/>
      <c r="GJ176" s="1051"/>
      <c r="GK176" s="1051"/>
      <c r="GL176" s="1051"/>
      <c r="GM176" s="1051"/>
      <c r="GN176" s="1051"/>
      <c r="GO176" s="1051"/>
      <c r="GP176" s="1051"/>
      <c r="GQ176" s="1051"/>
      <c r="GR176" s="1051"/>
      <c r="GS176" s="1051"/>
      <c r="GT176" s="1051"/>
      <c r="GU176" s="1051"/>
      <c r="GV176" s="1051"/>
      <c r="GW176" s="1051"/>
      <c r="GX176" s="1051"/>
      <c r="GY176" s="1051"/>
      <c r="GZ176" s="1051"/>
      <c r="HA176" s="1051"/>
      <c r="HB176" s="1051"/>
      <c r="HC176" s="1051"/>
      <c r="HD176" s="1051"/>
      <c r="HE176" s="1051"/>
      <c r="HF176" s="1051"/>
      <c r="HG176" s="1051"/>
      <c r="HH176" s="1051"/>
      <c r="HI176" s="1051"/>
      <c r="HJ176" s="1051"/>
      <c r="HK176" s="1051"/>
      <c r="HL176" s="1051"/>
      <c r="HM176" s="1051"/>
      <c r="HN176" s="1051"/>
      <c r="HO176" s="1051"/>
      <c r="HP176" s="1051"/>
      <c r="HQ176" s="1051"/>
      <c r="HR176" s="1051"/>
      <c r="HS176" s="1051"/>
      <c r="HT176" s="1051"/>
      <c r="HU176" s="1051"/>
      <c r="HV176" s="1051"/>
      <c r="HW176" s="1051"/>
      <c r="HX176" s="1051"/>
      <c r="HY176" s="1051"/>
      <c r="HZ176" s="1051"/>
      <c r="IA176" s="1051"/>
      <c r="IB176" s="1051"/>
      <c r="IC176" s="1051"/>
      <c r="ID176" s="1051"/>
      <c r="IE176" s="1051"/>
      <c r="IF176" s="1051"/>
      <c r="IG176" s="1051"/>
      <c r="IH176" s="1051"/>
      <c r="II176" s="1051"/>
      <c r="IJ176" s="1051"/>
      <c r="IK176" s="1051"/>
      <c r="IL176" s="1051"/>
      <c r="IM176" s="1051"/>
      <c r="IN176" s="1051"/>
      <c r="IO176" s="1051"/>
      <c r="IP176" s="1051"/>
      <c r="IQ176" s="1051"/>
      <c r="IR176" s="1051"/>
      <c r="IS176" s="1051"/>
      <c r="IT176" s="1051"/>
      <c r="IU176" s="1051"/>
      <c r="IV176" s="1051"/>
    </row>
    <row r="177" spans="1:256" x14ac:dyDescent="0.2">
      <c r="A177" s="1056" t="s">
        <v>613</v>
      </c>
      <c r="B177" s="1089" t="s">
        <v>768</v>
      </c>
      <c r="C177" s="1043">
        <v>0</v>
      </c>
      <c r="D177" s="1043">
        <v>15000</v>
      </c>
      <c r="E177" s="1052">
        <v>14256</v>
      </c>
      <c r="F177" s="1045">
        <f t="shared" si="8"/>
        <v>0.95040000000000002</v>
      </c>
      <c r="G177" s="1051"/>
      <c r="H177" s="1051"/>
      <c r="I177" s="1051"/>
      <c r="J177" s="1051"/>
      <c r="K177" s="1051"/>
      <c r="L177" s="1051"/>
      <c r="M177" s="1051"/>
      <c r="N177" s="1051"/>
      <c r="O177" s="1051"/>
      <c r="P177" s="1051"/>
      <c r="Q177" s="1051"/>
      <c r="R177" s="1051"/>
      <c r="S177" s="1051"/>
      <c r="T177" s="1051"/>
      <c r="U177" s="1051"/>
      <c r="V177" s="1051"/>
      <c r="W177" s="1051"/>
      <c r="X177" s="1051"/>
      <c r="Y177" s="1051"/>
      <c r="Z177" s="1051"/>
      <c r="AA177" s="1051"/>
      <c r="AB177" s="1051"/>
      <c r="AC177" s="1051"/>
      <c r="AD177" s="1051"/>
      <c r="AE177" s="1051"/>
      <c r="AF177" s="1051"/>
      <c r="AG177" s="1051"/>
      <c r="AH177" s="1051"/>
      <c r="AI177" s="1051"/>
      <c r="AJ177" s="1051"/>
      <c r="AK177" s="1051"/>
      <c r="AL177" s="1051"/>
      <c r="AM177" s="1051"/>
      <c r="AN177" s="1051"/>
      <c r="AO177" s="1051"/>
      <c r="AP177" s="1051"/>
      <c r="AQ177" s="1051"/>
      <c r="AR177" s="1051"/>
      <c r="AS177" s="1051"/>
      <c r="AT177" s="1051"/>
      <c r="AU177" s="1051"/>
      <c r="AV177" s="1051"/>
      <c r="AW177" s="1051"/>
      <c r="AX177" s="1051"/>
      <c r="AY177" s="1051"/>
      <c r="AZ177" s="1051"/>
      <c r="BA177" s="1051"/>
      <c r="BB177" s="1051"/>
      <c r="BC177" s="1051"/>
      <c r="BD177" s="1051"/>
      <c r="BE177" s="1051"/>
      <c r="BF177" s="1051"/>
      <c r="BG177" s="1051"/>
      <c r="BH177" s="1051"/>
      <c r="BI177" s="1051"/>
      <c r="BJ177" s="1051"/>
      <c r="BK177" s="1051"/>
      <c r="BL177" s="1051"/>
      <c r="BM177" s="1051"/>
      <c r="BN177" s="1051"/>
      <c r="BO177" s="1051"/>
      <c r="BP177" s="1051"/>
      <c r="BQ177" s="1051"/>
      <c r="BR177" s="1051"/>
      <c r="BS177" s="1051"/>
      <c r="BT177" s="1051"/>
      <c r="BU177" s="1051"/>
      <c r="BV177" s="1051"/>
      <c r="BW177" s="1051"/>
      <c r="BX177" s="1051"/>
      <c r="BY177" s="1051"/>
      <c r="BZ177" s="1051"/>
      <c r="CA177" s="1051"/>
      <c r="CB177" s="1051"/>
      <c r="CC177" s="1051"/>
      <c r="CD177" s="1051"/>
      <c r="CE177" s="1051"/>
      <c r="CF177" s="1051"/>
      <c r="CG177" s="1051"/>
      <c r="CH177" s="1051"/>
      <c r="CI177" s="1051"/>
      <c r="CJ177" s="1051"/>
      <c r="CK177" s="1051"/>
      <c r="CL177" s="1051"/>
      <c r="CM177" s="1051"/>
      <c r="CN177" s="1051"/>
      <c r="CO177" s="1051"/>
      <c r="CP177" s="1051"/>
      <c r="CQ177" s="1051"/>
      <c r="CR177" s="1051"/>
      <c r="CS177" s="1051"/>
      <c r="CT177" s="1051"/>
      <c r="CU177" s="1051"/>
      <c r="CV177" s="1051"/>
      <c r="CW177" s="1051"/>
      <c r="CX177" s="1051"/>
      <c r="CY177" s="1051"/>
      <c r="CZ177" s="1051"/>
      <c r="DA177" s="1051"/>
      <c r="DB177" s="1051"/>
      <c r="DC177" s="1051"/>
      <c r="DD177" s="1051"/>
      <c r="DE177" s="1051"/>
      <c r="DF177" s="1051"/>
      <c r="DG177" s="1051"/>
      <c r="DH177" s="1051"/>
      <c r="DI177" s="1051"/>
      <c r="DJ177" s="1051"/>
      <c r="DK177" s="1051"/>
      <c r="DL177" s="1051"/>
      <c r="DM177" s="1051"/>
      <c r="DN177" s="1051"/>
      <c r="DO177" s="1051"/>
      <c r="DP177" s="1051"/>
      <c r="DQ177" s="1051"/>
      <c r="DR177" s="1051"/>
      <c r="DS177" s="1051"/>
      <c r="DT177" s="1051"/>
      <c r="DU177" s="1051"/>
      <c r="DV177" s="1051"/>
      <c r="DW177" s="1051"/>
      <c r="DX177" s="1051"/>
      <c r="DY177" s="1051"/>
      <c r="DZ177" s="1051"/>
      <c r="EA177" s="1051"/>
      <c r="EB177" s="1051"/>
      <c r="EC177" s="1051"/>
      <c r="ED177" s="1051"/>
      <c r="EE177" s="1051"/>
      <c r="EF177" s="1051"/>
      <c r="EG177" s="1051"/>
      <c r="EH177" s="1051"/>
      <c r="EI177" s="1051"/>
      <c r="EJ177" s="1051"/>
      <c r="EK177" s="1051"/>
      <c r="EL177" s="1051"/>
      <c r="EM177" s="1051"/>
      <c r="EN177" s="1051"/>
      <c r="EO177" s="1051"/>
      <c r="EP177" s="1051"/>
      <c r="EQ177" s="1051"/>
      <c r="ER177" s="1051"/>
      <c r="ES177" s="1051"/>
      <c r="ET177" s="1051"/>
      <c r="EU177" s="1051"/>
      <c r="EV177" s="1051"/>
      <c r="EW177" s="1051"/>
      <c r="EX177" s="1051"/>
      <c r="EY177" s="1051"/>
      <c r="EZ177" s="1051"/>
      <c r="FA177" s="1051"/>
      <c r="FB177" s="1051"/>
      <c r="FC177" s="1051"/>
      <c r="FD177" s="1051"/>
      <c r="FE177" s="1051"/>
      <c r="FF177" s="1051"/>
      <c r="FG177" s="1051"/>
      <c r="FH177" s="1051"/>
      <c r="FI177" s="1051"/>
      <c r="FJ177" s="1051"/>
      <c r="FK177" s="1051"/>
      <c r="FL177" s="1051"/>
      <c r="FM177" s="1051"/>
      <c r="FN177" s="1051"/>
      <c r="FO177" s="1051"/>
      <c r="FP177" s="1051"/>
      <c r="FQ177" s="1051"/>
      <c r="FR177" s="1051"/>
      <c r="FS177" s="1051"/>
      <c r="FT177" s="1051"/>
      <c r="FU177" s="1051"/>
      <c r="FV177" s="1051"/>
      <c r="FW177" s="1051"/>
      <c r="FX177" s="1051"/>
      <c r="FY177" s="1051"/>
      <c r="FZ177" s="1051"/>
      <c r="GA177" s="1051"/>
      <c r="GB177" s="1051"/>
      <c r="GC177" s="1051"/>
      <c r="GD177" s="1051"/>
      <c r="GE177" s="1051"/>
      <c r="GF177" s="1051"/>
      <c r="GG177" s="1051"/>
      <c r="GH177" s="1051"/>
      <c r="GI177" s="1051"/>
      <c r="GJ177" s="1051"/>
      <c r="GK177" s="1051"/>
      <c r="GL177" s="1051"/>
      <c r="GM177" s="1051"/>
      <c r="GN177" s="1051"/>
      <c r="GO177" s="1051"/>
      <c r="GP177" s="1051"/>
      <c r="GQ177" s="1051"/>
      <c r="GR177" s="1051"/>
      <c r="GS177" s="1051"/>
      <c r="GT177" s="1051"/>
      <c r="GU177" s="1051"/>
      <c r="GV177" s="1051"/>
      <c r="GW177" s="1051"/>
      <c r="GX177" s="1051"/>
      <c r="GY177" s="1051"/>
      <c r="GZ177" s="1051"/>
      <c r="HA177" s="1051"/>
      <c r="HB177" s="1051"/>
      <c r="HC177" s="1051"/>
      <c r="HD177" s="1051"/>
      <c r="HE177" s="1051"/>
      <c r="HF177" s="1051"/>
      <c r="HG177" s="1051"/>
      <c r="HH177" s="1051"/>
      <c r="HI177" s="1051"/>
      <c r="HJ177" s="1051"/>
      <c r="HK177" s="1051"/>
      <c r="HL177" s="1051"/>
      <c r="HM177" s="1051"/>
      <c r="HN177" s="1051"/>
      <c r="HO177" s="1051"/>
      <c r="HP177" s="1051"/>
      <c r="HQ177" s="1051"/>
      <c r="HR177" s="1051"/>
      <c r="HS177" s="1051"/>
      <c r="HT177" s="1051"/>
      <c r="HU177" s="1051"/>
      <c r="HV177" s="1051"/>
      <c r="HW177" s="1051"/>
      <c r="HX177" s="1051"/>
      <c r="HY177" s="1051"/>
      <c r="HZ177" s="1051"/>
      <c r="IA177" s="1051"/>
      <c r="IB177" s="1051"/>
      <c r="IC177" s="1051"/>
      <c r="ID177" s="1051"/>
      <c r="IE177" s="1051"/>
      <c r="IF177" s="1051"/>
      <c r="IG177" s="1051"/>
      <c r="IH177" s="1051"/>
      <c r="II177" s="1051"/>
      <c r="IJ177" s="1051"/>
      <c r="IK177" s="1051"/>
      <c r="IL177" s="1051"/>
      <c r="IM177" s="1051"/>
      <c r="IN177" s="1051"/>
      <c r="IO177" s="1051"/>
      <c r="IP177" s="1051"/>
      <c r="IQ177" s="1051"/>
      <c r="IR177" s="1051"/>
      <c r="IS177" s="1051"/>
      <c r="IT177" s="1051"/>
      <c r="IU177" s="1051"/>
      <c r="IV177" s="1051"/>
    </row>
    <row r="178" spans="1:256" x14ac:dyDescent="0.2">
      <c r="A178" s="1564" t="s">
        <v>12</v>
      </c>
      <c r="B178" s="1574"/>
      <c r="C178" s="1043">
        <f>SUM(C176:C177)</f>
        <v>0</v>
      </c>
      <c r="D178" s="1043">
        <f>SUM(D176:D177)</f>
        <v>68000</v>
      </c>
      <c r="E178" s="1043">
        <f>SUM(E176:E177)</f>
        <v>67056</v>
      </c>
      <c r="F178" s="1045">
        <f t="shared" si="8"/>
        <v>0.98611764705882354</v>
      </c>
      <c r="G178" s="1051"/>
      <c r="H178" s="1051"/>
      <c r="I178" s="1051"/>
      <c r="J178" s="1051"/>
      <c r="K178" s="1051"/>
      <c r="L178" s="1051"/>
      <c r="M178" s="1051"/>
      <c r="N178" s="1051"/>
      <c r="O178" s="1051"/>
      <c r="P178" s="1051"/>
      <c r="Q178" s="1051"/>
      <c r="R178" s="1051"/>
      <c r="S178" s="1051"/>
      <c r="T178" s="1051"/>
      <c r="U178" s="1051"/>
      <c r="V178" s="1051"/>
      <c r="W178" s="1051"/>
      <c r="X178" s="1051"/>
      <c r="Y178" s="1051"/>
      <c r="Z178" s="1051"/>
      <c r="AA178" s="1051"/>
      <c r="AB178" s="1051"/>
      <c r="AC178" s="1051"/>
      <c r="AD178" s="1051"/>
      <c r="AE178" s="1051"/>
      <c r="AF178" s="1051"/>
      <c r="AG178" s="1051"/>
      <c r="AH178" s="1051"/>
      <c r="AI178" s="1051"/>
      <c r="AJ178" s="1051"/>
      <c r="AK178" s="1051"/>
      <c r="AL178" s="1051"/>
      <c r="AM178" s="1051"/>
      <c r="AN178" s="1051"/>
      <c r="AO178" s="1051"/>
      <c r="AP178" s="1051"/>
      <c r="AQ178" s="1051"/>
      <c r="AR178" s="1051"/>
      <c r="AS178" s="1051"/>
      <c r="AT178" s="1051"/>
      <c r="AU178" s="1051"/>
      <c r="AV178" s="1051"/>
      <c r="AW178" s="1051"/>
      <c r="AX178" s="1051"/>
      <c r="AY178" s="1051"/>
      <c r="AZ178" s="1051"/>
      <c r="BA178" s="1051"/>
      <c r="BB178" s="1051"/>
      <c r="BC178" s="1051"/>
      <c r="BD178" s="1051"/>
      <c r="BE178" s="1051"/>
      <c r="BF178" s="1051"/>
      <c r="BG178" s="1051"/>
      <c r="BH178" s="1051"/>
      <c r="BI178" s="1051"/>
      <c r="BJ178" s="1051"/>
      <c r="BK178" s="1051"/>
      <c r="BL178" s="1051"/>
      <c r="BM178" s="1051"/>
      <c r="BN178" s="1051"/>
      <c r="BO178" s="1051"/>
      <c r="BP178" s="1051"/>
      <c r="BQ178" s="1051"/>
      <c r="BR178" s="1051"/>
      <c r="BS178" s="1051"/>
      <c r="BT178" s="1051"/>
      <c r="BU178" s="1051"/>
      <c r="BV178" s="1051"/>
      <c r="BW178" s="1051"/>
      <c r="BX178" s="1051"/>
      <c r="BY178" s="1051"/>
      <c r="BZ178" s="1051"/>
      <c r="CA178" s="1051"/>
      <c r="CB178" s="1051"/>
      <c r="CC178" s="1051"/>
      <c r="CD178" s="1051"/>
      <c r="CE178" s="1051"/>
      <c r="CF178" s="1051"/>
      <c r="CG178" s="1051"/>
      <c r="CH178" s="1051"/>
      <c r="CI178" s="1051"/>
      <c r="CJ178" s="1051"/>
      <c r="CK178" s="1051"/>
      <c r="CL178" s="1051"/>
      <c r="CM178" s="1051"/>
      <c r="CN178" s="1051"/>
      <c r="CO178" s="1051"/>
      <c r="CP178" s="1051"/>
      <c r="CQ178" s="1051"/>
      <c r="CR178" s="1051"/>
      <c r="CS178" s="1051"/>
      <c r="CT178" s="1051"/>
      <c r="CU178" s="1051"/>
      <c r="CV178" s="1051"/>
      <c r="CW178" s="1051"/>
      <c r="CX178" s="1051"/>
      <c r="CY178" s="1051"/>
      <c r="CZ178" s="1051"/>
      <c r="DA178" s="1051"/>
      <c r="DB178" s="1051"/>
      <c r="DC178" s="1051"/>
      <c r="DD178" s="1051"/>
      <c r="DE178" s="1051"/>
      <c r="DF178" s="1051"/>
      <c r="DG178" s="1051"/>
      <c r="DH178" s="1051"/>
      <c r="DI178" s="1051"/>
      <c r="DJ178" s="1051"/>
      <c r="DK178" s="1051"/>
      <c r="DL178" s="1051"/>
      <c r="DM178" s="1051"/>
      <c r="DN178" s="1051"/>
      <c r="DO178" s="1051"/>
      <c r="DP178" s="1051"/>
      <c r="DQ178" s="1051"/>
      <c r="DR178" s="1051"/>
      <c r="DS178" s="1051"/>
      <c r="DT178" s="1051"/>
      <c r="DU178" s="1051"/>
      <c r="DV178" s="1051"/>
      <c r="DW178" s="1051"/>
      <c r="DX178" s="1051"/>
      <c r="DY178" s="1051"/>
      <c r="DZ178" s="1051"/>
      <c r="EA178" s="1051"/>
      <c r="EB178" s="1051"/>
      <c r="EC178" s="1051"/>
      <c r="ED178" s="1051"/>
      <c r="EE178" s="1051"/>
      <c r="EF178" s="1051"/>
      <c r="EG178" s="1051"/>
      <c r="EH178" s="1051"/>
      <c r="EI178" s="1051"/>
      <c r="EJ178" s="1051"/>
      <c r="EK178" s="1051"/>
      <c r="EL178" s="1051"/>
      <c r="EM178" s="1051"/>
      <c r="EN178" s="1051"/>
      <c r="EO178" s="1051"/>
      <c r="EP178" s="1051"/>
      <c r="EQ178" s="1051"/>
      <c r="ER178" s="1051"/>
      <c r="ES178" s="1051"/>
      <c r="ET178" s="1051"/>
      <c r="EU178" s="1051"/>
      <c r="EV178" s="1051"/>
      <c r="EW178" s="1051"/>
      <c r="EX178" s="1051"/>
      <c r="EY178" s="1051"/>
      <c r="EZ178" s="1051"/>
      <c r="FA178" s="1051"/>
      <c r="FB178" s="1051"/>
      <c r="FC178" s="1051"/>
      <c r="FD178" s="1051"/>
      <c r="FE178" s="1051"/>
      <c r="FF178" s="1051"/>
      <c r="FG178" s="1051"/>
      <c r="FH178" s="1051"/>
      <c r="FI178" s="1051"/>
      <c r="FJ178" s="1051"/>
      <c r="FK178" s="1051"/>
      <c r="FL178" s="1051"/>
      <c r="FM178" s="1051"/>
      <c r="FN178" s="1051"/>
      <c r="FO178" s="1051"/>
      <c r="FP178" s="1051"/>
      <c r="FQ178" s="1051"/>
      <c r="FR178" s="1051"/>
      <c r="FS178" s="1051"/>
      <c r="FT178" s="1051"/>
      <c r="FU178" s="1051"/>
      <c r="FV178" s="1051"/>
      <c r="FW178" s="1051"/>
      <c r="FX178" s="1051"/>
      <c r="FY178" s="1051"/>
      <c r="FZ178" s="1051"/>
      <c r="GA178" s="1051"/>
      <c r="GB178" s="1051"/>
      <c r="GC178" s="1051"/>
      <c r="GD178" s="1051"/>
      <c r="GE178" s="1051"/>
      <c r="GF178" s="1051"/>
      <c r="GG178" s="1051"/>
      <c r="GH178" s="1051"/>
      <c r="GI178" s="1051"/>
      <c r="GJ178" s="1051"/>
      <c r="GK178" s="1051"/>
      <c r="GL178" s="1051"/>
      <c r="GM178" s="1051"/>
      <c r="GN178" s="1051"/>
      <c r="GO178" s="1051"/>
      <c r="GP178" s="1051"/>
      <c r="GQ178" s="1051"/>
      <c r="GR178" s="1051"/>
      <c r="GS178" s="1051"/>
      <c r="GT178" s="1051"/>
      <c r="GU178" s="1051"/>
      <c r="GV178" s="1051"/>
      <c r="GW178" s="1051"/>
      <c r="GX178" s="1051"/>
      <c r="GY178" s="1051"/>
      <c r="GZ178" s="1051"/>
      <c r="HA178" s="1051"/>
      <c r="HB178" s="1051"/>
      <c r="HC178" s="1051"/>
      <c r="HD178" s="1051"/>
      <c r="HE178" s="1051"/>
      <c r="HF178" s="1051"/>
      <c r="HG178" s="1051"/>
      <c r="HH178" s="1051"/>
      <c r="HI178" s="1051"/>
      <c r="HJ178" s="1051"/>
      <c r="HK178" s="1051"/>
      <c r="HL178" s="1051"/>
      <c r="HM178" s="1051"/>
      <c r="HN178" s="1051"/>
      <c r="HO178" s="1051"/>
      <c r="HP178" s="1051"/>
      <c r="HQ178" s="1051"/>
      <c r="HR178" s="1051"/>
      <c r="HS178" s="1051"/>
      <c r="HT178" s="1051"/>
      <c r="HU178" s="1051"/>
      <c r="HV178" s="1051"/>
      <c r="HW178" s="1051"/>
      <c r="HX178" s="1051"/>
      <c r="HY178" s="1051"/>
      <c r="HZ178" s="1051"/>
      <c r="IA178" s="1051"/>
      <c r="IB178" s="1051"/>
      <c r="IC178" s="1051"/>
      <c r="ID178" s="1051"/>
      <c r="IE178" s="1051"/>
      <c r="IF178" s="1051"/>
      <c r="IG178" s="1051"/>
      <c r="IH178" s="1051"/>
      <c r="II178" s="1051"/>
      <c r="IJ178" s="1051"/>
      <c r="IK178" s="1051"/>
      <c r="IL178" s="1051"/>
      <c r="IM178" s="1051"/>
      <c r="IN178" s="1051"/>
      <c r="IO178" s="1051"/>
      <c r="IP178" s="1051"/>
      <c r="IQ178" s="1051"/>
      <c r="IR178" s="1051"/>
      <c r="IS178" s="1051"/>
      <c r="IT178" s="1051"/>
      <c r="IU178" s="1051"/>
      <c r="IV178" s="1051"/>
    </row>
    <row r="179" spans="1:256" x14ac:dyDescent="0.2">
      <c r="A179" s="1549" t="s">
        <v>73</v>
      </c>
      <c r="B179" s="1569"/>
      <c r="C179" s="1046">
        <f>C175+C178</f>
        <v>908000</v>
      </c>
      <c r="D179" s="1046">
        <f>D175+D178</f>
        <v>908000</v>
      </c>
      <c r="E179" s="1046">
        <f>E175+E178</f>
        <v>82364</v>
      </c>
      <c r="F179" s="1047">
        <f t="shared" si="8"/>
        <v>9.0709251101321581E-2</v>
      </c>
    </row>
    <row r="180" spans="1:256" x14ac:dyDescent="0.2">
      <c r="A180" s="1552" t="s">
        <v>178</v>
      </c>
      <c r="B180" s="1553"/>
      <c r="C180" s="1553"/>
      <c r="D180" s="1553"/>
      <c r="E180" s="1553"/>
      <c r="F180" s="1554"/>
    </row>
    <row r="181" spans="1:256" x14ac:dyDescent="0.2">
      <c r="A181" s="1065" t="s">
        <v>70</v>
      </c>
      <c r="B181" s="1066" t="s">
        <v>71</v>
      </c>
      <c r="C181" s="1038" t="s">
        <v>687</v>
      </c>
      <c r="D181" s="1038" t="s">
        <v>688</v>
      </c>
      <c r="E181" s="1039" t="s">
        <v>689</v>
      </c>
      <c r="F181" s="1040" t="s">
        <v>690</v>
      </c>
    </row>
    <row r="182" spans="1:256" x14ac:dyDescent="0.2">
      <c r="A182" s="1041" t="s">
        <v>771</v>
      </c>
      <c r="B182" s="1042" t="s">
        <v>772</v>
      </c>
      <c r="C182" s="1043">
        <v>840000</v>
      </c>
      <c r="D182" s="1052">
        <v>840000</v>
      </c>
      <c r="E182" s="1052">
        <v>800000</v>
      </c>
      <c r="F182" s="1045">
        <f>E182/D182</f>
        <v>0.95238095238095233</v>
      </c>
    </row>
    <row r="183" spans="1:256" x14ac:dyDescent="0.2">
      <c r="A183" s="1548" t="s">
        <v>95</v>
      </c>
      <c r="B183" s="1559"/>
      <c r="C183" s="1043">
        <f>SUM(C182)</f>
        <v>840000</v>
      </c>
      <c r="D183" s="1043">
        <f>SUM(D182)</f>
        <v>840000</v>
      </c>
      <c r="E183" s="1043">
        <f>SUM(E182)</f>
        <v>800000</v>
      </c>
      <c r="F183" s="1045">
        <f t="shared" ref="F183:F189" si="9">E183/D183</f>
        <v>0.95238095238095233</v>
      </c>
      <c r="G183" s="1051"/>
      <c r="H183" s="1051"/>
      <c r="I183" s="1051"/>
      <c r="J183" s="1051"/>
      <c r="K183" s="1051"/>
      <c r="L183" s="1051"/>
      <c r="M183" s="1051"/>
      <c r="N183" s="1051"/>
      <c r="O183" s="1051"/>
      <c r="P183" s="1051"/>
      <c r="Q183" s="1051"/>
      <c r="R183" s="1051"/>
      <c r="S183" s="1051"/>
      <c r="T183" s="1051"/>
      <c r="U183" s="1051"/>
      <c r="V183" s="1051"/>
      <c r="W183" s="1051"/>
      <c r="X183" s="1051"/>
      <c r="Y183" s="1051"/>
      <c r="Z183" s="1051"/>
      <c r="AA183" s="1051"/>
      <c r="AB183" s="1051"/>
      <c r="AC183" s="1051"/>
      <c r="AD183" s="1051"/>
      <c r="AE183" s="1051"/>
      <c r="AF183" s="1051"/>
      <c r="AG183" s="1051"/>
      <c r="AH183" s="1051"/>
      <c r="AI183" s="1051"/>
      <c r="AJ183" s="1051"/>
      <c r="AK183" s="1051"/>
      <c r="AL183" s="1051"/>
      <c r="AM183" s="1051"/>
      <c r="AN183" s="1051"/>
      <c r="AO183" s="1051"/>
      <c r="AP183" s="1051"/>
      <c r="AQ183" s="1051"/>
      <c r="AR183" s="1051"/>
      <c r="AS183" s="1051"/>
      <c r="AT183" s="1051"/>
      <c r="AU183" s="1051"/>
      <c r="AV183" s="1051"/>
      <c r="AW183" s="1051"/>
      <c r="AX183" s="1051"/>
      <c r="AY183" s="1051"/>
      <c r="AZ183" s="1051"/>
      <c r="BA183" s="1051"/>
      <c r="BB183" s="1051"/>
      <c r="BC183" s="1051"/>
      <c r="BD183" s="1051"/>
      <c r="BE183" s="1051"/>
      <c r="BF183" s="1051"/>
      <c r="BG183" s="1051"/>
      <c r="BH183" s="1051"/>
      <c r="BI183" s="1051"/>
      <c r="BJ183" s="1051"/>
      <c r="BK183" s="1051"/>
      <c r="BL183" s="1051"/>
      <c r="BM183" s="1051"/>
      <c r="BN183" s="1051"/>
      <c r="BO183" s="1051"/>
      <c r="BP183" s="1051"/>
      <c r="BQ183" s="1051"/>
      <c r="BR183" s="1051"/>
      <c r="BS183" s="1051"/>
      <c r="BT183" s="1051"/>
      <c r="BU183" s="1051"/>
      <c r="BV183" s="1051"/>
      <c r="BW183" s="1051"/>
      <c r="BX183" s="1051"/>
      <c r="BY183" s="1051"/>
      <c r="BZ183" s="1051"/>
      <c r="CA183" s="1051"/>
      <c r="CB183" s="1051"/>
      <c r="CC183" s="1051"/>
      <c r="CD183" s="1051"/>
      <c r="CE183" s="1051"/>
      <c r="CF183" s="1051"/>
      <c r="CG183" s="1051"/>
      <c r="CH183" s="1051"/>
      <c r="CI183" s="1051"/>
      <c r="CJ183" s="1051"/>
      <c r="CK183" s="1051"/>
      <c r="CL183" s="1051"/>
      <c r="CM183" s="1051"/>
      <c r="CN183" s="1051"/>
      <c r="CO183" s="1051"/>
      <c r="CP183" s="1051"/>
      <c r="CQ183" s="1051"/>
      <c r="CR183" s="1051"/>
      <c r="CS183" s="1051"/>
      <c r="CT183" s="1051"/>
      <c r="CU183" s="1051"/>
      <c r="CV183" s="1051"/>
      <c r="CW183" s="1051"/>
      <c r="CX183" s="1051"/>
      <c r="CY183" s="1051"/>
      <c r="CZ183" s="1051"/>
      <c r="DA183" s="1051"/>
      <c r="DB183" s="1051"/>
      <c r="DC183" s="1051"/>
      <c r="DD183" s="1051"/>
      <c r="DE183" s="1051"/>
      <c r="DF183" s="1051"/>
      <c r="DG183" s="1051"/>
      <c r="DH183" s="1051"/>
      <c r="DI183" s="1051"/>
      <c r="DJ183" s="1051"/>
      <c r="DK183" s="1051"/>
      <c r="DL183" s="1051"/>
      <c r="DM183" s="1051"/>
      <c r="DN183" s="1051"/>
      <c r="DO183" s="1051"/>
      <c r="DP183" s="1051"/>
      <c r="DQ183" s="1051"/>
      <c r="DR183" s="1051"/>
      <c r="DS183" s="1051"/>
      <c r="DT183" s="1051"/>
      <c r="DU183" s="1051"/>
      <c r="DV183" s="1051"/>
      <c r="DW183" s="1051"/>
      <c r="DX183" s="1051"/>
      <c r="DY183" s="1051"/>
      <c r="DZ183" s="1051"/>
      <c r="EA183" s="1051"/>
      <c r="EB183" s="1051"/>
      <c r="EC183" s="1051"/>
      <c r="ED183" s="1051"/>
      <c r="EE183" s="1051"/>
      <c r="EF183" s="1051"/>
      <c r="EG183" s="1051"/>
      <c r="EH183" s="1051"/>
      <c r="EI183" s="1051"/>
      <c r="EJ183" s="1051"/>
      <c r="EK183" s="1051"/>
      <c r="EL183" s="1051"/>
      <c r="EM183" s="1051"/>
      <c r="EN183" s="1051"/>
      <c r="EO183" s="1051"/>
      <c r="EP183" s="1051"/>
      <c r="EQ183" s="1051"/>
      <c r="ER183" s="1051"/>
      <c r="ES183" s="1051"/>
      <c r="ET183" s="1051"/>
      <c r="EU183" s="1051"/>
      <c r="EV183" s="1051"/>
      <c r="EW183" s="1051"/>
      <c r="EX183" s="1051"/>
      <c r="EY183" s="1051"/>
      <c r="EZ183" s="1051"/>
      <c r="FA183" s="1051"/>
      <c r="FB183" s="1051"/>
      <c r="FC183" s="1051"/>
      <c r="FD183" s="1051"/>
      <c r="FE183" s="1051"/>
      <c r="FF183" s="1051"/>
      <c r="FG183" s="1051"/>
      <c r="FH183" s="1051"/>
      <c r="FI183" s="1051"/>
      <c r="FJ183" s="1051"/>
      <c r="FK183" s="1051"/>
      <c r="FL183" s="1051"/>
      <c r="FM183" s="1051"/>
      <c r="FN183" s="1051"/>
      <c r="FO183" s="1051"/>
      <c r="FP183" s="1051"/>
      <c r="FQ183" s="1051"/>
      <c r="FR183" s="1051"/>
      <c r="FS183" s="1051"/>
      <c r="FT183" s="1051"/>
      <c r="FU183" s="1051"/>
      <c r="FV183" s="1051"/>
      <c r="FW183" s="1051"/>
      <c r="FX183" s="1051"/>
      <c r="FY183" s="1051"/>
      <c r="FZ183" s="1051"/>
      <c r="GA183" s="1051"/>
      <c r="GB183" s="1051"/>
      <c r="GC183" s="1051"/>
      <c r="GD183" s="1051"/>
      <c r="GE183" s="1051"/>
      <c r="GF183" s="1051"/>
      <c r="GG183" s="1051"/>
      <c r="GH183" s="1051"/>
      <c r="GI183" s="1051"/>
      <c r="GJ183" s="1051"/>
      <c r="GK183" s="1051"/>
      <c r="GL183" s="1051"/>
      <c r="GM183" s="1051"/>
      <c r="GN183" s="1051"/>
      <c r="GO183" s="1051"/>
      <c r="GP183" s="1051"/>
      <c r="GQ183" s="1051"/>
      <c r="GR183" s="1051"/>
      <c r="GS183" s="1051"/>
      <c r="GT183" s="1051"/>
      <c r="GU183" s="1051"/>
      <c r="GV183" s="1051"/>
      <c r="GW183" s="1051"/>
      <c r="GX183" s="1051"/>
      <c r="GY183" s="1051"/>
      <c r="GZ183" s="1051"/>
      <c r="HA183" s="1051"/>
      <c r="HB183" s="1051"/>
      <c r="HC183" s="1051"/>
      <c r="HD183" s="1051"/>
      <c r="HE183" s="1051"/>
      <c r="HF183" s="1051"/>
      <c r="HG183" s="1051"/>
      <c r="HH183" s="1051"/>
      <c r="HI183" s="1051"/>
      <c r="HJ183" s="1051"/>
      <c r="HK183" s="1051"/>
      <c r="HL183" s="1051"/>
      <c r="HM183" s="1051"/>
      <c r="HN183" s="1051"/>
      <c r="HO183" s="1051"/>
      <c r="HP183" s="1051"/>
      <c r="HQ183" s="1051"/>
      <c r="HR183" s="1051"/>
      <c r="HS183" s="1051"/>
      <c r="HT183" s="1051"/>
      <c r="HU183" s="1051"/>
      <c r="HV183" s="1051"/>
      <c r="HW183" s="1051"/>
      <c r="HX183" s="1051"/>
      <c r="HY183" s="1051"/>
      <c r="HZ183" s="1051"/>
      <c r="IA183" s="1051"/>
      <c r="IB183" s="1051"/>
      <c r="IC183" s="1051"/>
      <c r="ID183" s="1051"/>
      <c r="IE183" s="1051"/>
      <c r="IF183" s="1051"/>
      <c r="IG183" s="1051"/>
      <c r="IH183" s="1051"/>
      <c r="II183" s="1051"/>
      <c r="IJ183" s="1051"/>
      <c r="IK183" s="1051"/>
      <c r="IL183" s="1051"/>
      <c r="IM183" s="1051"/>
      <c r="IN183" s="1051"/>
      <c r="IO183" s="1051"/>
      <c r="IP183" s="1051"/>
      <c r="IQ183" s="1051"/>
      <c r="IR183" s="1051"/>
      <c r="IS183" s="1051"/>
      <c r="IT183" s="1051"/>
      <c r="IU183" s="1051"/>
      <c r="IV183" s="1051"/>
    </row>
    <row r="184" spans="1:256" x14ac:dyDescent="0.2">
      <c r="A184" s="1549" t="s">
        <v>74</v>
      </c>
      <c r="B184" s="1569"/>
      <c r="C184" s="1046">
        <f>C183</f>
        <v>840000</v>
      </c>
      <c r="D184" s="1046">
        <f>D183</f>
        <v>840000</v>
      </c>
      <c r="E184" s="1046">
        <f>E183</f>
        <v>800000</v>
      </c>
      <c r="F184" s="1047">
        <f t="shared" si="9"/>
        <v>0.95238095238095233</v>
      </c>
    </row>
    <row r="185" spans="1:256" x14ac:dyDescent="0.2">
      <c r="A185" s="1041" t="s">
        <v>698</v>
      </c>
      <c r="B185" s="1042" t="s">
        <v>29</v>
      </c>
      <c r="C185" s="1043">
        <v>50000</v>
      </c>
      <c r="D185" s="1043">
        <v>50000</v>
      </c>
      <c r="E185" s="1052">
        <v>39600</v>
      </c>
      <c r="F185" s="1045">
        <f t="shared" si="9"/>
        <v>0.79200000000000004</v>
      </c>
    </row>
    <row r="186" spans="1:256" x14ac:dyDescent="0.2">
      <c r="A186" s="1548" t="s">
        <v>168</v>
      </c>
      <c r="B186" s="1559"/>
      <c r="C186" s="1043">
        <f>SUM(C185)</f>
        <v>50000</v>
      </c>
      <c r="D186" s="1043">
        <f>SUM(D185)</f>
        <v>50000</v>
      </c>
      <c r="E186" s="1043">
        <f>SUM(E185)</f>
        <v>39600</v>
      </c>
      <c r="F186" s="1045">
        <f t="shared" si="9"/>
        <v>0.79200000000000004</v>
      </c>
    </row>
    <row r="187" spans="1:256" x14ac:dyDescent="0.2">
      <c r="A187" s="1041" t="s">
        <v>773</v>
      </c>
      <c r="B187" s="1042" t="s">
        <v>774</v>
      </c>
      <c r="C187" s="1043">
        <v>1000000</v>
      </c>
      <c r="D187" s="1043">
        <v>1200000</v>
      </c>
      <c r="E187" s="1052">
        <v>1200000</v>
      </c>
      <c r="F187" s="1045">
        <f t="shared" si="9"/>
        <v>1</v>
      </c>
    </row>
    <row r="188" spans="1:256" x14ac:dyDescent="0.2">
      <c r="A188" s="1548" t="s">
        <v>179</v>
      </c>
      <c r="B188" s="1559"/>
      <c r="C188" s="1043">
        <f>SUM(C187)</f>
        <v>1000000</v>
      </c>
      <c r="D188" s="1043">
        <f>SUM(D187)</f>
        <v>1200000</v>
      </c>
      <c r="E188" s="1043">
        <f>SUM(E187)</f>
        <v>1200000</v>
      </c>
      <c r="F188" s="1045">
        <f t="shared" si="9"/>
        <v>1</v>
      </c>
      <c r="G188" s="1051"/>
      <c r="H188" s="1051"/>
      <c r="I188" s="1051"/>
      <c r="J188" s="1051"/>
      <c r="K188" s="1051"/>
      <c r="L188" s="1051"/>
      <c r="M188" s="1051"/>
      <c r="N188" s="1051"/>
      <c r="O188" s="1051"/>
      <c r="P188" s="1051"/>
      <c r="Q188" s="1051"/>
      <c r="R188" s="1051"/>
      <c r="S188" s="1051"/>
      <c r="T188" s="1051"/>
      <c r="U188" s="1051"/>
      <c r="V188" s="1051"/>
      <c r="W188" s="1051"/>
      <c r="X188" s="1051"/>
      <c r="Y188" s="1051"/>
      <c r="Z188" s="1051"/>
      <c r="AA188" s="1051"/>
      <c r="AB188" s="1051"/>
      <c r="AC188" s="1051"/>
      <c r="AD188" s="1051"/>
      <c r="AE188" s="1051"/>
      <c r="AF188" s="1051"/>
      <c r="AG188" s="1051"/>
      <c r="AH188" s="1051"/>
      <c r="AI188" s="1051"/>
      <c r="AJ188" s="1051"/>
      <c r="AK188" s="1051"/>
      <c r="AL188" s="1051"/>
      <c r="AM188" s="1051"/>
      <c r="AN188" s="1051"/>
      <c r="AO188" s="1051"/>
      <c r="AP188" s="1051"/>
      <c r="AQ188" s="1051"/>
      <c r="AR188" s="1051"/>
      <c r="AS188" s="1051"/>
      <c r="AT188" s="1051"/>
      <c r="AU188" s="1051"/>
      <c r="AV188" s="1051"/>
      <c r="AW188" s="1051"/>
      <c r="AX188" s="1051"/>
      <c r="AY188" s="1051"/>
      <c r="AZ188" s="1051"/>
      <c r="BA188" s="1051"/>
      <c r="BB188" s="1051"/>
      <c r="BC188" s="1051"/>
      <c r="BD188" s="1051"/>
      <c r="BE188" s="1051"/>
      <c r="BF188" s="1051"/>
      <c r="BG188" s="1051"/>
      <c r="BH188" s="1051"/>
      <c r="BI188" s="1051"/>
      <c r="BJ188" s="1051"/>
      <c r="BK188" s="1051"/>
      <c r="BL188" s="1051"/>
      <c r="BM188" s="1051"/>
      <c r="BN188" s="1051"/>
      <c r="BO188" s="1051"/>
      <c r="BP188" s="1051"/>
      <c r="BQ188" s="1051"/>
      <c r="BR188" s="1051"/>
      <c r="BS188" s="1051"/>
      <c r="BT188" s="1051"/>
      <c r="BU188" s="1051"/>
      <c r="BV188" s="1051"/>
      <c r="BW188" s="1051"/>
      <c r="BX188" s="1051"/>
      <c r="BY188" s="1051"/>
      <c r="BZ188" s="1051"/>
      <c r="CA188" s="1051"/>
      <c r="CB188" s="1051"/>
      <c r="CC188" s="1051"/>
      <c r="CD188" s="1051"/>
      <c r="CE188" s="1051"/>
      <c r="CF188" s="1051"/>
      <c r="CG188" s="1051"/>
      <c r="CH188" s="1051"/>
      <c r="CI188" s="1051"/>
      <c r="CJ188" s="1051"/>
      <c r="CK188" s="1051"/>
      <c r="CL188" s="1051"/>
      <c r="CM188" s="1051"/>
      <c r="CN188" s="1051"/>
      <c r="CO188" s="1051"/>
      <c r="CP188" s="1051"/>
      <c r="CQ188" s="1051"/>
      <c r="CR188" s="1051"/>
      <c r="CS188" s="1051"/>
      <c r="CT188" s="1051"/>
      <c r="CU188" s="1051"/>
      <c r="CV188" s="1051"/>
      <c r="CW188" s="1051"/>
      <c r="CX188" s="1051"/>
      <c r="CY188" s="1051"/>
      <c r="CZ188" s="1051"/>
      <c r="DA188" s="1051"/>
      <c r="DB188" s="1051"/>
      <c r="DC188" s="1051"/>
      <c r="DD188" s="1051"/>
      <c r="DE188" s="1051"/>
      <c r="DF188" s="1051"/>
      <c r="DG188" s="1051"/>
      <c r="DH188" s="1051"/>
      <c r="DI188" s="1051"/>
      <c r="DJ188" s="1051"/>
      <c r="DK188" s="1051"/>
      <c r="DL188" s="1051"/>
      <c r="DM188" s="1051"/>
      <c r="DN188" s="1051"/>
      <c r="DO188" s="1051"/>
      <c r="DP188" s="1051"/>
      <c r="DQ188" s="1051"/>
      <c r="DR188" s="1051"/>
      <c r="DS188" s="1051"/>
      <c r="DT188" s="1051"/>
      <c r="DU188" s="1051"/>
      <c r="DV188" s="1051"/>
      <c r="DW188" s="1051"/>
      <c r="DX188" s="1051"/>
      <c r="DY188" s="1051"/>
      <c r="DZ188" s="1051"/>
      <c r="EA188" s="1051"/>
      <c r="EB188" s="1051"/>
      <c r="EC188" s="1051"/>
      <c r="ED188" s="1051"/>
      <c r="EE188" s="1051"/>
      <c r="EF188" s="1051"/>
      <c r="EG188" s="1051"/>
      <c r="EH188" s="1051"/>
      <c r="EI188" s="1051"/>
      <c r="EJ188" s="1051"/>
      <c r="EK188" s="1051"/>
      <c r="EL188" s="1051"/>
      <c r="EM188" s="1051"/>
      <c r="EN188" s="1051"/>
      <c r="EO188" s="1051"/>
      <c r="EP188" s="1051"/>
      <c r="EQ188" s="1051"/>
      <c r="ER188" s="1051"/>
      <c r="ES188" s="1051"/>
      <c r="ET188" s="1051"/>
      <c r="EU188" s="1051"/>
      <c r="EV188" s="1051"/>
      <c r="EW188" s="1051"/>
      <c r="EX188" s="1051"/>
      <c r="EY188" s="1051"/>
      <c r="EZ188" s="1051"/>
      <c r="FA188" s="1051"/>
      <c r="FB188" s="1051"/>
      <c r="FC188" s="1051"/>
      <c r="FD188" s="1051"/>
      <c r="FE188" s="1051"/>
      <c r="FF188" s="1051"/>
      <c r="FG188" s="1051"/>
      <c r="FH188" s="1051"/>
      <c r="FI188" s="1051"/>
      <c r="FJ188" s="1051"/>
      <c r="FK188" s="1051"/>
      <c r="FL188" s="1051"/>
      <c r="FM188" s="1051"/>
      <c r="FN188" s="1051"/>
      <c r="FO188" s="1051"/>
      <c r="FP188" s="1051"/>
      <c r="FQ188" s="1051"/>
      <c r="FR188" s="1051"/>
      <c r="FS188" s="1051"/>
      <c r="FT188" s="1051"/>
      <c r="FU188" s="1051"/>
      <c r="FV188" s="1051"/>
      <c r="FW188" s="1051"/>
      <c r="FX188" s="1051"/>
      <c r="FY188" s="1051"/>
      <c r="FZ188" s="1051"/>
      <c r="GA188" s="1051"/>
      <c r="GB188" s="1051"/>
      <c r="GC188" s="1051"/>
      <c r="GD188" s="1051"/>
      <c r="GE188" s="1051"/>
      <c r="GF188" s="1051"/>
      <c r="GG188" s="1051"/>
      <c r="GH188" s="1051"/>
      <c r="GI188" s="1051"/>
      <c r="GJ188" s="1051"/>
      <c r="GK188" s="1051"/>
      <c r="GL188" s="1051"/>
      <c r="GM188" s="1051"/>
      <c r="GN188" s="1051"/>
      <c r="GO188" s="1051"/>
      <c r="GP188" s="1051"/>
      <c r="GQ188" s="1051"/>
      <c r="GR188" s="1051"/>
      <c r="GS188" s="1051"/>
      <c r="GT188" s="1051"/>
      <c r="GU188" s="1051"/>
      <c r="GV188" s="1051"/>
      <c r="GW188" s="1051"/>
      <c r="GX188" s="1051"/>
      <c r="GY188" s="1051"/>
      <c r="GZ188" s="1051"/>
      <c r="HA188" s="1051"/>
      <c r="HB188" s="1051"/>
      <c r="HC188" s="1051"/>
      <c r="HD188" s="1051"/>
      <c r="HE188" s="1051"/>
      <c r="HF188" s="1051"/>
      <c r="HG188" s="1051"/>
      <c r="HH188" s="1051"/>
      <c r="HI188" s="1051"/>
      <c r="HJ188" s="1051"/>
      <c r="HK188" s="1051"/>
      <c r="HL188" s="1051"/>
      <c r="HM188" s="1051"/>
      <c r="HN188" s="1051"/>
      <c r="HO188" s="1051"/>
      <c r="HP188" s="1051"/>
      <c r="HQ188" s="1051"/>
      <c r="HR188" s="1051"/>
      <c r="HS188" s="1051"/>
      <c r="HT188" s="1051"/>
      <c r="HU188" s="1051"/>
      <c r="HV188" s="1051"/>
      <c r="HW188" s="1051"/>
      <c r="HX188" s="1051"/>
      <c r="HY188" s="1051"/>
      <c r="HZ188" s="1051"/>
      <c r="IA188" s="1051"/>
      <c r="IB188" s="1051"/>
      <c r="IC188" s="1051"/>
      <c r="ID188" s="1051"/>
      <c r="IE188" s="1051"/>
      <c r="IF188" s="1051"/>
      <c r="IG188" s="1051"/>
      <c r="IH188" s="1051"/>
      <c r="II188" s="1051"/>
      <c r="IJ188" s="1051"/>
      <c r="IK188" s="1051"/>
      <c r="IL188" s="1051"/>
      <c r="IM188" s="1051"/>
      <c r="IN188" s="1051"/>
      <c r="IO188" s="1051"/>
      <c r="IP188" s="1051"/>
      <c r="IQ188" s="1051"/>
      <c r="IR188" s="1051"/>
      <c r="IS188" s="1051"/>
      <c r="IT188" s="1051"/>
      <c r="IU188" s="1051"/>
      <c r="IV188" s="1051"/>
    </row>
    <row r="189" spans="1:256" x14ac:dyDescent="0.2">
      <c r="A189" s="1549" t="s">
        <v>73</v>
      </c>
      <c r="B189" s="1569"/>
      <c r="C189" s="1046">
        <f>SUM(C186+C188)</f>
        <v>1050000</v>
      </c>
      <c r="D189" s="1046">
        <f>SUM(D186+D188)</f>
        <v>1250000</v>
      </c>
      <c r="E189" s="1046">
        <f>SUM(E186+E188)</f>
        <v>1239600</v>
      </c>
      <c r="F189" s="1047">
        <f t="shared" si="9"/>
        <v>0.99168000000000001</v>
      </c>
    </row>
    <row r="190" spans="1:256" x14ac:dyDescent="0.2">
      <c r="A190" s="1552" t="s">
        <v>229</v>
      </c>
      <c r="B190" s="1553"/>
      <c r="C190" s="1553"/>
      <c r="D190" s="1553"/>
      <c r="E190" s="1553"/>
      <c r="F190" s="1554"/>
    </row>
    <row r="191" spans="1:256" x14ac:dyDescent="0.2">
      <c r="A191" s="1065" t="s">
        <v>70</v>
      </c>
      <c r="B191" s="1066" t="s">
        <v>71</v>
      </c>
      <c r="C191" s="1038" t="s">
        <v>687</v>
      </c>
      <c r="D191" s="1038" t="s">
        <v>688</v>
      </c>
      <c r="E191" s="1039" t="s">
        <v>689</v>
      </c>
      <c r="F191" s="1040" t="s">
        <v>690</v>
      </c>
    </row>
    <row r="192" spans="1:256" x14ac:dyDescent="0.2">
      <c r="A192" s="1041" t="s">
        <v>760</v>
      </c>
      <c r="B192" s="1092" t="s">
        <v>775</v>
      </c>
      <c r="C192" s="1043">
        <v>4305000</v>
      </c>
      <c r="D192" s="1093">
        <v>4305000</v>
      </c>
      <c r="E192" s="1094">
        <v>0</v>
      </c>
      <c r="F192" s="1045">
        <f>E192/D192</f>
        <v>0</v>
      </c>
    </row>
    <row r="193" spans="1:6" x14ac:dyDescent="0.2">
      <c r="A193" s="1548" t="s">
        <v>51</v>
      </c>
      <c r="B193" s="1559"/>
      <c r="C193" s="1043">
        <f>SUM(C192:C192)</f>
        <v>4305000</v>
      </c>
      <c r="D193" s="1043">
        <f>SUM(D192:D192)</f>
        <v>4305000</v>
      </c>
      <c r="E193" s="1043">
        <f>SUM(E192:E192)</f>
        <v>0</v>
      </c>
      <c r="F193" s="1045">
        <f t="shared" ref="F193:F203" si="10">E193/D193</f>
        <v>0</v>
      </c>
    </row>
    <row r="194" spans="1:6" x14ac:dyDescent="0.2">
      <c r="A194" s="1549" t="s">
        <v>74</v>
      </c>
      <c r="B194" s="1569"/>
      <c r="C194" s="1046">
        <f>C193</f>
        <v>4305000</v>
      </c>
      <c r="D194" s="1046">
        <f>D193</f>
        <v>4305000</v>
      </c>
      <c r="E194" s="1046">
        <f>E193</f>
        <v>0</v>
      </c>
      <c r="F194" s="1047">
        <f t="shared" si="10"/>
        <v>0</v>
      </c>
    </row>
    <row r="195" spans="1:6" x14ac:dyDescent="0.2">
      <c r="A195" s="1041" t="s">
        <v>697</v>
      </c>
      <c r="B195" s="1042" t="s">
        <v>603</v>
      </c>
      <c r="C195" s="1043">
        <v>0</v>
      </c>
      <c r="D195" s="1095">
        <v>70000</v>
      </c>
      <c r="E195" s="1094">
        <v>70000</v>
      </c>
      <c r="F195" s="1045">
        <f t="shared" si="10"/>
        <v>1</v>
      </c>
    </row>
    <row r="196" spans="1:6" x14ac:dyDescent="0.2">
      <c r="A196" s="1548" t="s">
        <v>168</v>
      </c>
      <c r="B196" s="1559"/>
      <c r="C196" s="1043">
        <f>SUM(C195)</f>
        <v>0</v>
      </c>
      <c r="D196" s="1043">
        <f>SUM(D195)</f>
        <v>70000</v>
      </c>
      <c r="E196" s="1043">
        <f>SUM(E195)</f>
        <v>70000</v>
      </c>
      <c r="F196" s="1045">
        <f t="shared" si="10"/>
        <v>1</v>
      </c>
    </row>
    <row r="197" spans="1:6" x14ac:dyDescent="0.2">
      <c r="A197" s="1096" t="s">
        <v>776</v>
      </c>
      <c r="B197" s="801" t="s">
        <v>777</v>
      </c>
      <c r="C197" s="1052">
        <v>0</v>
      </c>
      <c r="D197" s="1052">
        <v>13318000</v>
      </c>
      <c r="E197" s="1052">
        <v>13110217</v>
      </c>
      <c r="F197" s="1045">
        <f t="shared" si="10"/>
        <v>0.98439833308304547</v>
      </c>
    </row>
    <row r="198" spans="1:6" x14ac:dyDescent="0.2">
      <c r="A198" s="1096" t="s">
        <v>611</v>
      </c>
      <c r="B198" s="801" t="s">
        <v>767</v>
      </c>
      <c r="C198" s="1052">
        <v>5000000</v>
      </c>
      <c r="D198" s="1052">
        <v>5000000</v>
      </c>
      <c r="E198" s="1052">
        <v>4086300</v>
      </c>
      <c r="F198" s="1045">
        <f t="shared" si="10"/>
        <v>0.81725999999999999</v>
      </c>
    </row>
    <row r="199" spans="1:6" x14ac:dyDescent="0.2">
      <c r="A199" s="1096" t="s">
        <v>613</v>
      </c>
      <c r="B199" s="801" t="s">
        <v>723</v>
      </c>
      <c r="C199" s="1052">
        <v>1350000</v>
      </c>
      <c r="D199" s="1052">
        <v>4757000</v>
      </c>
      <c r="E199" s="1052">
        <v>4310047</v>
      </c>
      <c r="F199" s="1045">
        <f t="shared" si="10"/>
        <v>0.90604309438721886</v>
      </c>
    </row>
    <row r="200" spans="1:6" x14ac:dyDescent="0.2">
      <c r="A200" s="1572" t="s">
        <v>12</v>
      </c>
      <c r="B200" s="1573"/>
      <c r="C200" s="1052">
        <f>SUM(C197:C199)</f>
        <v>6350000</v>
      </c>
      <c r="D200" s="1052">
        <f>SUM(D197:D199)</f>
        <v>23075000</v>
      </c>
      <c r="E200" s="1052">
        <f>SUM(E197:E199)</f>
        <v>21506564</v>
      </c>
      <c r="F200" s="1045">
        <f t="shared" si="10"/>
        <v>0.93202877573131093</v>
      </c>
    </row>
    <row r="201" spans="1:6" x14ac:dyDescent="0.2">
      <c r="A201" s="1096" t="s">
        <v>614</v>
      </c>
      <c r="B201" s="801" t="s">
        <v>265</v>
      </c>
      <c r="C201" s="1052">
        <v>12618000</v>
      </c>
      <c r="D201" s="1052">
        <v>614600</v>
      </c>
      <c r="E201" s="1052">
        <v>614600</v>
      </c>
      <c r="F201" s="1045">
        <f t="shared" si="10"/>
        <v>1</v>
      </c>
    </row>
    <row r="202" spans="1:6" x14ac:dyDescent="0.2">
      <c r="A202" s="1096" t="s">
        <v>615</v>
      </c>
      <c r="B202" s="801" t="s">
        <v>712</v>
      </c>
      <c r="C202" s="1052">
        <v>3407000</v>
      </c>
      <c r="D202" s="1052">
        <v>0</v>
      </c>
      <c r="E202" s="1052">
        <v>0</v>
      </c>
      <c r="F202" s="1045" t="s">
        <v>446</v>
      </c>
    </row>
    <row r="203" spans="1:6" x14ac:dyDescent="0.2">
      <c r="A203" s="1572" t="s">
        <v>11</v>
      </c>
      <c r="B203" s="1573"/>
      <c r="C203" s="1052">
        <f>SUM(C201:C202)</f>
        <v>16025000</v>
      </c>
      <c r="D203" s="1052">
        <f>SUM(D201:D202)</f>
        <v>614600</v>
      </c>
      <c r="E203" s="1052">
        <f>SUM(E201:E202)</f>
        <v>614600</v>
      </c>
      <c r="F203" s="1045">
        <f t="shared" si="10"/>
        <v>1</v>
      </c>
    </row>
    <row r="204" spans="1:6" x14ac:dyDescent="0.2">
      <c r="A204" s="1549" t="s">
        <v>73</v>
      </c>
      <c r="B204" s="1569"/>
      <c r="C204" s="1046">
        <f>C196+C200+C203</f>
        <v>22375000</v>
      </c>
      <c r="D204" s="1046">
        <f>D196+D200+D203</f>
        <v>23759600</v>
      </c>
      <c r="E204" s="1046">
        <f>E196+E200+E203</f>
        <v>22191164</v>
      </c>
      <c r="F204" s="1045">
        <f>E204/D204</f>
        <v>0.93398727251300528</v>
      </c>
    </row>
    <row r="205" spans="1:6" x14ac:dyDescent="0.2">
      <c r="A205" s="1552" t="s">
        <v>180</v>
      </c>
      <c r="B205" s="1553"/>
      <c r="C205" s="1553"/>
      <c r="D205" s="1553"/>
      <c r="E205" s="1553"/>
      <c r="F205" s="1554"/>
    </row>
    <row r="206" spans="1:6" x14ac:dyDescent="0.2">
      <c r="A206" s="1065" t="s">
        <v>70</v>
      </c>
      <c r="B206" s="1066" t="s">
        <v>71</v>
      </c>
      <c r="C206" s="1038" t="s">
        <v>687</v>
      </c>
      <c r="D206" s="1038" t="s">
        <v>688</v>
      </c>
      <c r="E206" s="1039" t="s">
        <v>689</v>
      </c>
      <c r="F206" s="1040" t="s">
        <v>690</v>
      </c>
    </row>
    <row r="207" spans="1:6" x14ac:dyDescent="0.2">
      <c r="A207" s="1041" t="s">
        <v>708</v>
      </c>
      <c r="B207" s="1042" t="s">
        <v>778</v>
      </c>
      <c r="C207" s="1043">
        <v>1640000</v>
      </c>
      <c r="D207" s="1043">
        <v>1853000</v>
      </c>
      <c r="E207" s="1052">
        <v>1867374</v>
      </c>
      <c r="F207" s="1045">
        <f>E207/D207</f>
        <v>1.0077571505666487</v>
      </c>
    </row>
    <row r="208" spans="1:6" x14ac:dyDescent="0.2">
      <c r="A208" s="1041" t="s">
        <v>709</v>
      </c>
      <c r="B208" s="1042" t="s">
        <v>90</v>
      </c>
      <c r="C208" s="1043">
        <v>500000</v>
      </c>
      <c r="D208" s="1043">
        <v>797000</v>
      </c>
      <c r="E208" s="1052">
        <v>797700</v>
      </c>
      <c r="F208" s="1045">
        <f>E208/D208</f>
        <v>1.0008782936010037</v>
      </c>
    </row>
    <row r="209" spans="1:256" x14ac:dyDescent="0.2">
      <c r="A209" s="1041" t="s">
        <v>703</v>
      </c>
      <c r="B209" s="1042" t="s">
        <v>557</v>
      </c>
      <c r="C209" s="1043">
        <v>579000</v>
      </c>
      <c r="D209" s="1043">
        <v>709000</v>
      </c>
      <c r="E209" s="1052">
        <v>708059</v>
      </c>
      <c r="F209" s="1045">
        <f>E209/D209</f>
        <v>0.99867277856135406</v>
      </c>
    </row>
    <row r="210" spans="1:256" x14ac:dyDescent="0.2">
      <c r="A210" s="1548" t="s">
        <v>168</v>
      </c>
      <c r="B210" s="1559"/>
      <c r="C210" s="1043">
        <f>SUM(C207:C209)</f>
        <v>2719000</v>
      </c>
      <c r="D210" s="1043">
        <f>SUM(D207:D209)</f>
        <v>3359000</v>
      </c>
      <c r="E210" s="1043">
        <f>SUM(E207:E209)</f>
        <v>3373133</v>
      </c>
      <c r="F210" s="1045">
        <f>E210/D210</f>
        <v>1.0042075022328074</v>
      </c>
      <c r="G210" s="1051"/>
      <c r="H210" s="1051"/>
      <c r="I210" s="1051"/>
      <c r="J210" s="1051"/>
      <c r="K210" s="1051"/>
      <c r="L210" s="1051"/>
      <c r="M210" s="1051"/>
      <c r="N210" s="1051"/>
      <c r="O210" s="1051"/>
      <c r="P210" s="1051"/>
      <c r="Q210" s="1051"/>
      <c r="R210" s="1051"/>
      <c r="S210" s="1051"/>
      <c r="T210" s="1051"/>
      <c r="U210" s="1051"/>
      <c r="V210" s="1051"/>
      <c r="W210" s="1051"/>
      <c r="X210" s="1051"/>
      <c r="Y210" s="1051"/>
      <c r="Z210" s="1051"/>
      <c r="AA210" s="1051"/>
      <c r="AB210" s="1051"/>
      <c r="AC210" s="1051"/>
      <c r="AD210" s="1051"/>
      <c r="AE210" s="1051"/>
      <c r="AF210" s="1051"/>
      <c r="AG210" s="1051"/>
      <c r="AH210" s="1051"/>
      <c r="AI210" s="1051"/>
      <c r="AJ210" s="1051"/>
      <c r="AK210" s="1051"/>
      <c r="AL210" s="1051"/>
      <c r="AM210" s="1051"/>
      <c r="AN210" s="1051"/>
      <c r="AO210" s="1051"/>
      <c r="AP210" s="1051"/>
      <c r="AQ210" s="1051"/>
      <c r="AR210" s="1051"/>
      <c r="AS210" s="1051"/>
      <c r="AT210" s="1051"/>
      <c r="AU210" s="1051"/>
      <c r="AV210" s="1051"/>
      <c r="AW210" s="1051"/>
      <c r="AX210" s="1051"/>
      <c r="AY210" s="1051"/>
      <c r="AZ210" s="1051"/>
      <c r="BA210" s="1051"/>
      <c r="BB210" s="1051"/>
      <c r="BC210" s="1051"/>
      <c r="BD210" s="1051"/>
      <c r="BE210" s="1051"/>
      <c r="BF210" s="1051"/>
      <c r="BG210" s="1051"/>
      <c r="BH210" s="1051"/>
      <c r="BI210" s="1051"/>
      <c r="BJ210" s="1051"/>
      <c r="BK210" s="1051"/>
      <c r="BL210" s="1051"/>
      <c r="BM210" s="1051"/>
      <c r="BN210" s="1051"/>
      <c r="BO210" s="1051"/>
      <c r="BP210" s="1051"/>
      <c r="BQ210" s="1051"/>
      <c r="BR210" s="1051"/>
      <c r="BS210" s="1051"/>
      <c r="BT210" s="1051"/>
      <c r="BU210" s="1051"/>
      <c r="BV210" s="1051"/>
      <c r="BW210" s="1051"/>
      <c r="BX210" s="1051"/>
      <c r="BY210" s="1051"/>
      <c r="BZ210" s="1051"/>
      <c r="CA210" s="1051"/>
      <c r="CB210" s="1051"/>
      <c r="CC210" s="1051"/>
      <c r="CD210" s="1051"/>
      <c r="CE210" s="1051"/>
      <c r="CF210" s="1051"/>
      <c r="CG210" s="1051"/>
      <c r="CH210" s="1051"/>
      <c r="CI210" s="1051"/>
      <c r="CJ210" s="1051"/>
      <c r="CK210" s="1051"/>
      <c r="CL210" s="1051"/>
      <c r="CM210" s="1051"/>
      <c r="CN210" s="1051"/>
      <c r="CO210" s="1051"/>
      <c r="CP210" s="1051"/>
      <c r="CQ210" s="1051"/>
      <c r="CR210" s="1051"/>
      <c r="CS210" s="1051"/>
      <c r="CT210" s="1051"/>
      <c r="CU210" s="1051"/>
      <c r="CV210" s="1051"/>
      <c r="CW210" s="1051"/>
      <c r="CX210" s="1051"/>
      <c r="CY210" s="1051"/>
      <c r="CZ210" s="1051"/>
      <c r="DA210" s="1051"/>
      <c r="DB210" s="1051"/>
      <c r="DC210" s="1051"/>
      <c r="DD210" s="1051"/>
      <c r="DE210" s="1051"/>
      <c r="DF210" s="1051"/>
      <c r="DG210" s="1051"/>
      <c r="DH210" s="1051"/>
      <c r="DI210" s="1051"/>
      <c r="DJ210" s="1051"/>
      <c r="DK210" s="1051"/>
      <c r="DL210" s="1051"/>
      <c r="DM210" s="1051"/>
      <c r="DN210" s="1051"/>
      <c r="DO210" s="1051"/>
      <c r="DP210" s="1051"/>
      <c r="DQ210" s="1051"/>
      <c r="DR210" s="1051"/>
      <c r="DS210" s="1051"/>
      <c r="DT210" s="1051"/>
      <c r="DU210" s="1051"/>
      <c r="DV210" s="1051"/>
      <c r="DW210" s="1051"/>
      <c r="DX210" s="1051"/>
      <c r="DY210" s="1051"/>
      <c r="DZ210" s="1051"/>
      <c r="EA210" s="1051"/>
      <c r="EB210" s="1051"/>
      <c r="EC210" s="1051"/>
      <c r="ED210" s="1051"/>
      <c r="EE210" s="1051"/>
      <c r="EF210" s="1051"/>
      <c r="EG210" s="1051"/>
      <c r="EH210" s="1051"/>
      <c r="EI210" s="1051"/>
      <c r="EJ210" s="1051"/>
      <c r="EK210" s="1051"/>
      <c r="EL210" s="1051"/>
      <c r="EM210" s="1051"/>
      <c r="EN210" s="1051"/>
      <c r="EO210" s="1051"/>
      <c r="EP210" s="1051"/>
      <c r="EQ210" s="1051"/>
      <c r="ER210" s="1051"/>
      <c r="ES210" s="1051"/>
      <c r="ET210" s="1051"/>
      <c r="EU210" s="1051"/>
      <c r="EV210" s="1051"/>
      <c r="EW210" s="1051"/>
      <c r="EX210" s="1051"/>
      <c r="EY210" s="1051"/>
      <c r="EZ210" s="1051"/>
      <c r="FA210" s="1051"/>
      <c r="FB210" s="1051"/>
      <c r="FC210" s="1051"/>
      <c r="FD210" s="1051"/>
      <c r="FE210" s="1051"/>
      <c r="FF210" s="1051"/>
      <c r="FG210" s="1051"/>
      <c r="FH210" s="1051"/>
      <c r="FI210" s="1051"/>
      <c r="FJ210" s="1051"/>
      <c r="FK210" s="1051"/>
      <c r="FL210" s="1051"/>
      <c r="FM210" s="1051"/>
      <c r="FN210" s="1051"/>
      <c r="FO210" s="1051"/>
      <c r="FP210" s="1051"/>
      <c r="FQ210" s="1051"/>
      <c r="FR210" s="1051"/>
      <c r="FS210" s="1051"/>
      <c r="FT210" s="1051"/>
      <c r="FU210" s="1051"/>
      <c r="FV210" s="1051"/>
      <c r="FW210" s="1051"/>
      <c r="FX210" s="1051"/>
      <c r="FY210" s="1051"/>
      <c r="FZ210" s="1051"/>
      <c r="GA210" s="1051"/>
      <c r="GB210" s="1051"/>
      <c r="GC210" s="1051"/>
      <c r="GD210" s="1051"/>
      <c r="GE210" s="1051"/>
      <c r="GF210" s="1051"/>
      <c r="GG210" s="1051"/>
      <c r="GH210" s="1051"/>
      <c r="GI210" s="1051"/>
      <c r="GJ210" s="1051"/>
      <c r="GK210" s="1051"/>
      <c r="GL210" s="1051"/>
      <c r="GM210" s="1051"/>
      <c r="GN210" s="1051"/>
      <c r="GO210" s="1051"/>
      <c r="GP210" s="1051"/>
      <c r="GQ210" s="1051"/>
      <c r="GR210" s="1051"/>
      <c r="GS210" s="1051"/>
      <c r="GT210" s="1051"/>
      <c r="GU210" s="1051"/>
      <c r="GV210" s="1051"/>
      <c r="GW210" s="1051"/>
      <c r="GX210" s="1051"/>
      <c r="GY210" s="1051"/>
      <c r="GZ210" s="1051"/>
      <c r="HA210" s="1051"/>
      <c r="HB210" s="1051"/>
      <c r="HC210" s="1051"/>
      <c r="HD210" s="1051"/>
      <c r="HE210" s="1051"/>
      <c r="HF210" s="1051"/>
      <c r="HG210" s="1051"/>
      <c r="HH210" s="1051"/>
      <c r="HI210" s="1051"/>
      <c r="HJ210" s="1051"/>
      <c r="HK210" s="1051"/>
      <c r="HL210" s="1051"/>
      <c r="HM210" s="1051"/>
      <c r="HN210" s="1051"/>
      <c r="HO210" s="1051"/>
      <c r="HP210" s="1051"/>
      <c r="HQ210" s="1051"/>
      <c r="HR210" s="1051"/>
      <c r="HS210" s="1051"/>
      <c r="HT210" s="1051"/>
      <c r="HU210" s="1051"/>
      <c r="HV210" s="1051"/>
      <c r="HW210" s="1051"/>
      <c r="HX210" s="1051"/>
      <c r="HY210" s="1051"/>
      <c r="HZ210" s="1051"/>
      <c r="IA210" s="1051"/>
      <c r="IB210" s="1051"/>
      <c r="IC210" s="1051"/>
      <c r="ID210" s="1051"/>
      <c r="IE210" s="1051"/>
      <c r="IF210" s="1051"/>
      <c r="IG210" s="1051"/>
      <c r="IH210" s="1051"/>
      <c r="II210" s="1051"/>
      <c r="IJ210" s="1051"/>
      <c r="IK210" s="1051"/>
      <c r="IL210" s="1051"/>
      <c r="IM210" s="1051"/>
      <c r="IN210" s="1051"/>
      <c r="IO210" s="1051"/>
      <c r="IP210" s="1051"/>
      <c r="IQ210" s="1051"/>
      <c r="IR210" s="1051"/>
      <c r="IS210" s="1051"/>
      <c r="IT210" s="1051"/>
      <c r="IU210" s="1051"/>
      <c r="IV210" s="1051"/>
    </row>
    <row r="211" spans="1:256" x14ac:dyDescent="0.2">
      <c r="A211" s="1549" t="s">
        <v>73</v>
      </c>
      <c r="B211" s="1569"/>
      <c r="C211" s="1046">
        <f>C210</f>
        <v>2719000</v>
      </c>
      <c r="D211" s="1046">
        <f>D210</f>
        <v>3359000</v>
      </c>
      <c r="E211" s="1046">
        <f>E210</f>
        <v>3373133</v>
      </c>
      <c r="F211" s="1047">
        <f>E211/D211</f>
        <v>1.0042075022328074</v>
      </c>
    </row>
    <row r="212" spans="1:256" x14ac:dyDescent="0.2">
      <c r="A212" s="1552" t="s">
        <v>181</v>
      </c>
      <c r="B212" s="1553"/>
      <c r="C212" s="1553"/>
      <c r="D212" s="1553"/>
      <c r="E212" s="1553"/>
      <c r="F212" s="1554"/>
    </row>
    <row r="213" spans="1:256" x14ac:dyDescent="0.2">
      <c r="A213" s="1065" t="s">
        <v>70</v>
      </c>
      <c r="B213" s="1066" t="s">
        <v>71</v>
      </c>
      <c r="C213" s="1038" t="s">
        <v>687</v>
      </c>
      <c r="D213" s="1038" t="s">
        <v>688</v>
      </c>
      <c r="E213" s="1039" t="s">
        <v>689</v>
      </c>
      <c r="F213" s="1040" t="s">
        <v>690</v>
      </c>
    </row>
    <row r="214" spans="1:256" x14ac:dyDescent="0.2">
      <c r="A214" s="1097" t="s">
        <v>779</v>
      </c>
      <c r="B214" s="1098" t="s">
        <v>270</v>
      </c>
      <c r="C214" s="1043">
        <v>0</v>
      </c>
      <c r="D214" s="1043">
        <v>600000</v>
      </c>
      <c r="E214" s="1043">
        <v>600000</v>
      </c>
      <c r="F214" s="1099">
        <f>E214/D214</f>
        <v>1</v>
      </c>
    </row>
    <row r="215" spans="1:256" x14ac:dyDescent="0.2">
      <c r="A215" s="1570" t="s">
        <v>54</v>
      </c>
      <c r="B215" s="1571"/>
      <c r="C215" s="1043">
        <f t="shared" ref="C215:E216" si="11">SUM(C214)</f>
        <v>0</v>
      </c>
      <c r="D215" s="1043">
        <f t="shared" si="11"/>
        <v>600000</v>
      </c>
      <c r="E215" s="1043">
        <f t="shared" si="11"/>
        <v>600000</v>
      </c>
      <c r="F215" s="1099">
        <f t="shared" ref="F215:F227" si="12">E215/D215</f>
        <v>1</v>
      </c>
    </row>
    <row r="216" spans="1:256" x14ac:dyDescent="0.2">
      <c r="A216" s="1549" t="s">
        <v>74</v>
      </c>
      <c r="B216" s="1569"/>
      <c r="C216" s="1046">
        <f t="shared" si="11"/>
        <v>0</v>
      </c>
      <c r="D216" s="1046">
        <f t="shared" si="11"/>
        <v>600000</v>
      </c>
      <c r="E216" s="1046">
        <f t="shared" si="11"/>
        <v>600000</v>
      </c>
      <c r="F216" s="1100">
        <f t="shared" si="12"/>
        <v>1</v>
      </c>
    </row>
    <row r="217" spans="1:256" x14ac:dyDescent="0.2">
      <c r="A217" s="1041" t="s">
        <v>706</v>
      </c>
      <c r="B217" s="1042" t="s">
        <v>780</v>
      </c>
      <c r="C217" s="1043">
        <v>1600000</v>
      </c>
      <c r="D217" s="1052">
        <v>2000000</v>
      </c>
      <c r="E217" s="1052">
        <v>2002350</v>
      </c>
      <c r="F217" s="1099">
        <f t="shared" si="12"/>
        <v>1.0011749999999999</v>
      </c>
    </row>
    <row r="218" spans="1:256" x14ac:dyDescent="0.2">
      <c r="A218" s="1041" t="s">
        <v>708</v>
      </c>
      <c r="B218" s="1042" t="s">
        <v>264</v>
      </c>
      <c r="C218" s="1043">
        <v>100000</v>
      </c>
      <c r="D218" s="1052">
        <v>100000</v>
      </c>
      <c r="E218" s="1052">
        <v>40020</v>
      </c>
      <c r="F218" s="1099">
        <f t="shared" si="12"/>
        <v>0.4002</v>
      </c>
    </row>
    <row r="219" spans="1:256" x14ac:dyDescent="0.2">
      <c r="A219" s="1041" t="s">
        <v>709</v>
      </c>
      <c r="B219" s="1042" t="s">
        <v>781</v>
      </c>
      <c r="C219" s="1078">
        <v>3230000</v>
      </c>
      <c r="D219" s="1101">
        <v>2325000</v>
      </c>
      <c r="E219" s="1102">
        <v>764770</v>
      </c>
      <c r="F219" s="1099">
        <f t="shared" si="12"/>
        <v>0.32893333333333336</v>
      </c>
    </row>
    <row r="220" spans="1:256" x14ac:dyDescent="0.2">
      <c r="A220" s="1041" t="s">
        <v>698</v>
      </c>
      <c r="B220" s="1042" t="s">
        <v>719</v>
      </c>
      <c r="C220" s="1078">
        <v>100000</v>
      </c>
      <c r="D220" s="1052">
        <v>400000</v>
      </c>
      <c r="E220" s="1052">
        <f>38110+224381</f>
        <v>262491</v>
      </c>
      <c r="F220" s="1099">
        <f t="shared" si="12"/>
        <v>0.65622749999999996</v>
      </c>
    </row>
    <row r="221" spans="1:256" x14ac:dyDescent="0.2">
      <c r="A221" s="1041" t="s">
        <v>703</v>
      </c>
      <c r="B221" s="1042" t="s">
        <v>557</v>
      </c>
      <c r="C221" s="1078">
        <v>1394000</v>
      </c>
      <c r="D221" s="1052">
        <v>1394000</v>
      </c>
      <c r="E221" s="1052">
        <v>752718</v>
      </c>
      <c r="F221" s="1099">
        <f t="shared" si="12"/>
        <v>0.53996987087517934</v>
      </c>
    </row>
    <row r="222" spans="1:256" x14ac:dyDescent="0.2">
      <c r="A222" s="1041" t="s">
        <v>720</v>
      </c>
      <c r="B222" s="1042" t="s">
        <v>782</v>
      </c>
      <c r="C222" s="1078">
        <v>100000</v>
      </c>
      <c r="D222" s="1052">
        <v>100000</v>
      </c>
      <c r="E222" s="1052">
        <v>0</v>
      </c>
      <c r="F222" s="1099">
        <f t="shared" si="12"/>
        <v>0</v>
      </c>
    </row>
    <row r="223" spans="1:256" x14ac:dyDescent="0.2">
      <c r="A223" s="1548" t="s">
        <v>168</v>
      </c>
      <c r="B223" s="1559"/>
      <c r="C223" s="1078">
        <f>SUM(C217:C222)</f>
        <v>6524000</v>
      </c>
      <c r="D223" s="1078">
        <f>SUM(D217:D222)</f>
        <v>6319000</v>
      </c>
      <c r="E223" s="1078">
        <f>SUM(E217:E222)</f>
        <v>3822349</v>
      </c>
      <c r="F223" s="1099">
        <f t="shared" si="12"/>
        <v>0.60489776863427758</v>
      </c>
      <c r="G223" s="1051"/>
      <c r="H223" s="1051"/>
      <c r="I223" s="1051"/>
      <c r="J223" s="1051"/>
      <c r="K223" s="1051"/>
      <c r="L223" s="1051"/>
      <c r="M223" s="1051"/>
      <c r="N223" s="1051"/>
      <c r="O223" s="1051"/>
      <c r="P223" s="1051"/>
      <c r="Q223" s="1051"/>
      <c r="R223" s="1051"/>
      <c r="S223" s="1051"/>
      <c r="T223" s="1051"/>
      <c r="U223" s="1051"/>
      <c r="V223" s="1051"/>
      <c r="W223" s="1051"/>
      <c r="X223" s="1051"/>
      <c r="Y223" s="1051"/>
      <c r="Z223" s="1051"/>
      <c r="AA223" s="1051"/>
      <c r="AB223" s="1051"/>
      <c r="AC223" s="1051"/>
      <c r="AD223" s="1051"/>
      <c r="AE223" s="1051"/>
      <c r="AF223" s="1051"/>
      <c r="AG223" s="1051"/>
      <c r="AH223" s="1051"/>
      <c r="AI223" s="1051"/>
      <c r="AJ223" s="1051"/>
      <c r="AK223" s="1051"/>
      <c r="AL223" s="1051"/>
      <c r="AM223" s="1051"/>
      <c r="AN223" s="1051"/>
      <c r="AO223" s="1051"/>
      <c r="AP223" s="1051"/>
      <c r="AQ223" s="1051"/>
      <c r="AR223" s="1051"/>
      <c r="AS223" s="1051"/>
      <c r="AT223" s="1051"/>
      <c r="AU223" s="1051"/>
      <c r="AV223" s="1051"/>
      <c r="AW223" s="1051"/>
      <c r="AX223" s="1051"/>
      <c r="AY223" s="1051"/>
      <c r="AZ223" s="1051"/>
      <c r="BA223" s="1051"/>
      <c r="BB223" s="1051"/>
      <c r="BC223" s="1051"/>
      <c r="BD223" s="1051"/>
      <c r="BE223" s="1051"/>
      <c r="BF223" s="1051"/>
      <c r="BG223" s="1051"/>
      <c r="BH223" s="1051"/>
      <c r="BI223" s="1051"/>
      <c r="BJ223" s="1051"/>
      <c r="BK223" s="1051"/>
      <c r="BL223" s="1051"/>
      <c r="BM223" s="1051"/>
      <c r="BN223" s="1051"/>
      <c r="BO223" s="1051"/>
      <c r="BP223" s="1051"/>
      <c r="BQ223" s="1051"/>
      <c r="BR223" s="1051"/>
      <c r="BS223" s="1051"/>
      <c r="BT223" s="1051"/>
      <c r="BU223" s="1051"/>
      <c r="BV223" s="1051"/>
      <c r="BW223" s="1051"/>
      <c r="BX223" s="1051"/>
      <c r="BY223" s="1051"/>
      <c r="BZ223" s="1051"/>
      <c r="CA223" s="1051"/>
      <c r="CB223" s="1051"/>
      <c r="CC223" s="1051"/>
      <c r="CD223" s="1051"/>
      <c r="CE223" s="1051"/>
      <c r="CF223" s="1051"/>
      <c r="CG223" s="1051"/>
      <c r="CH223" s="1051"/>
      <c r="CI223" s="1051"/>
      <c r="CJ223" s="1051"/>
      <c r="CK223" s="1051"/>
      <c r="CL223" s="1051"/>
      <c r="CM223" s="1051"/>
      <c r="CN223" s="1051"/>
      <c r="CO223" s="1051"/>
      <c r="CP223" s="1051"/>
      <c r="CQ223" s="1051"/>
      <c r="CR223" s="1051"/>
      <c r="CS223" s="1051"/>
      <c r="CT223" s="1051"/>
      <c r="CU223" s="1051"/>
      <c r="CV223" s="1051"/>
      <c r="CW223" s="1051"/>
      <c r="CX223" s="1051"/>
      <c r="CY223" s="1051"/>
      <c r="CZ223" s="1051"/>
      <c r="DA223" s="1051"/>
      <c r="DB223" s="1051"/>
      <c r="DC223" s="1051"/>
      <c r="DD223" s="1051"/>
      <c r="DE223" s="1051"/>
      <c r="DF223" s="1051"/>
      <c r="DG223" s="1051"/>
      <c r="DH223" s="1051"/>
      <c r="DI223" s="1051"/>
      <c r="DJ223" s="1051"/>
      <c r="DK223" s="1051"/>
      <c r="DL223" s="1051"/>
      <c r="DM223" s="1051"/>
      <c r="DN223" s="1051"/>
      <c r="DO223" s="1051"/>
      <c r="DP223" s="1051"/>
      <c r="DQ223" s="1051"/>
      <c r="DR223" s="1051"/>
      <c r="DS223" s="1051"/>
      <c r="DT223" s="1051"/>
      <c r="DU223" s="1051"/>
      <c r="DV223" s="1051"/>
      <c r="DW223" s="1051"/>
      <c r="DX223" s="1051"/>
      <c r="DY223" s="1051"/>
      <c r="DZ223" s="1051"/>
      <c r="EA223" s="1051"/>
      <c r="EB223" s="1051"/>
      <c r="EC223" s="1051"/>
      <c r="ED223" s="1051"/>
      <c r="EE223" s="1051"/>
      <c r="EF223" s="1051"/>
      <c r="EG223" s="1051"/>
      <c r="EH223" s="1051"/>
      <c r="EI223" s="1051"/>
      <c r="EJ223" s="1051"/>
      <c r="EK223" s="1051"/>
      <c r="EL223" s="1051"/>
      <c r="EM223" s="1051"/>
      <c r="EN223" s="1051"/>
      <c r="EO223" s="1051"/>
      <c r="EP223" s="1051"/>
      <c r="EQ223" s="1051"/>
      <c r="ER223" s="1051"/>
      <c r="ES223" s="1051"/>
      <c r="ET223" s="1051"/>
      <c r="EU223" s="1051"/>
      <c r="EV223" s="1051"/>
      <c r="EW223" s="1051"/>
      <c r="EX223" s="1051"/>
      <c r="EY223" s="1051"/>
      <c r="EZ223" s="1051"/>
      <c r="FA223" s="1051"/>
      <c r="FB223" s="1051"/>
      <c r="FC223" s="1051"/>
      <c r="FD223" s="1051"/>
      <c r="FE223" s="1051"/>
      <c r="FF223" s="1051"/>
      <c r="FG223" s="1051"/>
      <c r="FH223" s="1051"/>
      <c r="FI223" s="1051"/>
      <c r="FJ223" s="1051"/>
      <c r="FK223" s="1051"/>
      <c r="FL223" s="1051"/>
      <c r="FM223" s="1051"/>
      <c r="FN223" s="1051"/>
      <c r="FO223" s="1051"/>
      <c r="FP223" s="1051"/>
      <c r="FQ223" s="1051"/>
      <c r="FR223" s="1051"/>
      <c r="FS223" s="1051"/>
      <c r="FT223" s="1051"/>
      <c r="FU223" s="1051"/>
      <c r="FV223" s="1051"/>
      <c r="FW223" s="1051"/>
      <c r="FX223" s="1051"/>
      <c r="FY223" s="1051"/>
      <c r="FZ223" s="1051"/>
      <c r="GA223" s="1051"/>
      <c r="GB223" s="1051"/>
      <c r="GC223" s="1051"/>
      <c r="GD223" s="1051"/>
      <c r="GE223" s="1051"/>
      <c r="GF223" s="1051"/>
      <c r="GG223" s="1051"/>
      <c r="GH223" s="1051"/>
      <c r="GI223" s="1051"/>
      <c r="GJ223" s="1051"/>
      <c r="GK223" s="1051"/>
      <c r="GL223" s="1051"/>
      <c r="GM223" s="1051"/>
      <c r="GN223" s="1051"/>
      <c r="GO223" s="1051"/>
      <c r="GP223" s="1051"/>
      <c r="GQ223" s="1051"/>
      <c r="GR223" s="1051"/>
      <c r="GS223" s="1051"/>
      <c r="GT223" s="1051"/>
      <c r="GU223" s="1051"/>
      <c r="GV223" s="1051"/>
      <c r="GW223" s="1051"/>
      <c r="GX223" s="1051"/>
      <c r="GY223" s="1051"/>
      <c r="GZ223" s="1051"/>
      <c r="HA223" s="1051"/>
      <c r="HB223" s="1051"/>
      <c r="HC223" s="1051"/>
      <c r="HD223" s="1051"/>
      <c r="HE223" s="1051"/>
      <c r="HF223" s="1051"/>
      <c r="HG223" s="1051"/>
      <c r="HH223" s="1051"/>
      <c r="HI223" s="1051"/>
      <c r="HJ223" s="1051"/>
      <c r="HK223" s="1051"/>
      <c r="HL223" s="1051"/>
      <c r="HM223" s="1051"/>
      <c r="HN223" s="1051"/>
      <c r="HO223" s="1051"/>
      <c r="HP223" s="1051"/>
      <c r="HQ223" s="1051"/>
      <c r="HR223" s="1051"/>
      <c r="HS223" s="1051"/>
      <c r="HT223" s="1051"/>
      <c r="HU223" s="1051"/>
      <c r="HV223" s="1051"/>
      <c r="HW223" s="1051"/>
      <c r="HX223" s="1051"/>
      <c r="HY223" s="1051"/>
      <c r="HZ223" s="1051"/>
      <c r="IA223" s="1051"/>
      <c r="IB223" s="1051"/>
      <c r="IC223" s="1051"/>
      <c r="ID223" s="1051"/>
      <c r="IE223" s="1051"/>
      <c r="IF223" s="1051"/>
      <c r="IG223" s="1051"/>
      <c r="IH223" s="1051"/>
      <c r="II223" s="1051"/>
      <c r="IJ223" s="1051"/>
      <c r="IK223" s="1051"/>
      <c r="IL223" s="1051"/>
      <c r="IM223" s="1051"/>
      <c r="IN223" s="1051"/>
      <c r="IO223" s="1051"/>
      <c r="IP223" s="1051"/>
      <c r="IQ223" s="1051"/>
      <c r="IR223" s="1051"/>
      <c r="IS223" s="1051"/>
      <c r="IT223" s="1051"/>
      <c r="IU223" s="1051"/>
      <c r="IV223" s="1051"/>
    </row>
    <row r="224" spans="1:256" x14ac:dyDescent="0.2">
      <c r="A224" s="1041" t="s">
        <v>611</v>
      </c>
      <c r="B224" s="1103" t="s">
        <v>783</v>
      </c>
      <c r="C224" s="1078">
        <v>210000</v>
      </c>
      <c r="D224" s="1078">
        <v>1110000</v>
      </c>
      <c r="E224" s="1078">
        <v>1032921</v>
      </c>
      <c r="F224" s="1099">
        <f t="shared" si="12"/>
        <v>0.9305594594594595</v>
      </c>
      <c r="G224" s="1051"/>
      <c r="H224" s="1051"/>
      <c r="I224" s="1051"/>
      <c r="J224" s="1051"/>
      <c r="K224" s="1051"/>
      <c r="L224" s="1051"/>
      <c r="M224" s="1051"/>
      <c r="N224" s="1051"/>
      <c r="O224" s="1051"/>
      <c r="P224" s="1051"/>
      <c r="Q224" s="1051"/>
      <c r="R224" s="1051"/>
      <c r="S224" s="1051"/>
      <c r="T224" s="1051"/>
      <c r="U224" s="1051"/>
      <c r="V224" s="1051"/>
      <c r="W224" s="1051"/>
      <c r="X224" s="1051"/>
      <c r="Y224" s="1051"/>
      <c r="Z224" s="1051"/>
      <c r="AA224" s="1051"/>
      <c r="AB224" s="1051"/>
      <c r="AC224" s="1051"/>
      <c r="AD224" s="1051"/>
      <c r="AE224" s="1051"/>
      <c r="AF224" s="1051"/>
      <c r="AG224" s="1051"/>
      <c r="AH224" s="1051"/>
      <c r="AI224" s="1051"/>
      <c r="AJ224" s="1051"/>
      <c r="AK224" s="1051"/>
      <c r="AL224" s="1051"/>
      <c r="AM224" s="1051"/>
      <c r="AN224" s="1051"/>
      <c r="AO224" s="1051"/>
      <c r="AP224" s="1051"/>
      <c r="AQ224" s="1051"/>
      <c r="AR224" s="1051"/>
      <c r="AS224" s="1051"/>
      <c r="AT224" s="1051"/>
      <c r="AU224" s="1051"/>
      <c r="AV224" s="1051"/>
      <c r="AW224" s="1051"/>
      <c r="AX224" s="1051"/>
      <c r="AY224" s="1051"/>
      <c r="AZ224" s="1051"/>
      <c r="BA224" s="1051"/>
      <c r="BB224" s="1051"/>
      <c r="BC224" s="1051"/>
      <c r="BD224" s="1051"/>
      <c r="BE224" s="1051"/>
      <c r="BF224" s="1051"/>
      <c r="BG224" s="1051"/>
      <c r="BH224" s="1051"/>
      <c r="BI224" s="1051"/>
      <c r="BJ224" s="1051"/>
      <c r="BK224" s="1051"/>
      <c r="BL224" s="1051"/>
      <c r="BM224" s="1051"/>
      <c r="BN224" s="1051"/>
      <c r="BO224" s="1051"/>
      <c r="BP224" s="1051"/>
      <c r="BQ224" s="1051"/>
      <c r="BR224" s="1051"/>
      <c r="BS224" s="1051"/>
      <c r="BT224" s="1051"/>
      <c r="BU224" s="1051"/>
      <c r="BV224" s="1051"/>
      <c r="BW224" s="1051"/>
      <c r="BX224" s="1051"/>
      <c r="BY224" s="1051"/>
      <c r="BZ224" s="1051"/>
      <c r="CA224" s="1051"/>
      <c r="CB224" s="1051"/>
      <c r="CC224" s="1051"/>
      <c r="CD224" s="1051"/>
      <c r="CE224" s="1051"/>
      <c r="CF224" s="1051"/>
      <c r="CG224" s="1051"/>
      <c r="CH224" s="1051"/>
      <c r="CI224" s="1051"/>
      <c r="CJ224" s="1051"/>
      <c r="CK224" s="1051"/>
      <c r="CL224" s="1051"/>
      <c r="CM224" s="1051"/>
      <c r="CN224" s="1051"/>
      <c r="CO224" s="1051"/>
      <c r="CP224" s="1051"/>
      <c r="CQ224" s="1051"/>
      <c r="CR224" s="1051"/>
      <c r="CS224" s="1051"/>
      <c r="CT224" s="1051"/>
      <c r="CU224" s="1051"/>
      <c r="CV224" s="1051"/>
      <c r="CW224" s="1051"/>
      <c r="CX224" s="1051"/>
      <c r="CY224" s="1051"/>
      <c r="CZ224" s="1051"/>
      <c r="DA224" s="1051"/>
      <c r="DB224" s="1051"/>
      <c r="DC224" s="1051"/>
      <c r="DD224" s="1051"/>
      <c r="DE224" s="1051"/>
      <c r="DF224" s="1051"/>
      <c r="DG224" s="1051"/>
      <c r="DH224" s="1051"/>
      <c r="DI224" s="1051"/>
      <c r="DJ224" s="1051"/>
      <c r="DK224" s="1051"/>
      <c r="DL224" s="1051"/>
      <c r="DM224" s="1051"/>
      <c r="DN224" s="1051"/>
      <c r="DO224" s="1051"/>
      <c r="DP224" s="1051"/>
      <c r="DQ224" s="1051"/>
      <c r="DR224" s="1051"/>
      <c r="DS224" s="1051"/>
      <c r="DT224" s="1051"/>
      <c r="DU224" s="1051"/>
      <c r="DV224" s="1051"/>
      <c r="DW224" s="1051"/>
      <c r="DX224" s="1051"/>
      <c r="DY224" s="1051"/>
      <c r="DZ224" s="1051"/>
      <c r="EA224" s="1051"/>
      <c r="EB224" s="1051"/>
      <c r="EC224" s="1051"/>
      <c r="ED224" s="1051"/>
      <c r="EE224" s="1051"/>
      <c r="EF224" s="1051"/>
      <c r="EG224" s="1051"/>
      <c r="EH224" s="1051"/>
      <c r="EI224" s="1051"/>
      <c r="EJ224" s="1051"/>
      <c r="EK224" s="1051"/>
      <c r="EL224" s="1051"/>
      <c r="EM224" s="1051"/>
      <c r="EN224" s="1051"/>
      <c r="EO224" s="1051"/>
      <c r="EP224" s="1051"/>
      <c r="EQ224" s="1051"/>
      <c r="ER224" s="1051"/>
      <c r="ES224" s="1051"/>
      <c r="ET224" s="1051"/>
      <c r="EU224" s="1051"/>
      <c r="EV224" s="1051"/>
      <c r="EW224" s="1051"/>
      <c r="EX224" s="1051"/>
      <c r="EY224" s="1051"/>
      <c r="EZ224" s="1051"/>
      <c r="FA224" s="1051"/>
      <c r="FB224" s="1051"/>
      <c r="FC224" s="1051"/>
      <c r="FD224" s="1051"/>
      <c r="FE224" s="1051"/>
      <c r="FF224" s="1051"/>
      <c r="FG224" s="1051"/>
      <c r="FH224" s="1051"/>
      <c r="FI224" s="1051"/>
      <c r="FJ224" s="1051"/>
      <c r="FK224" s="1051"/>
      <c r="FL224" s="1051"/>
      <c r="FM224" s="1051"/>
      <c r="FN224" s="1051"/>
      <c r="FO224" s="1051"/>
      <c r="FP224" s="1051"/>
      <c r="FQ224" s="1051"/>
      <c r="FR224" s="1051"/>
      <c r="FS224" s="1051"/>
      <c r="FT224" s="1051"/>
      <c r="FU224" s="1051"/>
      <c r="FV224" s="1051"/>
      <c r="FW224" s="1051"/>
      <c r="FX224" s="1051"/>
      <c r="FY224" s="1051"/>
      <c r="FZ224" s="1051"/>
      <c r="GA224" s="1051"/>
      <c r="GB224" s="1051"/>
      <c r="GC224" s="1051"/>
      <c r="GD224" s="1051"/>
      <c r="GE224" s="1051"/>
      <c r="GF224" s="1051"/>
      <c r="GG224" s="1051"/>
      <c r="GH224" s="1051"/>
      <c r="GI224" s="1051"/>
      <c r="GJ224" s="1051"/>
      <c r="GK224" s="1051"/>
      <c r="GL224" s="1051"/>
      <c r="GM224" s="1051"/>
      <c r="GN224" s="1051"/>
      <c r="GO224" s="1051"/>
      <c r="GP224" s="1051"/>
      <c r="GQ224" s="1051"/>
      <c r="GR224" s="1051"/>
      <c r="GS224" s="1051"/>
      <c r="GT224" s="1051"/>
      <c r="GU224" s="1051"/>
      <c r="GV224" s="1051"/>
      <c r="GW224" s="1051"/>
      <c r="GX224" s="1051"/>
      <c r="GY224" s="1051"/>
      <c r="GZ224" s="1051"/>
      <c r="HA224" s="1051"/>
      <c r="HB224" s="1051"/>
      <c r="HC224" s="1051"/>
      <c r="HD224" s="1051"/>
      <c r="HE224" s="1051"/>
      <c r="HF224" s="1051"/>
      <c r="HG224" s="1051"/>
      <c r="HH224" s="1051"/>
      <c r="HI224" s="1051"/>
      <c r="HJ224" s="1051"/>
      <c r="HK224" s="1051"/>
      <c r="HL224" s="1051"/>
      <c r="HM224" s="1051"/>
      <c r="HN224" s="1051"/>
      <c r="HO224" s="1051"/>
      <c r="HP224" s="1051"/>
      <c r="HQ224" s="1051"/>
      <c r="HR224" s="1051"/>
      <c r="HS224" s="1051"/>
      <c r="HT224" s="1051"/>
      <c r="HU224" s="1051"/>
      <c r="HV224" s="1051"/>
      <c r="HW224" s="1051"/>
      <c r="HX224" s="1051"/>
      <c r="HY224" s="1051"/>
      <c r="HZ224" s="1051"/>
      <c r="IA224" s="1051"/>
      <c r="IB224" s="1051"/>
      <c r="IC224" s="1051"/>
      <c r="ID224" s="1051"/>
      <c r="IE224" s="1051"/>
      <c r="IF224" s="1051"/>
      <c r="IG224" s="1051"/>
      <c r="IH224" s="1051"/>
      <c r="II224" s="1051"/>
      <c r="IJ224" s="1051"/>
      <c r="IK224" s="1051"/>
      <c r="IL224" s="1051"/>
      <c r="IM224" s="1051"/>
      <c r="IN224" s="1051"/>
      <c r="IO224" s="1051"/>
      <c r="IP224" s="1051"/>
      <c r="IQ224" s="1051"/>
      <c r="IR224" s="1051"/>
      <c r="IS224" s="1051"/>
      <c r="IT224" s="1051"/>
      <c r="IU224" s="1051"/>
      <c r="IV224" s="1051"/>
    </row>
    <row r="225" spans="1:256" x14ac:dyDescent="0.2">
      <c r="A225" s="1041" t="s">
        <v>613</v>
      </c>
      <c r="B225" s="1103" t="s">
        <v>768</v>
      </c>
      <c r="C225" s="1078">
        <v>57000</v>
      </c>
      <c r="D225" s="1078">
        <v>57000</v>
      </c>
      <c r="E225" s="1078">
        <v>35889</v>
      </c>
      <c r="F225" s="1099">
        <f t="shared" si="12"/>
        <v>0.62963157894736843</v>
      </c>
      <c r="G225" s="1051"/>
      <c r="H225" s="1051"/>
      <c r="I225" s="1051"/>
      <c r="J225" s="1051"/>
      <c r="K225" s="1051"/>
      <c r="L225" s="1051"/>
      <c r="M225" s="1051"/>
      <c r="N225" s="1051"/>
      <c r="O225" s="1051"/>
      <c r="P225" s="1051"/>
      <c r="Q225" s="1051"/>
      <c r="R225" s="1051"/>
      <c r="S225" s="1051"/>
      <c r="T225" s="1051"/>
      <c r="U225" s="1051"/>
      <c r="V225" s="1051"/>
      <c r="W225" s="1051"/>
      <c r="X225" s="1051"/>
      <c r="Y225" s="1051"/>
      <c r="Z225" s="1051"/>
      <c r="AA225" s="1051"/>
      <c r="AB225" s="1051"/>
      <c r="AC225" s="1051"/>
      <c r="AD225" s="1051"/>
      <c r="AE225" s="1051"/>
      <c r="AF225" s="1051"/>
      <c r="AG225" s="1051"/>
      <c r="AH225" s="1051"/>
      <c r="AI225" s="1051"/>
      <c r="AJ225" s="1051"/>
      <c r="AK225" s="1051"/>
      <c r="AL225" s="1051"/>
      <c r="AM225" s="1051"/>
      <c r="AN225" s="1051"/>
      <c r="AO225" s="1051"/>
      <c r="AP225" s="1051"/>
      <c r="AQ225" s="1051"/>
      <c r="AR225" s="1051"/>
      <c r="AS225" s="1051"/>
      <c r="AT225" s="1051"/>
      <c r="AU225" s="1051"/>
      <c r="AV225" s="1051"/>
      <c r="AW225" s="1051"/>
      <c r="AX225" s="1051"/>
      <c r="AY225" s="1051"/>
      <c r="AZ225" s="1051"/>
      <c r="BA225" s="1051"/>
      <c r="BB225" s="1051"/>
      <c r="BC225" s="1051"/>
      <c r="BD225" s="1051"/>
      <c r="BE225" s="1051"/>
      <c r="BF225" s="1051"/>
      <c r="BG225" s="1051"/>
      <c r="BH225" s="1051"/>
      <c r="BI225" s="1051"/>
      <c r="BJ225" s="1051"/>
      <c r="BK225" s="1051"/>
      <c r="BL225" s="1051"/>
      <c r="BM225" s="1051"/>
      <c r="BN225" s="1051"/>
      <c r="BO225" s="1051"/>
      <c r="BP225" s="1051"/>
      <c r="BQ225" s="1051"/>
      <c r="BR225" s="1051"/>
      <c r="BS225" s="1051"/>
      <c r="BT225" s="1051"/>
      <c r="BU225" s="1051"/>
      <c r="BV225" s="1051"/>
      <c r="BW225" s="1051"/>
      <c r="BX225" s="1051"/>
      <c r="BY225" s="1051"/>
      <c r="BZ225" s="1051"/>
      <c r="CA225" s="1051"/>
      <c r="CB225" s="1051"/>
      <c r="CC225" s="1051"/>
      <c r="CD225" s="1051"/>
      <c r="CE225" s="1051"/>
      <c r="CF225" s="1051"/>
      <c r="CG225" s="1051"/>
      <c r="CH225" s="1051"/>
      <c r="CI225" s="1051"/>
      <c r="CJ225" s="1051"/>
      <c r="CK225" s="1051"/>
      <c r="CL225" s="1051"/>
      <c r="CM225" s="1051"/>
      <c r="CN225" s="1051"/>
      <c r="CO225" s="1051"/>
      <c r="CP225" s="1051"/>
      <c r="CQ225" s="1051"/>
      <c r="CR225" s="1051"/>
      <c r="CS225" s="1051"/>
      <c r="CT225" s="1051"/>
      <c r="CU225" s="1051"/>
      <c r="CV225" s="1051"/>
      <c r="CW225" s="1051"/>
      <c r="CX225" s="1051"/>
      <c r="CY225" s="1051"/>
      <c r="CZ225" s="1051"/>
      <c r="DA225" s="1051"/>
      <c r="DB225" s="1051"/>
      <c r="DC225" s="1051"/>
      <c r="DD225" s="1051"/>
      <c r="DE225" s="1051"/>
      <c r="DF225" s="1051"/>
      <c r="DG225" s="1051"/>
      <c r="DH225" s="1051"/>
      <c r="DI225" s="1051"/>
      <c r="DJ225" s="1051"/>
      <c r="DK225" s="1051"/>
      <c r="DL225" s="1051"/>
      <c r="DM225" s="1051"/>
      <c r="DN225" s="1051"/>
      <c r="DO225" s="1051"/>
      <c r="DP225" s="1051"/>
      <c r="DQ225" s="1051"/>
      <c r="DR225" s="1051"/>
      <c r="DS225" s="1051"/>
      <c r="DT225" s="1051"/>
      <c r="DU225" s="1051"/>
      <c r="DV225" s="1051"/>
      <c r="DW225" s="1051"/>
      <c r="DX225" s="1051"/>
      <c r="DY225" s="1051"/>
      <c r="DZ225" s="1051"/>
      <c r="EA225" s="1051"/>
      <c r="EB225" s="1051"/>
      <c r="EC225" s="1051"/>
      <c r="ED225" s="1051"/>
      <c r="EE225" s="1051"/>
      <c r="EF225" s="1051"/>
      <c r="EG225" s="1051"/>
      <c r="EH225" s="1051"/>
      <c r="EI225" s="1051"/>
      <c r="EJ225" s="1051"/>
      <c r="EK225" s="1051"/>
      <c r="EL225" s="1051"/>
      <c r="EM225" s="1051"/>
      <c r="EN225" s="1051"/>
      <c r="EO225" s="1051"/>
      <c r="EP225" s="1051"/>
      <c r="EQ225" s="1051"/>
      <c r="ER225" s="1051"/>
      <c r="ES225" s="1051"/>
      <c r="ET225" s="1051"/>
      <c r="EU225" s="1051"/>
      <c r="EV225" s="1051"/>
      <c r="EW225" s="1051"/>
      <c r="EX225" s="1051"/>
      <c r="EY225" s="1051"/>
      <c r="EZ225" s="1051"/>
      <c r="FA225" s="1051"/>
      <c r="FB225" s="1051"/>
      <c r="FC225" s="1051"/>
      <c r="FD225" s="1051"/>
      <c r="FE225" s="1051"/>
      <c r="FF225" s="1051"/>
      <c r="FG225" s="1051"/>
      <c r="FH225" s="1051"/>
      <c r="FI225" s="1051"/>
      <c r="FJ225" s="1051"/>
      <c r="FK225" s="1051"/>
      <c r="FL225" s="1051"/>
      <c r="FM225" s="1051"/>
      <c r="FN225" s="1051"/>
      <c r="FO225" s="1051"/>
      <c r="FP225" s="1051"/>
      <c r="FQ225" s="1051"/>
      <c r="FR225" s="1051"/>
      <c r="FS225" s="1051"/>
      <c r="FT225" s="1051"/>
      <c r="FU225" s="1051"/>
      <c r="FV225" s="1051"/>
      <c r="FW225" s="1051"/>
      <c r="FX225" s="1051"/>
      <c r="FY225" s="1051"/>
      <c r="FZ225" s="1051"/>
      <c r="GA225" s="1051"/>
      <c r="GB225" s="1051"/>
      <c r="GC225" s="1051"/>
      <c r="GD225" s="1051"/>
      <c r="GE225" s="1051"/>
      <c r="GF225" s="1051"/>
      <c r="GG225" s="1051"/>
      <c r="GH225" s="1051"/>
      <c r="GI225" s="1051"/>
      <c r="GJ225" s="1051"/>
      <c r="GK225" s="1051"/>
      <c r="GL225" s="1051"/>
      <c r="GM225" s="1051"/>
      <c r="GN225" s="1051"/>
      <c r="GO225" s="1051"/>
      <c r="GP225" s="1051"/>
      <c r="GQ225" s="1051"/>
      <c r="GR225" s="1051"/>
      <c r="GS225" s="1051"/>
      <c r="GT225" s="1051"/>
      <c r="GU225" s="1051"/>
      <c r="GV225" s="1051"/>
      <c r="GW225" s="1051"/>
      <c r="GX225" s="1051"/>
      <c r="GY225" s="1051"/>
      <c r="GZ225" s="1051"/>
      <c r="HA225" s="1051"/>
      <c r="HB225" s="1051"/>
      <c r="HC225" s="1051"/>
      <c r="HD225" s="1051"/>
      <c r="HE225" s="1051"/>
      <c r="HF225" s="1051"/>
      <c r="HG225" s="1051"/>
      <c r="HH225" s="1051"/>
      <c r="HI225" s="1051"/>
      <c r="HJ225" s="1051"/>
      <c r="HK225" s="1051"/>
      <c r="HL225" s="1051"/>
      <c r="HM225" s="1051"/>
      <c r="HN225" s="1051"/>
      <c r="HO225" s="1051"/>
      <c r="HP225" s="1051"/>
      <c r="HQ225" s="1051"/>
      <c r="HR225" s="1051"/>
      <c r="HS225" s="1051"/>
      <c r="HT225" s="1051"/>
      <c r="HU225" s="1051"/>
      <c r="HV225" s="1051"/>
      <c r="HW225" s="1051"/>
      <c r="HX225" s="1051"/>
      <c r="HY225" s="1051"/>
      <c r="HZ225" s="1051"/>
      <c r="IA225" s="1051"/>
      <c r="IB225" s="1051"/>
      <c r="IC225" s="1051"/>
      <c r="ID225" s="1051"/>
      <c r="IE225" s="1051"/>
      <c r="IF225" s="1051"/>
      <c r="IG225" s="1051"/>
      <c r="IH225" s="1051"/>
      <c r="II225" s="1051"/>
      <c r="IJ225" s="1051"/>
      <c r="IK225" s="1051"/>
      <c r="IL225" s="1051"/>
      <c r="IM225" s="1051"/>
      <c r="IN225" s="1051"/>
      <c r="IO225" s="1051"/>
      <c r="IP225" s="1051"/>
      <c r="IQ225" s="1051"/>
      <c r="IR225" s="1051"/>
      <c r="IS225" s="1051"/>
      <c r="IT225" s="1051"/>
      <c r="IU225" s="1051"/>
      <c r="IV225" s="1051"/>
    </row>
    <row r="226" spans="1:256" x14ac:dyDescent="0.2">
      <c r="A226" s="1548" t="s">
        <v>12</v>
      </c>
      <c r="B226" s="1548"/>
      <c r="C226" s="1078">
        <f>SUM(C224:C225)</f>
        <v>267000</v>
      </c>
      <c r="D226" s="1078">
        <f>SUM(D224:D225)</f>
        <v>1167000</v>
      </c>
      <c r="E226" s="1078">
        <f>SUM(E224:E225)</f>
        <v>1068810</v>
      </c>
      <c r="F226" s="1099">
        <f t="shared" si="12"/>
        <v>0.91586118251928017</v>
      </c>
      <c r="G226" s="1051"/>
      <c r="H226" s="1051"/>
      <c r="I226" s="1051"/>
      <c r="J226" s="1051"/>
      <c r="K226" s="1051"/>
      <c r="L226" s="1051"/>
      <c r="M226" s="1051"/>
      <c r="N226" s="1051"/>
      <c r="O226" s="1051"/>
      <c r="P226" s="1051"/>
      <c r="Q226" s="1051"/>
      <c r="R226" s="1051"/>
      <c r="S226" s="1051"/>
      <c r="T226" s="1051"/>
      <c r="U226" s="1051"/>
      <c r="V226" s="1051"/>
      <c r="W226" s="1051"/>
      <c r="X226" s="1051"/>
      <c r="Y226" s="1051"/>
      <c r="Z226" s="1051"/>
      <c r="AA226" s="1051"/>
      <c r="AB226" s="1051"/>
      <c r="AC226" s="1051"/>
      <c r="AD226" s="1051"/>
      <c r="AE226" s="1051"/>
      <c r="AF226" s="1051"/>
      <c r="AG226" s="1051"/>
      <c r="AH226" s="1051"/>
      <c r="AI226" s="1051"/>
      <c r="AJ226" s="1051"/>
      <c r="AK226" s="1051"/>
      <c r="AL226" s="1051"/>
      <c r="AM226" s="1051"/>
      <c r="AN226" s="1051"/>
      <c r="AO226" s="1051"/>
      <c r="AP226" s="1051"/>
      <c r="AQ226" s="1051"/>
      <c r="AR226" s="1051"/>
      <c r="AS226" s="1051"/>
      <c r="AT226" s="1051"/>
      <c r="AU226" s="1051"/>
      <c r="AV226" s="1051"/>
      <c r="AW226" s="1051"/>
      <c r="AX226" s="1051"/>
      <c r="AY226" s="1051"/>
      <c r="AZ226" s="1051"/>
      <c r="BA226" s="1051"/>
      <c r="BB226" s="1051"/>
      <c r="BC226" s="1051"/>
      <c r="BD226" s="1051"/>
      <c r="BE226" s="1051"/>
      <c r="BF226" s="1051"/>
      <c r="BG226" s="1051"/>
      <c r="BH226" s="1051"/>
      <c r="BI226" s="1051"/>
      <c r="BJ226" s="1051"/>
      <c r="BK226" s="1051"/>
      <c r="BL226" s="1051"/>
      <c r="BM226" s="1051"/>
      <c r="BN226" s="1051"/>
      <c r="BO226" s="1051"/>
      <c r="BP226" s="1051"/>
      <c r="BQ226" s="1051"/>
      <c r="BR226" s="1051"/>
      <c r="BS226" s="1051"/>
      <c r="BT226" s="1051"/>
      <c r="BU226" s="1051"/>
      <c r="BV226" s="1051"/>
      <c r="BW226" s="1051"/>
      <c r="BX226" s="1051"/>
      <c r="BY226" s="1051"/>
      <c r="BZ226" s="1051"/>
      <c r="CA226" s="1051"/>
      <c r="CB226" s="1051"/>
      <c r="CC226" s="1051"/>
      <c r="CD226" s="1051"/>
      <c r="CE226" s="1051"/>
      <c r="CF226" s="1051"/>
      <c r="CG226" s="1051"/>
      <c r="CH226" s="1051"/>
      <c r="CI226" s="1051"/>
      <c r="CJ226" s="1051"/>
      <c r="CK226" s="1051"/>
      <c r="CL226" s="1051"/>
      <c r="CM226" s="1051"/>
      <c r="CN226" s="1051"/>
      <c r="CO226" s="1051"/>
      <c r="CP226" s="1051"/>
      <c r="CQ226" s="1051"/>
      <c r="CR226" s="1051"/>
      <c r="CS226" s="1051"/>
      <c r="CT226" s="1051"/>
      <c r="CU226" s="1051"/>
      <c r="CV226" s="1051"/>
      <c r="CW226" s="1051"/>
      <c r="CX226" s="1051"/>
      <c r="CY226" s="1051"/>
      <c r="CZ226" s="1051"/>
      <c r="DA226" s="1051"/>
      <c r="DB226" s="1051"/>
      <c r="DC226" s="1051"/>
      <c r="DD226" s="1051"/>
      <c r="DE226" s="1051"/>
      <c r="DF226" s="1051"/>
      <c r="DG226" s="1051"/>
      <c r="DH226" s="1051"/>
      <c r="DI226" s="1051"/>
      <c r="DJ226" s="1051"/>
      <c r="DK226" s="1051"/>
      <c r="DL226" s="1051"/>
      <c r="DM226" s="1051"/>
      <c r="DN226" s="1051"/>
      <c r="DO226" s="1051"/>
      <c r="DP226" s="1051"/>
      <c r="DQ226" s="1051"/>
      <c r="DR226" s="1051"/>
      <c r="DS226" s="1051"/>
      <c r="DT226" s="1051"/>
      <c r="DU226" s="1051"/>
      <c r="DV226" s="1051"/>
      <c r="DW226" s="1051"/>
      <c r="DX226" s="1051"/>
      <c r="DY226" s="1051"/>
      <c r="DZ226" s="1051"/>
      <c r="EA226" s="1051"/>
      <c r="EB226" s="1051"/>
      <c r="EC226" s="1051"/>
      <c r="ED226" s="1051"/>
      <c r="EE226" s="1051"/>
      <c r="EF226" s="1051"/>
      <c r="EG226" s="1051"/>
      <c r="EH226" s="1051"/>
      <c r="EI226" s="1051"/>
      <c r="EJ226" s="1051"/>
      <c r="EK226" s="1051"/>
      <c r="EL226" s="1051"/>
      <c r="EM226" s="1051"/>
      <c r="EN226" s="1051"/>
      <c r="EO226" s="1051"/>
      <c r="EP226" s="1051"/>
      <c r="EQ226" s="1051"/>
      <c r="ER226" s="1051"/>
      <c r="ES226" s="1051"/>
      <c r="ET226" s="1051"/>
      <c r="EU226" s="1051"/>
      <c r="EV226" s="1051"/>
      <c r="EW226" s="1051"/>
      <c r="EX226" s="1051"/>
      <c r="EY226" s="1051"/>
      <c r="EZ226" s="1051"/>
      <c r="FA226" s="1051"/>
      <c r="FB226" s="1051"/>
      <c r="FC226" s="1051"/>
      <c r="FD226" s="1051"/>
      <c r="FE226" s="1051"/>
      <c r="FF226" s="1051"/>
      <c r="FG226" s="1051"/>
      <c r="FH226" s="1051"/>
      <c r="FI226" s="1051"/>
      <c r="FJ226" s="1051"/>
      <c r="FK226" s="1051"/>
      <c r="FL226" s="1051"/>
      <c r="FM226" s="1051"/>
      <c r="FN226" s="1051"/>
      <c r="FO226" s="1051"/>
      <c r="FP226" s="1051"/>
      <c r="FQ226" s="1051"/>
      <c r="FR226" s="1051"/>
      <c r="FS226" s="1051"/>
      <c r="FT226" s="1051"/>
      <c r="FU226" s="1051"/>
      <c r="FV226" s="1051"/>
      <c r="FW226" s="1051"/>
      <c r="FX226" s="1051"/>
      <c r="FY226" s="1051"/>
      <c r="FZ226" s="1051"/>
      <c r="GA226" s="1051"/>
      <c r="GB226" s="1051"/>
      <c r="GC226" s="1051"/>
      <c r="GD226" s="1051"/>
      <c r="GE226" s="1051"/>
      <c r="GF226" s="1051"/>
      <c r="GG226" s="1051"/>
      <c r="GH226" s="1051"/>
      <c r="GI226" s="1051"/>
      <c r="GJ226" s="1051"/>
      <c r="GK226" s="1051"/>
      <c r="GL226" s="1051"/>
      <c r="GM226" s="1051"/>
      <c r="GN226" s="1051"/>
      <c r="GO226" s="1051"/>
      <c r="GP226" s="1051"/>
      <c r="GQ226" s="1051"/>
      <c r="GR226" s="1051"/>
      <c r="GS226" s="1051"/>
      <c r="GT226" s="1051"/>
      <c r="GU226" s="1051"/>
      <c r="GV226" s="1051"/>
      <c r="GW226" s="1051"/>
      <c r="GX226" s="1051"/>
      <c r="GY226" s="1051"/>
      <c r="GZ226" s="1051"/>
      <c r="HA226" s="1051"/>
      <c r="HB226" s="1051"/>
      <c r="HC226" s="1051"/>
      <c r="HD226" s="1051"/>
      <c r="HE226" s="1051"/>
      <c r="HF226" s="1051"/>
      <c r="HG226" s="1051"/>
      <c r="HH226" s="1051"/>
      <c r="HI226" s="1051"/>
      <c r="HJ226" s="1051"/>
      <c r="HK226" s="1051"/>
      <c r="HL226" s="1051"/>
      <c r="HM226" s="1051"/>
      <c r="HN226" s="1051"/>
      <c r="HO226" s="1051"/>
      <c r="HP226" s="1051"/>
      <c r="HQ226" s="1051"/>
      <c r="HR226" s="1051"/>
      <c r="HS226" s="1051"/>
      <c r="HT226" s="1051"/>
      <c r="HU226" s="1051"/>
      <c r="HV226" s="1051"/>
      <c r="HW226" s="1051"/>
      <c r="HX226" s="1051"/>
      <c r="HY226" s="1051"/>
      <c r="HZ226" s="1051"/>
      <c r="IA226" s="1051"/>
      <c r="IB226" s="1051"/>
      <c r="IC226" s="1051"/>
      <c r="ID226" s="1051"/>
      <c r="IE226" s="1051"/>
      <c r="IF226" s="1051"/>
      <c r="IG226" s="1051"/>
      <c r="IH226" s="1051"/>
      <c r="II226" s="1051"/>
      <c r="IJ226" s="1051"/>
      <c r="IK226" s="1051"/>
      <c r="IL226" s="1051"/>
      <c r="IM226" s="1051"/>
      <c r="IN226" s="1051"/>
      <c r="IO226" s="1051"/>
      <c r="IP226" s="1051"/>
      <c r="IQ226" s="1051"/>
      <c r="IR226" s="1051"/>
      <c r="IS226" s="1051"/>
      <c r="IT226" s="1051"/>
      <c r="IU226" s="1051"/>
      <c r="IV226" s="1051"/>
    </row>
    <row r="227" spans="1:256" x14ac:dyDescent="0.2">
      <c r="A227" s="1549" t="s">
        <v>73</v>
      </c>
      <c r="B227" s="1569"/>
      <c r="C227" s="1081">
        <f>C223+C226</f>
        <v>6791000</v>
      </c>
      <c r="D227" s="1081">
        <f>D223+D226</f>
        <v>7486000</v>
      </c>
      <c r="E227" s="1081">
        <f>E223+E226</f>
        <v>4891159</v>
      </c>
      <c r="F227" s="1100">
        <f t="shared" si="12"/>
        <v>0.65337416510820201</v>
      </c>
    </row>
    <row r="228" spans="1:256" x14ac:dyDescent="0.2">
      <c r="A228" s="1552" t="s">
        <v>182</v>
      </c>
      <c r="B228" s="1553"/>
      <c r="C228" s="1553"/>
      <c r="D228" s="1553"/>
      <c r="E228" s="1553"/>
      <c r="F228" s="1554"/>
    </row>
    <row r="229" spans="1:256" x14ac:dyDescent="0.2">
      <c r="A229" s="1065" t="s">
        <v>70</v>
      </c>
      <c r="B229" s="1066" t="s">
        <v>71</v>
      </c>
      <c r="C229" s="1038" t="s">
        <v>687</v>
      </c>
      <c r="D229" s="1038" t="s">
        <v>688</v>
      </c>
      <c r="E229" s="1039" t="s">
        <v>689</v>
      </c>
      <c r="F229" s="1040" t="s">
        <v>690</v>
      </c>
    </row>
    <row r="230" spans="1:256" x14ac:dyDescent="0.2">
      <c r="A230" s="1041" t="s">
        <v>734</v>
      </c>
      <c r="B230" s="1057" t="s">
        <v>759</v>
      </c>
      <c r="C230" s="1104">
        <v>0</v>
      </c>
      <c r="D230" s="1104">
        <v>278932</v>
      </c>
      <c r="E230" s="1059">
        <v>278932</v>
      </c>
      <c r="F230" s="1045">
        <f>E230/D230</f>
        <v>1</v>
      </c>
    </row>
    <row r="231" spans="1:256" x14ac:dyDescent="0.2">
      <c r="A231" s="1548" t="s">
        <v>18</v>
      </c>
      <c r="B231" s="1548"/>
      <c r="C231" s="1104">
        <f>SUM(C230)</f>
        <v>0</v>
      </c>
      <c r="D231" s="1104">
        <f>SUM(D230)</f>
        <v>278932</v>
      </c>
      <c r="E231" s="1104">
        <f>SUM(E230)</f>
        <v>278932</v>
      </c>
      <c r="F231" s="1045">
        <f t="shared" ref="F231:F256" si="13">E231/D231</f>
        <v>1</v>
      </c>
    </row>
    <row r="232" spans="1:256" ht="25.5" x14ac:dyDescent="0.2">
      <c r="A232" s="1041" t="s">
        <v>760</v>
      </c>
      <c r="B232" s="1057" t="s">
        <v>784</v>
      </c>
      <c r="C232" s="1104">
        <v>3500000</v>
      </c>
      <c r="D232" s="1104">
        <v>3500000</v>
      </c>
      <c r="E232" s="1059">
        <v>3499998</v>
      </c>
      <c r="F232" s="1045">
        <f t="shared" si="13"/>
        <v>0.99999942857142854</v>
      </c>
    </row>
    <row r="233" spans="1:256" x14ac:dyDescent="0.2">
      <c r="A233" s="1567" t="s">
        <v>51</v>
      </c>
      <c r="B233" s="1568"/>
      <c r="C233" s="1104">
        <f>SUM(C232)</f>
        <v>3500000</v>
      </c>
      <c r="D233" s="1104">
        <f>SUM(D232)</f>
        <v>3500000</v>
      </c>
      <c r="E233" s="1104">
        <f>SUM(E232)</f>
        <v>3499998</v>
      </c>
      <c r="F233" s="1045">
        <f t="shared" si="13"/>
        <v>0.99999942857142854</v>
      </c>
    </row>
    <row r="234" spans="1:256" x14ac:dyDescent="0.2">
      <c r="A234" s="1041" t="s">
        <v>517</v>
      </c>
      <c r="B234" s="1057" t="s">
        <v>785</v>
      </c>
      <c r="C234" s="1104">
        <v>0</v>
      </c>
      <c r="D234" s="1104">
        <v>0</v>
      </c>
      <c r="E234" s="1059">
        <v>1063</v>
      </c>
      <c r="F234" s="1045" t="s">
        <v>446</v>
      </c>
    </row>
    <row r="235" spans="1:256" x14ac:dyDescent="0.2">
      <c r="A235" s="1041" t="s">
        <v>675</v>
      </c>
      <c r="B235" s="1057" t="s">
        <v>234</v>
      </c>
      <c r="C235" s="1104">
        <v>0</v>
      </c>
      <c r="D235" s="1104">
        <v>173885</v>
      </c>
      <c r="E235" s="1059">
        <f>163885+30000</f>
        <v>193885</v>
      </c>
      <c r="F235" s="1045">
        <f t="shared" si="13"/>
        <v>1.1150185467406619</v>
      </c>
    </row>
    <row r="236" spans="1:256" x14ac:dyDescent="0.2">
      <c r="A236" s="1555" t="s">
        <v>20</v>
      </c>
      <c r="B236" s="1556"/>
      <c r="C236" s="1104">
        <f>SUM(C234:C235)</f>
        <v>0</v>
      </c>
      <c r="D236" s="1104">
        <f>SUM(D234:D235)</f>
        <v>173885</v>
      </c>
      <c r="E236" s="1104">
        <f>SUM(E234:E235)</f>
        <v>194948</v>
      </c>
      <c r="F236" s="1045">
        <f t="shared" si="13"/>
        <v>1.1211317824999281</v>
      </c>
    </row>
    <row r="237" spans="1:256" x14ac:dyDescent="0.2">
      <c r="A237" s="1549" t="s">
        <v>74</v>
      </c>
      <c r="B237" s="1569"/>
      <c r="C237" s="1046">
        <f>C231+C233+C236</f>
        <v>3500000</v>
      </c>
      <c r="D237" s="1046">
        <f>D231+D233+D236</f>
        <v>3952817</v>
      </c>
      <c r="E237" s="1046">
        <f>E231+E233+E236</f>
        <v>3973878</v>
      </c>
      <c r="F237" s="1047">
        <f t="shared" si="13"/>
        <v>1.0053280989228695</v>
      </c>
    </row>
    <row r="238" spans="1:256" x14ac:dyDescent="0.2">
      <c r="A238" s="1041" t="s">
        <v>520</v>
      </c>
      <c r="B238" s="1042" t="s">
        <v>521</v>
      </c>
      <c r="C238" s="1043">
        <v>2070000</v>
      </c>
      <c r="D238" s="1043">
        <v>2311499</v>
      </c>
      <c r="E238" s="1052">
        <v>2081504</v>
      </c>
      <c r="F238" s="1045">
        <f t="shared" si="13"/>
        <v>0.90049963248956633</v>
      </c>
    </row>
    <row r="239" spans="1:256" x14ac:dyDescent="0.2">
      <c r="A239" s="1041" t="s">
        <v>669</v>
      </c>
      <c r="B239" s="1042" t="s">
        <v>522</v>
      </c>
      <c r="C239" s="1043">
        <v>0</v>
      </c>
      <c r="D239" s="1043">
        <v>26600</v>
      </c>
      <c r="E239" s="1052">
        <v>26600</v>
      </c>
      <c r="F239" s="1045">
        <f t="shared" si="13"/>
        <v>1</v>
      </c>
    </row>
    <row r="240" spans="1:256" x14ac:dyDescent="0.2">
      <c r="A240" s="1041" t="s">
        <v>527</v>
      </c>
      <c r="B240" s="1042" t="s">
        <v>85</v>
      </c>
      <c r="C240" s="1078">
        <v>113000</v>
      </c>
      <c r="D240" s="1078">
        <v>113000</v>
      </c>
      <c r="E240" s="1052">
        <v>97823</v>
      </c>
      <c r="F240" s="1045">
        <f t="shared" si="13"/>
        <v>0.86569026548672567</v>
      </c>
    </row>
    <row r="241" spans="1:256" x14ac:dyDescent="0.2">
      <c r="A241" s="1041" t="s">
        <v>531</v>
      </c>
      <c r="B241" s="1042" t="s">
        <v>79</v>
      </c>
      <c r="C241" s="1043">
        <v>12000</v>
      </c>
      <c r="D241" s="1043">
        <v>12000</v>
      </c>
      <c r="E241" s="1052">
        <v>8000</v>
      </c>
      <c r="F241" s="1045">
        <f t="shared" si="13"/>
        <v>0.66666666666666663</v>
      </c>
    </row>
    <row r="242" spans="1:256" x14ac:dyDescent="0.2">
      <c r="A242" s="1564" t="s">
        <v>166</v>
      </c>
      <c r="B242" s="1564"/>
      <c r="C242" s="1043">
        <f>SUM(C238:C241)</f>
        <v>2195000</v>
      </c>
      <c r="D242" s="1043">
        <f>SUM(D238:D241)</f>
        <v>2463099</v>
      </c>
      <c r="E242" s="1043">
        <f>SUM(E238:E241)</f>
        <v>2213927</v>
      </c>
      <c r="F242" s="1045">
        <f t="shared" si="13"/>
        <v>0.8988380085412726</v>
      </c>
    </row>
    <row r="243" spans="1:256" x14ac:dyDescent="0.2">
      <c r="A243" s="1041" t="s">
        <v>694</v>
      </c>
      <c r="B243" s="1042" t="s">
        <v>764</v>
      </c>
      <c r="C243" s="1043">
        <v>402000</v>
      </c>
      <c r="D243" s="1043">
        <v>439433</v>
      </c>
      <c r="E243" s="1052">
        <v>352405</v>
      </c>
      <c r="F243" s="1045">
        <f t="shared" si="13"/>
        <v>0.80195388147908786</v>
      </c>
    </row>
    <row r="244" spans="1:256" x14ac:dyDescent="0.2">
      <c r="A244" s="1548" t="s">
        <v>94</v>
      </c>
      <c r="B244" s="1548"/>
      <c r="C244" s="1043">
        <f>SUM(C243:C243)</f>
        <v>402000</v>
      </c>
      <c r="D244" s="1043">
        <f>SUM(D243:D243)</f>
        <v>439433</v>
      </c>
      <c r="E244" s="1043">
        <f>SUM(E243:E243)</f>
        <v>352405</v>
      </c>
      <c r="F244" s="1045">
        <f t="shared" si="13"/>
        <v>0.80195388147908786</v>
      </c>
    </row>
    <row r="245" spans="1:256" x14ac:dyDescent="0.2">
      <c r="A245" s="1041" t="s">
        <v>706</v>
      </c>
      <c r="B245" s="1042" t="s">
        <v>707</v>
      </c>
      <c r="C245" s="1070">
        <v>515000</v>
      </c>
      <c r="D245" s="1052">
        <v>1015000</v>
      </c>
      <c r="E245" s="1052">
        <v>260561</v>
      </c>
      <c r="F245" s="1045">
        <f t="shared" si="13"/>
        <v>0.2567103448275862</v>
      </c>
    </row>
    <row r="246" spans="1:256" x14ac:dyDescent="0.2">
      <c r="A246" s="1041" t="s">
        <v>708</v>
      </c>
      <c r="B246" s="1042" t="s">
        <v>786</v>
      </c>
      <c r="C246" s="1043">
        <v>0</v>
      </c>
      <c r="D246" s="1052">
        <v>30000</v>
      </c>
      <c r="E246" s="1052">
        <v>12239</v>
      </c>
      <c r="F246" s="1045">
        <f t="shared" si="13"/>
        <v>0.40796666666666664</v>
      </c>
    </row>
    <row r="247" spans="1:256" x14ac:dyDescent="0.2">
      <c r="A247" s="1041" t="s">
        <v>709</v>
      </c>
      <c r="B247" s="1042" t="s">
        <v>90</v>
      </c>
      <c r="C247" s="1105">
        <v>900000</v>
      </c>
      <c r="D247" s="1052">
        <v>1030000</v>
      </c>
      <c r="E247" s="1102">
        <v>1025740</v>
      </c>
      <c r="F247" s="1045">
        <f t="shared" si="13"/>
        <v>0.99586407766990293</v>
      </c>
    </row>
    <row r="248" spans="1:256" x14ac:dyDescent="0.2">
      <c r="A248" s="1041" t="s">
        <v>697</v>
      </c>
      <c r="B248" s="1042" t="s">
        <v>603</v>
      </c>
      <c r="C248" s="1105">
        <v>300000</v>
      </c>
      <c r="D248" s="1052">
        <v>300000</v>
      </c>
      <c r="E248" s="1102">
        <v>264475</v>
      </c>
      <c r="F248" s="1045">
        <f t="shared" si="13"/>
        <v>0.88158333333333339</v>
      </c>
    </row>
    <row r="249" spans="1:256" x14ac:dyDescent="0.2">
      <c r="A249" s="1041" t="s">
        <v>698</v>
      </c>
      <c r="B249" s="1042" t="s">
        <v>719</v>
      </c>
      <c r="C249" s="1043">
        <v>11100000</v>
      </c>
      <c r="D249" s="1052">
        <v>10970000</v>
      </c>
      <c r="E249" s="1052">
        <f>446782+9420326</f>
        <v>9867108</v>
      </c>
      <c r="F249" s="1045">
        <f t="shared" si="13"/>
        <v>0.8994628988149499</v>
      </c>
    </row>
    <row r="250" spans="1:256" x14ac:dyDescent="0.2">
      <c r="A250" s="1041" t="s">
        <v>703</v>
      </c>
      <c r="B250" s="1042" t="s">
        <v>557</v>
      </c>
      <c r="C250" s="1043">
        <v>3407000</v>
      </c>
      <c r="D250" s="1101">
        <v>3407000</v>
      </c>
      <c r="E250" s="1052">
        <v>2549246</v>
      </c>
      <c r="F250" s="1045">
        <f t="shared" si="13"/>
        <v>0.74823774581743474</v>
      </c>
    </row>
    <row r="251" spans="1:256" x14ac:dyDescent="0.2">
      <c r="A251" s="1041" t="s">
        <v>720</v>
      </c>
      <c r="B251" s="1042" t="s">
        <v>782</v>
      </c>
      <c r="C251" s="1105">
        <v>400000</v>
      </c>
      <c r="D251" s="1052">
        <v>370000</v>
      </c>
      <c r="E251" s="1052">
        <v>86640</v>
      </c>
      <c r="F251" s="1045">
        <f t="shared" si="13"/>
        <v>0.23416216216216215</v>
      </c>
    </row>
    <row r="252" spans="1:256" x14ac:dyDescent="0.2">
      <c r="A252" s="1548" t="s">
        <v>168</v>
      </c>
      <c r="B252" s="1548"/>
      <c r="C252" s="1043">
        <f>SUM(C245:C251)</f>
        <v>16622000</v>
      </c>
      <c r="D252" s="1043">
        <f>SUM(D245:D251)</f>
        <v>17122000</v>
      </c>
      <c r="E252" s="1043">
        <f>SUM(E245:E251)</f>
        <v>14066009</v>
      </c>
      <c r="F252" s="1045">
        <f t="shared" si="13"/>
        <v>0.82151670365611495</v>
      </c>
      <c r="G252" s="1051"/>
      <c r="H252" s="1051"/>
      <c r="I252" s="1051"/>
      <c r="J252" s="1051"/>
      <c r="K252" s="1051"/>
      <c r="L252" s="1051"/>
      <c r="M252" s="1051"/>
      <c r="N252" s="1051"/>
      <c r="O252" s="1051"/>
      <c r="P252" s="1051"/>
      <c r="Q252" s="1051"/>
      <c r="R252" s="1051"/>
      <c r="S252" s="1051"/>
      <c r="T252" s="1051"/>
      <c r="U252" s="1051"/>
      <c r="V252" s="1051"/>
      <c r="W252" s="1051"/>
      <c r="X252" s="1051"/>
      <c r="Y252" s="1051"/>
      <c r="Z252" s="1051"/>
      <c r="AA252" s="1051"/>
      <c r="AB252" s="1051"/>
      <c r="AC252" s="1051"/>
      <c r="AD252" s="1051"/>
      <c r="AE252" s="1051"/>
      <c r="AF252" s="1051"/>
      <c r="AG252" s="1051"/>
      <c r="AH252" s="1051"/>
      <c r="AI252" s="1051"/>
      <c r="AJ252" s="1051"/>
      <c r="AK252" s="1051"/>
      <c r="AL252" s="1051"/>
      <c r="AM252" s="1051"/>
      <c r="AN252" s="1051"/>
      <c r="AO252" s="1051"/>
      <c r="AP252" s="1051"/>
      <c r="AQ252" s="1051"/>
      <c r="AR252" s="1051"/>
      <c r="AS252" s="1051"/>
      <c r="AT252" s="1051"/>
      <c r="AU252" s="1051"/>
      <c r="AV252" s="1051"/>
      <c r="AW252" s="1051"/>
      <c r="AX252" s="1051"/>
      <c r="AY252" s="1051"/>
      <c r="AZ252" s="1051"/>
      <c r="BA252" s="1051"/>
      <c r="BB252" s="1051"/>
      <c r="BC252" s="1051"/>
      <c r="BD252" s="1051"/>
      <c r="BE252" s="1051"/>
      <c r="BF252" s="1051"/>
      <c r="BG252" s="1051"/>
      <c r="BH252" s="1051"/>
      <c r="BI252" s="1051"/>
      <c r="BJ252" s="1051"/>
      <c r="BK252" s="1051"/>
      <c r="BL252" s="1051"/>
      <c r="BM252" s="1051"/>
      <c r="BN252" s="1051"/>
      <c r="BO252" s="1051"/>
      <c r="BP252" s="1051"/>
      <c r="BQ252" s="1051"/>
      <c r="BR252" s="1051"/>
      <c r="BS252" s="1051"/>
      <c r="BT252" s="1051"/>
      <c r="BU252" s="1051"/>
      <c r="BV252" s="1051"/>
      <c r="BW252" s="1051"/>
      <c r="BX252" s="1051"/>
      <c r="BY252" s="1051"/>
      <c r="BZ252" s="1051"/>
      <c r="CA252" s="1051"/>
      <c r="CB252" s="1051"/>
      <c r="CC252" s="1051"/>
      <c r="CD252" s="1051"/>
      <c r="CE252" s="1051"/>
      <c r="CF252" s="1051"/>
      <c r="CG252" s="1051"/>
      <c r="CH252" s="1051"/>
      <c r="CI252" s="1051"/>
      <c r="CJ252" s="1051"/>
      <c r="CK252" s="1051"/>
      <c r="CL252" s="1051"/>
      <c r="CM252" s="1051"/>
      <c r="CN252" s="1051"/>
      <c r="CO252" s="1051"/>
      <c r="CP252" s="1051"/>
      <c r="CQ252" s="1051"/>
      <c r="CR252" s="1051"/>
      <c r="CS252" s="1051"/>
      <c r="CT252" s="1051"/>
      <c r="CU252" s="1051"/>
      <c r="CV252" s="1051"/>
      <c r="CW252" s="1051"/>
      <c r="CX252" s="1051"/>
      <c r="CY252" s="1051"/>
      <c r="CZ252" s="1051"/>
      <c r="DA252" s="1051"/>
      <c r="DB252" s="1051"/>
      <c r="DC252" s="1051"/>
      <c r="DD252" s="1051"/>
      <c r="DE252" s="1051"/>
      <c r="DF252" s="1051"/>
      <c r="DG252" s="1051"/>
      <c r="DH252" s="1051"/>
      <c r="DI252" s="1051"/>
      <c r="DJ252" s="1051"/>
      <c r="DK252" s="1051"/>
      <c r="DL252" s="1051"/>
      <c r="DM252" s="1051"/>
      <c r="DN252" s="1051"/>
      <c r="DO252" s="1051"/>
      <c r="DP252" s="1051"/>
      <c r="DQ252" s="1051"/>
      <c r="DR252" s="1051"/>
      <c r="DS252" s="1051"/>
      <c r="DT252" s="1051"/>
      <c r="DU252" s="1051"/>
      <c r="DV252" s="1051"/>
      <c r="DW252" s="1051"/>
      <c r="DX252" s="1051"/>
      <c r="DY252" s="1051"/>
      <c r="DZ252" s="1051"/>
      <c r="EA252" s="1051"/>
      <c r="EB252" s="1051"/>
      <c r="EC252" s="1051"/>
      <c r="ED252" s="1051"/>
      <c r="EE252" s="1051"/>
      <c r="EF252" s="1051"/>
      <c r="EG252" s="1051"/>
      <c r="EH252" s="1051"/>
      <c r="EI252" s="1051"/>
      <c r="EJ252" s="1051"/>
      <c r="EK252" s="1051"/>
      <c r="EL252" s="1051"/>
      <c r="EM252" s="1051"/>
      <c r="EN252" s="1051"/>
      <c r="EO252" s="1051"/>
      <c r="EP252" s="1051"/>
      <c r="EQ252" s="1051"/>
      <c r="ER252" s="1051"/>
      <c r="ES252" s="1051"/>
      <c r="ET252" s="1051"/>
      <c r="EU252" s="1051"/>
      <c r="EV252" s="1051"/>
      <c r="EW252" s="1051"/>
      <c r="EX252" s="1051"/>
      <c r="EY252" s="1051"/>
      <c r="EZ252" s="1051"/>
      <c r="FA252" s="1051"/>
      <c r="FB252" s="1051"/>
      <c r="FC252" s="1051"/>
      <c r="FD252" s="1051"/>
      <c r="FE252" s="1051"/>
      <c r="FF252" s="1051"/>
      <c r="FG252" s="1051"/>
      <c r="FH252" s="1051"/>
      <c r="FI252" s="1051"/>
      <c r="FJ252" s="1051"/>
      <c r="FK252" s="1051"/>
      <c r="FL252" s="1051"/>
      <c r="FM252" s="1051"/>
      <c r="FN252" s="1051"/>
      <c r="FO252" s="1051"/>
      <c r="FP252" s="1051"/>
      <c r="FQ252" s="1051"/>
      <c r="FR252" s="1051"/>
      <c r="FS252" s="1051"/>
      <c r="FT252" s="1051"/>
      <c r="FU252" s="1051"/>
      <c r="FV252" s="1051"/>
      <c r="FW252" s="1051"/>
      <c r="FX252" s="1051"/>
      <c r="FY252" s="1051"/>
      <c r="FZ252" s="1051"/>
      <c r="GA252" s="1051"/>
      <c r="GB252" s="1051"/>
      <c r="GC252" s="1051"/>
      <c r="GD252" s="1051"/>
      <c r="GE252" s="1051"/>
      <c r="GF252" s="1051"/>
      <c r="GG252" s="1051"/>
      <c r="GH252" s="1051"/>
      <c r="GI252" s="1051"/>
      <c r="GJ252" s="1051"/>
      <c r="GK252" s="1051"/>
      <c r="GL252" s="1051"/>
      <c r="GM252" s="1051"/>
      <c r="GN252" s="1051"/>
      <c r="GO252" s="1051"/>
      <c r="GP252" s="1051"/>
      <c r="GQ252" s="1051"/>
      <c r="GR252" s="1051"/>
      <c r="GS252" s="1051"/>
      <c r="GT252" s="1051"/>
      <c r="GU252" s="1051"/>
      <c r="GV252" s="1051"/>
      <c r="GW252" s="1051"/>
      <c r="GX252" s="1051"/>
      <c r="GY252" s="1051"/>
      <c r="GZ252" s="1051"/>
      <c r="HA252" s="1051"/>
      <c r="HB252" s="1051"/>
      <c r="HC252" s="1051"/>
      <c r="HD252" s="1051"/>
      <c r="HE252" s="1051"/>
      <c r="HF252" s="1051"/>
      <c r="HG252" s="1051"/>
      <c r="HH252" s="1051"/>
      <c r="HI252" s="1051"/>
      <c r="HJ252" s="1051"/>
      <c r="HK252" s="1051"/>
      <c r="HL252" s="1051"/>
      <c r="HM252" s="1051"/>
      <c r="HN252" s="1051"/>
      <c r="HO252" s="1051"/>
      <c r="HP252" s="1051"/>
      <c r="HQ252" s="1051"/>
      <c r="HR252" s="1051"/>
      <c r="HS252" s="1051"/>
      <c r="HT252" s="1051"/>
      <c r="HU252" s="1051"/>
      <c r="HV252" s="1051"/>
      <c r="HW252" s="1051"/>
      <c r="HX252" s="1051"/>
      <c r="HY252" s="1051"/>
      <c r="HZ252" s="1051"/>
      <c r="IA252" s="1051"/>
      <c r="IB252" s="1051"/>
      <c r="IC252" s="1051"/>
      <c r="ID252" s="1051"/>
      <c r="IE252" s="1051"/>
      <c r="IF252" s="1051"/>
      <c r="IG252" s="1051"/>
      <c r="IH252" s="1051"/>
      <c r="II252" s="1051"/>
      <c r="IJ252" s="1051"/>
      <c r="IK252" s="1051"/>
      <c r="IL252" s="1051"/>
      <c r="IM252" s="1051"/>
      <c r="IN252" s="1051"/>
      <c r="IO252" s="1051"/>
      <c r="IP252" s="1051"/>
      <c r="IQ252" s="1051"/>
      <c r="IR252" s="1051"/>
      <c r="IS252" s="1051"/>
      <c r="IT252" s="1051"/>
      <c r="IU252" s="1051"/>
      <c r="IV252" s="1051"/>
    </row>
    <row r="253" spans="1:256" x14ac:dyDescent="0.2">
      <c r="A253" s="1041" t="s">
        <v>611</v>
      </c>
      <c r="B253" s="1103" t="s">
        <v>783</v>
      </c>
      <c r="C253" s="1073">
        <v>5700000</v>
      </c>
      <c r="D253" s="1073">
        <v>5700000</v>
      </c>
      <c r="E253" s="1052">
        <v>4073271</v>
      </c>
      <c r="F253" s="1045">
        <f t="shared" si="13"/>
        <v>0.71460894736842107</v>
      </c>
      <c r="G253" s="1051"/>
      <c r="H253" s="1051"/>
      <c r="I253" s="1051"/>
      <c r="J253" s="1051"/>
      <c r="K253" s="1051"/>
      <c r="L253" s="1051"/>
      <c r="M253" s="1051"/>
      <c r="N253" s="1051"/>
      <c r="O253" s="1051"/>
      <c r="P253" s="1051"/>
      <c r="Q253" s="1051"/>
      <c r="R253" s="1051"/>
      <c r="S253" s="1051"/>
      <c r="T253" s="1051"/>
      <c r="U253" s="1051"/>
      <c r="V253" s="1051"/>
      <c r="W253" s="1051"/>
      <c r="X253" s="1051"/>
      <c r="Y253" s="1051"/>
      <c r="Z253" s="1051"/>
      <c r="AA253" s="1051"/>
      <c r="AB253" s="1051"/>
      <c r="AC253" s="1051"/>
      <c r="AD253" s="1051"/>
      <c r="AE253" s="1051"/>
      <c r="AF253" s="1051"/>
      <c r="AG253" s="1051"/>
      <c r="AH253" s="1051"/>
      <c r="AI253" s="1051"/>
      <c r="AJ253" s="1051"/>
      <c r="AK253" s="1051"/>
      <c r="AL253" s="1051"/>
      <c r="AM253" s="1051"/>
      <c r="AN253" s="1051"/>
      <c r="AO253" s="1051"/>
      <c r="AP253" s="1051"/>
      <c r="AQ253" s="1051"/>
      <c r="AR253" s="1051"/>
      <c r="AS253" s="1051"/>
      <c r="AT253" s="1051"/>
      <c r="AU253" s="1051"/>
      <c r="AV253" s="1051"/>
      <c r="AW253" s="1051"/>
      <c r="AX253" s="1051"/>
      <c r="AY253" s="1051"/>
      <c r="AZ253" s="1051"/>
      <c r="BA253" s="1051"/>
      <c r="BB253" s="1051"/>
      <c r="BC253" s="1051"/>
      <c r="BD253" s="1051"/>
      <c r="BE253" s="1051"/>
      <c r="BF253" s="1051"/>
      <c r="BG253" s="1051"/>
      <c r="BH253" s="1051"/>
      <c r="BI253" s="1051"/>
      <c r="BJ253" s="1051"/>
      <c r="BK253" s="1051"/>
      <c r="BL253" s="1051"/>
      <c r="BM253" s="1051"/>
      <c r="BN253" s="1051"/>
      <c r="BO253" s="1051"/>
      <c r="BP253" s="1051"/>
      <c r="BQ253" s="1051"/>
      <c r="BR253" s="1051"/>
      <c r="BS253" s="1051"/>
      <c r="BT253" s="1051"/>
      <c r="BU253" s="1051"/>
      <c r="BV253" s="1051"/>
      <c r="BW253" s="1051"/>
      <c r="BX253" s="1051"/>
      <c r="BY253" s="1051"/>
      <c r="BZ253" s="1051"/>
      <c r="CA253" s="1051"/>
      <c r="CB253" s="1051"/>
      <c r="CC253" s="1051"/>
      <c r="CD253" s="1051"/>
      <c r="CE253" s="1051"/>
      <c r="CF253" s="1051"/>
      <c r="CG253" s="1051"/>
      <c r="CH253" s="1051"/>
      <c r="CI253" s="1051"/>
      <c r="CJ253" s="1051"/>
      <c r="CK253" s="1051"/>
      <c r="CL253" s="1051"/>
      <c r="CM253" s="1051"/>
      <c r="CN253" s="1051"/>
      <c r="CO253" s="1051"/>
      <c r="CP253" s="1051"/>
      <c r="CQ253" s="1051"/>
      <c r="CR253" s="1051"/>
      <c r="CS253" s="1051"/>
      <c r="CT253" s="1051"/>
      <c r="CU253" s="1051"/>
      <c r="CV253" s="1051"/>
      <c r="CW253" s="1051"/>
      <c r="CX253" s="1051"/>
      <c r="CY253" s="1051"/>
      <c r="CZ253" s="1051"/>
      <c r="DA253" s="1051"/>
      <c r="DB253" s="1051"/>
      <c r="DC253" s="1051"/>
      <c r="DD253" s="1051"/>
      <c r="DE253" s="1051"/>
      <c r="DF253" s="1051"/>
      <c r="DG253" s="1051"/>
      <c r="DH253" s="1051"/>
      <c r="DI253" s="1051"/>
      <c r="DJ253" s="1051"/>
      <c r="DK253" s="1051"/>
      <c r="DL253" s="1051"/>
      <c r="DM253" s="1051"/>
      <c r="DN253" s="1051"/>
      <c r="DO253" s="1051"/>
      <c r="DP253" s="1051"/>
      <c r="DQ253" s="1051"/>
      <c r="DR253" s="1051"/>
      <c r="DS253" s="1051"/>
      <c r="DT253" s="1051"/>
      <c r="DU253" s="1051"/>
      <c r="DV253" s="1051"/>
      <c r="DW253" s="1051"/>
      <c r="DX253" s="1051"/>
      <c r="DY253" s="1051"/>
      <c r="DZ253" s="1051"/>
      <c r="EA253" s="1051"/>
      <c r="EB253" s="1051"/>
      <c r="EC253" s="1051"/>
      <c r="ED253" s="1051"/>
      <c r="EE253" s="1051"/>
      <c r="EF253" s="1051"/>
      <c r="EG253" s="1051"/>
      <c r="EH253" s="1051"/>
      <c r="EI253" s="1051"/>
      <c r="EJ253" s="1051"/>
      <c r="EK253" s="1051"/>
      <c r="EL253" s="1051"/>
      <c r="EM253" s="1051"/>
      <c r="EN253" s="1051"/>
      <c r="EO253" s="1051"/>
      <c r="EP253" s="1051"/>
      <c r="EQ253" s="1051"/>
      <c r="ER253" s="1051"/>
      <c r="ES253" s="1051"/>
      <c r="ET253" s="1051"/>
      <c r="EU253" s="1051"/>
      <c r="EV253" s="1051"/>
      <c r="EW253" s="1051"/>
      <c r="EX253" s="1051"/>
      <c r="EY253" s="1051"/>
      <c r="EZ253" s="1051"/>
      <c r="FA253" s="1051"/>
      <c r="FB253" s="1051"/>
      <c r="FC253" s="1051"/>
      <c r="FD253" s="1051"/>
      <c r="FE253" s="1051"/>
      <c r="FF253" s="1051"/>
      <c r="FG253" s="1051"/>
      <c r="FH253" s="1051"/>
      <c r="FI253" s="1051"/>
      <c r="FJ253" s="1051"/>
      <c r="FK253" s="1051"/>
      <c r="FL253" s="1051"/>
      <c r="FM253" s="1051"/>
      <c r="FN253" s="1051"/>
      <c r="FO253" s="1051"/>
      <c r="FP253" s="1051"/>
      <c r="FQ253" s="1051"/>
      <c r="FR253" s="1051"/>
      <c r="FS253" s="1051"/>
      <c r="FT253" s="1051"/>
      <c r="FU253" s="1051"/>
      <c r="FV253" s="1051"/>
      <c r="FW253" s="1051"/>
      <c r="FX253" s="1051"/>
      <c r="FY253" s="1051"/>
      <c r="FZ253" s="1051"/>
      <c r="GA253" s="1051"/>
      <c r="GB253" s="1051"/>
      <c r="GC253" s="1051"/>
      <c r="GD253" s="1051"/>
      <c r="GE253" s="1051"/>
      <c r="GF253" s="1051"/>
      <c r="GG253" s="1051"/>
      <c r="GH253" s="1051"/>
      <c r="GI253" s="1051"/>
      <c r="GJ253" s="1051"/>
      <c r="GK253" s="1051"/>
      <c r="GL253" s="1051"/>
      <c r="GM253" s="1051"/>
      <c r="GN253" s="1051"/>
      <c r="GO253" s="1051"/>
      <c r="GP253" s="1051"/>
      <c r="GQ253" s="1051"/>
      <c r="GR253" s="1051"/>
      <c r="GS253" s="1051"/>
      <c r="GT253" s="1051"/>
      <c r="GU253" s="1051"/>
      <c r="GV253" s="1051"/>
      <c r="GW253" s="1051"/>
      <c r="GX253" s="1051"/>
      <c r="GY253" s="1051"/>
      <c r="GZ253" s="1051"/>
      <c r="HA253" s="1051"/>
      <c r="HB253" s="1051"/>
      <c r="HC253" s="1051"/>
      <c r="HD253" s="1051"/>
      <c r="HE253" s="1051"/>
      <c r="HF253" s="1051"/>
      <c r="HG253" s="1051"/>
      <c r="HH253" s="1051"/>
      <c r="HI253" s="1051"/>
      <c r="HJ253" s="1051"/>
      <c r="HK253" s="1051"/>
      <c r="HL253" s="1051"/>
      <c r="HM253" s="1051"/>
      <c r="HN253" s="1051"/>
      <c r="HO253" s="1051"/>
      <c r="HP253" s="1051"/>
      <c r="HQ253" s="1051"/>
      <c r="HR253" s="1051"/>
      <c r="HS253" s="1051"/>
      <c r="HT253" s="1051"/>
      <c r="HU253" s="1051"/>
      <c r="HV253" s="1051"/>
      <c r="HW253" s="1051"/>
      <c r="HX253" s="1051"/>
      <c r="HY253" s="1051"/>
      <c r="HZ253" s="1051"/>
      <c r="IA253" s="1051"/>
      <c r="IB253" s="1051"/>
      <c r="IC253" s="1051"/>
      <c r="ID253" s="1051"/>
      <c r="IE253" s="1051"/>
      <c r="IF253" s="1051"/>
      <c r="IG253" s="1051"/>
      <c r="IH253" s="1051"/>
      <c r="II253" s="1051"/>
      <c r="IJ253" s="1051"/>
      <c r="IK253" s="1051"/>
      <c r="IL253" s="1051"/>
      <c r="IM253" s="1051"/>
      <c r="IN253" s="1051"/>
      <c r="IO253" s="1051"/>
      <c r="IP253" s="1051"/>
      <c r="IQ253" s="1051"/>
      <c r="IR253" s="1051"/>
      <c r="IS253" s="1051"/>
      <c r="IT253" s="1051"/>
      <c r="IU253" s="1051"/>
      <c r="IV253" s="1051"/>
    </row>
    <row r="254" spans="1:256" x14ac:dyDescent="0.2">
      <c r="A254" s="1041" t="s">
        <v>613</v>
      </c>
      <c r="B254" s="1103" t="s">
        <v>768</v>
      </c>
      <c r="C254" s="1073">
        <v>1540000</v>
      </c>
      <c r="D254" s="1073">
        <v>1540000</v>
      </c>
      <c r="E254" s="1052">
        <v>1099783</v>
      </c>
      <c r="F254" s="1045">
        <f t="shared" si="13"/>
        <v>0.71414480519480517</v>
      </c>
      <c r="G254" s="1051"/>
      <c r="H254" s="1051"/>
      <c r="I254" s="1051"/>
      <c r="J254" s="1051"/>
      <c r="K254" s="1051"/>
      <c r="L254" s="1051"/>
      <c r="M254" s="1051"/>
      <c r="N254" s="1051"/>
      <c r="O254" s="1051"/>
      <c r="P254" s="1051"/>
      <c r="Q254" s="1051"/>
      <c r="R254" s="1051"/>
      <c r="S254" s="1051"/>
      <c r="T254" s="1051"/>
      <c r="U254" s="1051"/>
      <c r="V254" s="1051"/>
      <c r="W254" s="1051"/>
      <c r="X254" s="1051"/>
      <c r="Y254" s="1051"/>
      <c r="Z254" s="1051"/>
      <c r="AA254" s="1051"/>
      <c r="AB254" s="1051"/>
      <c r="AC254" s="1051"/>
      <c r="AD254" s="1051"/>
      <c r="AE254" s="1051"/>
      <c r="AF254" s="1051"/>
      <c r="AG254" s="1051"/>
      <c r="AH254" s="1051"/>
      <c r="AI254" s="1051"/>
      <c r="AJ254" s="1051"/>
      <c r="AK254" s="1051"/>
      <c r="AL254" s="1051"/>
      <c r="AM254" s="1051"/>
      <c r="AN254" s="1051"/>
      <c r="AO254" s="1051"/>
      <c r="AP254" s="1051"/>
      <c r="AQ254" s="1051"/>
      <c r="AR254" s="1051"/>
      <c r="AS254" s="1051"/>
      <c r="AT254" s="1051"/>
      <c r="AU254" s="1051"/>
      <c r="AV254" s="1051"/>
      <c r="AW254" s="1051"/>
      <c r="AX254" s="1051"/>
      <c r="AY254" s="1051"/>
      <c r="AZ254" s="1051"/>
      <c r="BA254" s="1051"/>
      <c r="BB254" s="1051"/>
      <c r="BC254" s="1051"/>
      <c r="BD254" s="1051"/>
      <c r="BE254" s="1051"/>
      <c r="BF254" s="1051"/>
      <c r="BG254" s="1051"/>
      <c r="BH254" s="1051"/>
      <c r="BI254" s="1051"/>
      <c r="BJ254" s="1051"/>
      <c r="BK254" s="1051"/>
      <c r="BL254" s="1051"/>
      <c r="BM254" s="1051"/>
      <c r="BN254" s="1051"/>
      <c r="BO254" s="1051"/>
      <c r="BP254" s="1051"/>
      <c r="BQ254" s="1051"/>
      <c r="BR254" s="1051"/>
      <c r="BS254" s="1051"/>
      <c r="BT254" s="1051"/>
      <c r="BU254" s="1051"/>
      <c r="BV254" s="1051"/>
      <c r="BW254" s="1051"/>
      <c r="BX254" s="1051"/>
      <c r="BY254" s="1051"/>
      <c r="BZ254" s="1051"/>
      <c r="CA254" s="1051"/>
      <c r="CB254" s="1051"/>
      <c r="CC254" s="1051"/>
      <c r="CD254" s="1051"/>
      <c r="CE254" s="1051"/>
      <c r="CF254" s="1051"/>
      <c r="CG254" s="1051"/>
      <c r="CH254" s="1051"/>
      <c r="CI254" s="1051"/>
      <c r="CJ254" s="1051"/>
      <c r="CK254" s="1051"/>
      <c r="CL254" s="1051"/>
      <c r="CM254" s="1051"/>
      <c r="CN254" s="1051"/>
      <c r="CO254" s="1051"/>
      <c r="CP254" s="1051"/>
      <c r="CQ254" s="1051"/>
      <c r="CR254" s="1051"/>
      <c r="CS254" s="1051"/>
      <c r="CT254" s="1051"/>
      <c r="CU254" s="1051"/>
      <c r="CV254" s="1051"/>
      <c r="CW254" s="1051"/>
      <c r="CX254" s="1051"/>
      <c r="CY254" s="1051"/>
      <c r="CZ254" s="1051"/>
      <c r="DA254" s="1051"/>
      <c r="DB254" s="1051"/>
      <c r="DC254" s="1051"/>
      <c r="DD254" s="1051"/>
      <c r="DE254" s="1051"/>
      <c r="DF254" s="1051"/>
      <c r="DG254" s="1051"/>
      <c r="DH254" s="1051"/>
      <c r="DI254" s="1051"/>
      <c r="DJ254" s="1051"/>
      <c r="DK254" s="1051"/>
      <c r="DL254" s="1051"/>
      <c r="DM254" s="1051"/>
      <c r="DN254" s="1051"/>
      <c r="DO254" s="1051"/>
      <c r="DP254" s="1051"/>
      <c r="DQ254" s="1051"/>
      <c r="DR254" s="1051"/>
      <c r="DS254" s="1051"/>
      <c r="DT254" s="1051"/>
      <c r="DU254" s="1051"/>
      <c r="DV254" s="1051"/>
      <c r="DW254" s="1051"/>
      <c r="DX254" s="1051"/>
      <c r="DY254" s="1051"/>
      <c r="DZ254" s="1051"/>
      <c r="EA254" s="1051"/>
      <c r="EB254" s="1051"/>
      <c r="EC254" s="1051"/>
      <c r="ED254" s="1051"/>
      <c r="EE254" s="1051"/>
      <c r="EF254" s="1051"/>
      <c r="EG254" s="1051"/>
      <c r="EH254" s="1051"/>
      <c r="EI254" s="1051"/>
      <c r="EJ254" s="1051"/>
      <c r="EK254" s="1051"/>
      <c r="EL254" s="1051"/>
      <c r="EM254" s="1051"/>
      <c r="EN254" s="1051"/>
      <c r="EO254" s="1051"/>
      <c r="EP254" s="1051"/>
      <c r="EQ254" s="1051"/>
      <c r="ER254" s="1051"/>
      <c r="ES254" s="1051"/>
      <c r="ET254" s="1051"/>
      <c r="EU254" s="1051"/>
      <c r="EV254" s="1051"/>
      <c r="EW254" s="1051"/>
      <c r="EX254" s="1051"/>
      <c r="EY254" s="1051"/>
      <c r="EZ254" s="1051"/>
      <c r="FA254" s="1051"/>
      <c r="FB254" s="1051"/>
      <c r="FC254" s="1051"/>
      <c r="FD254" s="1051"/>
      <c r="FE254" s="1051"/>
      <c r="FF254" s="1051"/>
      <c r="FG254" s="1051"/>
      <c r="FH254" s="1051"/>
      <c r="FI254" s="1051"/>
      <c r="FJ254" s="1051"/>
      <c r="FK254" s="1051"/>
      <c r="FL254" s="1051"/>
      <c r="FM254" s="1051"/>
      <c r="FN254" s="1051"/>
      <c r="FO254" s="1051"/>
      <c r="FP254" s="1051"/>
      <c r="FQ254" s="1051"/>
      <c r="FR254" s="1051"/>
      <c r="FS254" s="1051"/>
      <c r="FT254" s="1051"/>
      <c r="FU254" s="1051"/>
      <c r="FV254" s="1051"/>
      <c r="FW254" s="1051"/>
      <c r="FX254" s="1051"/>
      <c r="FY254" s="1051"/>
      <c r="FZ254" s="1051"/>
      <c r="GA254" s="1051"/>
      <c r="GB254" s="1051"/>
      <c r="GC254" s="1051"/>
      <c r="GD254" s="1051"/>
      <c r="GE254" s="1051"/>
      <c r="GF254" s="1051"/>
      <c r="GG254" s="1051"/>
      <c r="GH254" s="1051"/>
      <c r="GI254" s="1051"/>
      <c r="GJ254" s="1051"/>
      <c r="GK254" s="1051"/>
      <c r="GL254" s="1051"/>
      <c r="GM254" s="1051"/>
      <c r="GN254" s="1051"/>
      <c r="GO254" s="1051"/>
      <c r="GP254" s="1051"/>
      <c r="GQ254" s="1051"/>
      <c r="GR254" s="1051"/>
      <c r="GS254" s="1051"/>
      <c r="GT254" s="1051"/>
      <c r="GU254" s="1051"/>
      <c r="GV254" s="1051"/>
      <c r="GW254" s="1051"/>
      <c r="GX254" s="1051"/>
      <c r="GY254" s="1051"/>
      <c r="GZ254" s="1051"/>
      <c r="HA254" s="1051"/>
      <c r="HB254" s="1051"/>
      <c r="HC254" s="1051"/>
      <c r="HD254" s="1051"/>
      <c r="HE254" s="1051"/>
      <c r="HF254" s="1051"/>
      <c r="HG254" s="1051"/>
      <c r="HH254" s="1051"/>
      <c r="HI254" s="1051"/>
      <c r="HJ254" s="1051"/>
      <c r="HK254" s="1051"/>
      <c r="HL254" s="1051"/>
      <c r="HM254" s="1051"/>
      <c r="HN254" s="1051"/>
      <c r="HO254" s="1051"/>
      <c r="HP254" s="1051"/>
      <c r="HQ254" s="1051"/>
      <c r="HR254" s="1051"/>
      <c r="HS254" s="1051"/>
      <c r="HT254" s="1051"/>
      <c r="HU254" s="1051"/>
      <c r="HV254" s="1051"/>
      <c r="HW254" s="1051"/>
      <c r="HX254" s="1051"/>
      <c r="HY254" s="1051"/>
      <c r="HZ254" s="1051"/>
      <c r="IA254" s="1051"/>
      <c r="IB254" s="1051"/>
      <c r="IC254" s="1051"/>
      <c r="ID254" s="1051"/>
      <c r="IE254" s="1051"/>
      <c r="IF254" s="1051"/>
      <c r="IG254" s="1051"/>
      <c r="IH254" s="1051"/>
      <c r="II254" s="1051"/>
      <c r="IJ254" s="1051"/>
      <c r="IK254" s="1051"/>
      <c r="IL254" s="1051"/>
      <c r="IM254" s="1051"/>
      <c r="IN254" s="1051"/>
      <c r="IO254" s="1051"/>
      <c r="IP254" s="1051"/>
      <c r="IQ254" s="1051"/>
      <c r="IR254" s="1051"/>
      <c r="IS254" s="1051"/>
      <c r="IT254" s="1051"/>
      <c r="IU254" s="1051"/>
      <c r="IV254" s="1051"/>
    </row>
    <row r="255" spans="1:256" x14ac:dyDescent="0.2">
      <c r="A255" s="1548" t="s">
        <v>12</v>
      </c>
      <c r="B255" s="1548"/>
      <c r="C255" s="1043">
        <f>SUM(C253:C254)</f>
        <v>7240000</v>
      </c>
      <c r="D255" s="1043">
        <f>SUM(D253:D254)</f>
        <v>7240000</v>
      </c>
      <c r="E255" s="1043">
        <f>SUM(E253:E254)</f>
        <v>5173054</v>
      </c>
      <c r="F255" s="1045">
        <f t="shared" si="13"/>
        <v>0.71451022099447514</v>
      </c>
      <c r="G255" s="1051"/>
      <c r="H255" s="1051"/>
      <c r="I255" s="1051"/>
      <c r="J255" s="1051"/>
      <c r="K255" s="1051"/>
      <c r="L255" s="1051"/>
      <c r="M255" s="1051"/>
      <c r="N255" s="1051"/>
      <c r="O255" s="1051"/>
      <c r="P255" s="1051"/>
      <c r="Q255" s="1051"/>
      <c r="R255" s="1051"/>
      <c r="S255" s="1051"/>
      <c r="T255" s="1051"/>
      <c r="U255" s="1051"/>
      <c r="V255" s="1051"/>
      <c r="W255" s="1051"/>
      <c r="X255" s="1051"/>
      <c r="Y255" s="1051"/>
      <c r="Z255" s="1051"/>
      <c r="AA255" s="1051"/>
      <c r="AB255" s="1051"/>
      <c r="AC255" s="1051"/>
      <c r="AD255" s="1051"/>
      <c r="AE255" s="1051"/>
      <c r="AF255" s="1051"/>
      <c r="AG255" s="1051"/>
      <c r="AH255" s="1051"/>
      <c r="AI255" s="1051"/>
      <c r="AJ255" s="1051"/>
      <c r="AK255" s="1051"/>
      <c r="AL255" s="1051"/>
      <c r="AM255" s="1051"/>
      <c r="AN255" s="1051"/>
      <c r="AO255" s="1051"/>
      <c r="AP255" s="1051"/>
      <c r="AQ255" s="1051"/>
      <c r="AR255" s="1051"/>
      <c r="AS255" s="1051"/>
      <c r="AT255" s="1051"/>
      <c r="AU255" s="1051"/>
      <c r="AV255" s="1051"/>
      <c r="AW255" s="1051"/>
      <c r="AX255" s="1051"/>
      <c r="AY255" s="1051"/>
      <c r="AZ255" s="1051"/>
      <c r="BA255" s="1051"/>
      <c r="BB255" s="1051"/>
      <c r="BC255" s="1051"/>
      <c r="BD255" s="1051"/>
      <c r="BE255" s="1051"/>
      <c r="BF255" s="1051"/>
      <c r="BG255" s="1051"/>
      <c r="BH255" s="1051"/>
      <c r="BI255" s="1051"/>
      <c r="BJ255" s="1051"/>
      <c r="BK255" s="1051"/>
      <c r="BL255" s="1051"/>
      <c r="BM255" s="1051"/>
      <c r="BN255" s="1051"/>
      <c r="BO255" s="1051"/>
      <c r="BP255" s="1051"/>
      <c r="BQ255" s="1051"/>
      <c r="BR255" s="1051"/>
      <c r="BS255" s="1051"/>
      <c r="BT255" s="1051"/>
      <c r="BU255" s="1051"/>
      <c r="BV255" s="1051"/>
      <c r="BW255" s="1051"/>
      <c r="BX255" s="1051"/>
      <c r="BY255" s="1051"/>
      <c r="BZ255" s="1051"/>
      <c r="CA255" s="1051"/>
      <c r="CB255" s="1051"/>
      <c r="CC255" s="1051"/>
      <c r="CD255" s="1051"/>
      <c r="CE255" s="1051"/>
      <c r="CF255" s="1051"/>
      <c r="CG255" s="1051"/>
      <c r="CH255" s="1051"/>
      <c r="CI255" s="1051"/>
      <c r="CJ255" s="1051"/>
      <c r="CK255" s="1051"/>
      <c r="CL255" s="1051"/>
      <c r="CM255" s="1051"/>
      <c r="CN255" s="1051"/>
      <c r="CO255" s="1051"/>
      <c r="CP255" s="1051"/>
      <c r="CQ255" s="1051"/>
      <c r="CR255" s="1051"/>
      <c r="CS255" s="1051"/>
      <c r="CT255" s="1051"/>
      <c r="CU255" s="1051"/>
      <c r="CV255" s="1051"/>
      <c r="CW255" s="1051"/>
      <c r="CX255" s="1051"/>
      <c r="CY255" s="1051"/>
      <c r="CZ255" s="1051"/>
      <c r="DA255" s="1051"/>
      <c r="DB255" s="1051"/>
      <c r="DC255" s="1051"/>
      <c r="DD255" s="1051"/>
      <c r="DE255" s="1051"/>
      <c r="DF255" s="1051"/>
      <c r="DG255" s="1051"/>
      <c r="DH255" s="1051"/>
      <c r="DI255" s="1051"/>
      <c r="DJ255" s="1051"/>
      <c r="DK255" s="1051"/>
      <c r="DL255" s="1051"/>
      <c r="DM255" s="1051"/>
      <c r="DN255" s="1051"/>
      <c r="DO255" s="1051"/>
      <c r="DP255" s="1051"/>
      <c r="DQ255" s="1051"/>
      <c r="DR255" s="1051"/>
      <c r="DS255" s="1051"/>
      <c r="DT255" s="1051"/>
      <c r="DU255" s="1051"/>
      <c r="DV255" s="1051"/>
      <c r="DW255" s="1051"/>
      <c r="DX255" s="1051"/>
      <c r="DY255" s="1051"/>
      <c r="DZ255" s="1051"/>
      <c r="EA255" s="1051"/>
      <c r="EB255" s="1051"/>
      <c r="EC255" s="1051"/>
      <c r="ED255" s="1051"/>
      <c r="EE255" s="1051"/>
      <c r="EF255" s="1051"/>
      <c r="EG255" s="1051"/>
      <c r="EH255" s="1051"/>
      <c r="EI255" s="1051"/>
      <c r="EJ255" s="1051"/>
      <c r="EK255" s="1051"/>
      <c r="EL255" s="1051"/>
      <c r="EM255" s="1051"/>
      <c r="EN255" s="1051"/>
      <c r="EO255" s="1051"/>
      <c r="EP255" s="1051"/>
      <c r="EQ255" s="1051"/>
      <c r="ER255" s="1051"/>
      <c r="ES255" s="1051"/>
      <c r="ET255" s="1051"/>
      <c r="EU255" s="1051"/>
      <c r="EV255" s="1051"/>
      <c r="EW255" s="1051"/>
      <c r="EX255" s="1051"/>
      <c r="EY255" s="1051"/>
      <c r="EZ255" s="1051"/>
      <c r="FA255" s="1051"/>
      <c r="FB255" s="1051"/>
      <c r="FC255" s="1051"/>
      <c r="FD255" s="1051"/>
      <c r="FE255" s="1051"/>
      <c r="FF255" s="1051"/>
      <c r="FG255" s="1051"/>
      <c r="FH255" s="1051"/>
      <c r="FI255" s="1051"/>
      <c r="FJ255" s="1051"/>
      <c r="FK255" s="1051"/>
      <c r="FL255" s="1051"/>
      <c r="FM255" s="1051"/>
      <c r="FN255" s="1051"/>
      <c r="FO255" s="1051"/>
      <c r="FP255" s="1051"/>
      <c r="FQ255" s="1051"/>
      <c r="FR255" s="1051"/>
      <c r="FS255" s="1051"/>
      <c r="FT255" s="1051"/>
      <c r="FU255" s="1051"/>
      <c r="FV255" s="1051"/>
      <c r="FW255" s="1051"/>
      <c r="FX255" s="1051"/>
      <c r="FY255" s="1051"/>
      <c r="FZ255" s="1051"/>
      <c r="GA255" s="1051"/>
      <c r="GB255" s="1051"/>
      <c r="GC255" s="1051"/>
      <c r="GD255" s="1051"/>
      <c r="GE255" s="1051"/>
      <c r="GF255" s="1051"/>
      <c r="GG255" s="1051"/>
      <c r="GH255" s="1051"/>
      <c r="GI255" s="1051"/>
      <c r="GJ255" s="1051"/>
      <c r="GK255" s="1051"/>
      <c r="GL255" s="1051"/>
      <c r="GM255" s="1051"/>
      <c r="GN255" s="1051"/>
      <c r="GO255" s="1051"/>
      <c r="GP255" s="1051"/>
      <c r="GQ255" s="1051"/>
      <c r="GR255" s="1051"/>
      <c r="GS255" s="1051"/>
      <c r="GT255" s="1051"/>
      <c r="GU255" s="1051"/>
      <c r="GV255" s="1051"/>
      <c r="GW255" s="1051"/>
      <c r="GX255" s="1051"/>
      <c r="GY255" s="1051"/>
      <c r="GZ255" s="1051"/>
      <c r="HA255" s="1051"/>
      <c r="HB255" s="1051"/>
      <c r="HC255" s="1051"/>
      <c r="HD255" s="1051"/>
      <c r="HE255" s="1051"/>
      <c r="HF255" s="1051"/>
      <c r="HG255" s="1051"/>
      <c r="HH255" s="1051"/>
      <c r="HI255" s="1051"/>
      <c r="HJ255" s="1051"/>
      <c r="HK255" s="1051"/>
      <c r="HL255" s="1051"/>
      <c r="HM255" s="1051"/>
      <c r="HN255" s="1051"/>
      <c r="HO255" s="1051"/>
      <c r="HP255" s="1051"/>
      <c r="HQ255" s="1051"/>
      <c r="HR255" s="1051"/>
      <c r="HS255" s="1051"/>
      <c r="HT255" s="1051"/>
      <c r="HU255" s="1051"/>
      <c r="HV255" s="1051"/>
      <c r="HW255" s="1051"/>
      <c r="HX255" s="1051"/>
      <c r="HY255" s="1051"/>
      <c r="HZ255" s="1051"/>
      <c r="IA255" s="1051"/>
      <c r="IB255" s="1051"/>
      <c r="IC255" s="1051"/>
      <c r="ID255" s="1051"/>
      <c r="IE255" s="1051"/>
      <c r="IF255" s="1051"/>
      <c r="IG255" s="1051"/>
      <c r="IH255" s="1051"/>
      <c r="II255" s="1051"/>
      <c r="IJ255" s="1051"/>
      <c r="IK255" s="1051"/>
      <c r="IL255" s="1051"/>
      <c r="IM255" s="1051"/>
      <c r="IN255" s="1051"/>
      <c r="IO255" s="1051"/>
      <c r="IP255" s="1051"/>
      <c r="IQ255" s="1051"/>
      <c r="IR255" s="1051"/>
      <c r="IS255" s="1051"/>
      <c r="IT255" s="1051"/>
      <c r="IU255" s="1051"/>
      <c r="IV255" s="1051"/>
    </row>
    <row r="256" spans="1:256" x14ac:dyDescent="0.2">
      <c r="A256" s="1549" t="s">
        <v>73</v>
      </c>
      <c r="B256" s="1549"/>
      <c r="C256" s="1046">
        <f>C252+C255+C244+C242</f>
        <v>26459000</v>
      </c>
      <c r="D256" s="1046">
        <f>D252+D255+D244+D242</f>
        <v>27264532</v>
      </c>
      <c r="E256" s="1046">
        <f>E252+E255+E244+E242</f>
        <v>21805395</v>
      </c>
      <c r="F256" s="1047">
        <f t="shared" si="13"/>
        <v>0.79977147599672715</v>
      </c>
    </row>
    <row r="257" spans="1:256" x14ac:dyDescent="0.2">
      <c r="A257" s="1552" t="s">
        <v>183</v>
      </c>
      <c r="B257" s="1553"/>
      <c r="C257" s="1553"/>
      <c r="D257" s="1553"/>
      <c r="E257" s="1553"/>
      <c r="F257" s="1554"/>
    </row>
    <row r="258" spans="1:256" x14ac:dyDescent="0.2">
      <c r="A258" s="1065" t="s">
        <v>70</v>
      </c>
      <c r="B258" s="1066" t="s">
        <v>71</v>
      </c>
      <c r="C258" s="1038" t="s">
        <v>687</v>
      </c>
      <c r="D258" s="1038" t="s">
        <v>688</v>
      </c>
      <c r="E258" s="1039" t="s">
        <v>689</v>
      </c>
      <c r="F258" s="1040" t="s">
        <v>690</v>
      </c>
    </row>
    <row r="259" spans="1:256" x14ac:dyDescent="0.2">
      <c r="A259" s="1041" t="s">
        <v>734</v>
      </c>
      <c r="B259" s="1042" t="s">
        <v>787</v>
      </c>
      <c r="C259" s="1043">
        <v>4724350</v>
      </c>
      <c r="D259" s="1043">
        <v>5928700</v>
      </c>
      <c r="E259" s="1052">
        <v>5928700</v>
      </c>
      <c r="F259" s="1045">
        <f>E259/D259</f>
        <v>1</v>
      </c>
    </row>
    <row r="260" spans="1:256" x14ac:dyDescent="0.2">
      <c r="A260" s="1548" t="s">
        <v>18</v>
      </c>
      <c r="B260" s="1548"/>
      <c r="C260" s="1043">
        <f>SUM(C259)</f>
        <v>4724350</v>
      </c>
      <c r="D260" s="1043">
        <f>SUM(D259)</f>
        <v>5928700</v>
      </c>
      <c r="E260" s="1043">
        <f>SUM(E259)</f>
        <v>5928700</v>
      </c>
      <c r="F260" s="1045">
        <f t="shared" ref="F260:F282" si="14">E260/D260</f>
        <v>1</v>
      </c>
      <c r="G260" s="1051"/>
      <c r="H260" s="1051"/>
      <c r="I260" s="1051"/>
      <c r="J260" s="1051"/>
      <c r="K260" s="1051"/>
      <c r="L260" s="1051"/>
      <c r="M260" s="1051"/>
      <c r="N260" s="1051"/>
      <c r="O260" s="1051"/>
      <c r="P260" s="1051"/>
      <c r="Q260" s="1051"/>
      <c r="R260" s="1051"/>
      <c r="S260" s="1051"/>
      <c r="T260" s="1051"/>
      <c r="U260" s="1051"/>
      <c r="V260" s="1051"/>
      <c r="W260" s="1051"/>
      <c r="X260" s="1051"/>
      <c r="Y260" s="1051"/>
      <c r="Z260" s="1051"/>
      <c r="AA260" s="1051"/>
      <c r="AB260" s="1051"/>
      <c r="AC260" s="1051"/>
      <c r="AD260" s="1051"/>
      <c r="AE260" s="1051"/>
      <c r="AF260" s="1051"/>
      <c r="AG260" s="1051"/>
      <c r="AH260" s="1051"/>
      <c r="AI260" s="1051"/>
      <c r="AJ260" s="1051"/>
      <c r="AK260" s="1051"/>
      <c r="AL260" s="1051"/>
      <c r="AM260" s="1051"/>
      <c r="AN260" s="1051"/>
      <c r="AO260" s="1051"/>
      <c r="AP260" s="1051"/>
      <c r="AQ260" s="1051"/>
      <c r="AR260" s="1051"/>
      <c r="AS260" s="1051"/>
      <c r="AT260" s="1051"/>
      <c r="AU260" s="1051"/>
      <c r="AV260" s="1051"/>
      <c r="AW260" s="1051"/>
      <c r="AX260" s="1051"/>
      <c r="AY260" s="1051"/>
      <c r="AZ260" s="1051"/>
      <c r="BA260" s="1051"/>
      <c r="BB260" s="1051"/>
      <c r="BC260" s="1051"/>
      <c r="BD260" s="1051"/>
      <c r="BE260" s="1051"/>
      <c r="BF260" s="1051"/>
      <c r="BG260" s="1051"/>
      <c r="BH260" s="1051"/>
      <c r="BI260" s="1051"/>
      <c r="BJ260" s="1051"/>
      <c r="BK260" s="1051"/>
      <c r="BL260" s="1051"/>
      <c r="BM260" s="1051"/>
      <c r="BN260" s="1051"/>
      <c r="BO260" s="1051"/>
      <c r="BP260" s="1051"/>
      <c r="BQ260" s="1051"/>
      <c r="BR260" s="1051"/>
      <c r="BS260" s="1051"/>
      <c r="BT260" s="1051"/>
      <c r="BU260" s="1051"/>
      <c r="BV260" s="1051"/>
      <c r="BW260" s="1051"/>
      <c r="BX260" s="1051"/>
      <c r="BY260" s="1051"/>
      <c r="BZ260" s="1051"/>
      <c r="CA260" s="1051"/>
      <c r="CB260" s="1051"/>
      <c r="CC260" s="1051"/>
      <c r="CD260" s="1051"/>
      <c r="CE260" s="1051"/>
      <c r="CF260" s="1051"/>
      <c r="CG260" s="1051"/>
      <c r="CH260" s="1051"/>
      <c r="CI260" s="1051"/>
      <c r="CJ260" s="1051"/>
      <c r="CK260" s="1051"/>
      <c r="CL260" s="1051"/>
      <c r="CM260" s="1051"/>
      <c r="CN260" s="1051"/>
      <c r="CO260" s="1051"/>
      <c r="CP260" s="1051"/>
      <c r="CQ260" s="1051"/>
      <c r="CR260" s="1051"/>
      <c r="CS260" s="1051"/>
      <c r="CT260" s="1051"/>
      <c r="CU260" s="1051"/>
      <c r="CV260" s="1051"/>
      <c r="CW260" s="1051"/>
      <c r="CX260" s="1051"/>
      <c r="CY260" s="1051"/>
      <c r="CZ260" s="1051"/>
      <c r="DA260" s="1051"/>
      <c r="DB260" s="1051"/>
      <c r="DC260" s="1051"/>
      <c r="DD260" s="1051"/>
      <c r="DE260" s="1051"/>
      <c r="DF260" s="1051"/>
      <c r="DG260" s="1051"/>
      <c r="DH260" s="1051"/>
      <c r="DI260" s="1051"/>
      <c r="DJ260" s="1051"/>
      <c r="DK260" s="1051"/>
      <c r="DL260" s="1051"/>
      <c r="DM260" s="1051"/>
      <c r="DN260" s="1051"/>
      <c r="DO260" s="1051"/>
      <c r="DP260" s="1051"/>
      <c r="DQ260" s="1051"/>
      <c r="DR260" s="1051"/>
      <c r="DS260" s="1051"/>
      <c r="DT260" s="1051"/>
      <c r="DU260" s="1051"/>
      <c r="DV260" s="1051"/>
      <c r="DW260" s="1051"/>
      <c r="DX260" s="1051"/>
      <c r="DY260" s="1051"/>
      <c r="DZ260" s="1051"/>
      <c r="EA260" s="1051"/>
      <c r="EB260" s="1051"/>
      <c r="EC260" s="1051"/>
      <c r="ED260" s="1051"/>
      <c r="EE260" s="1051"/>
      <c r="EF260" s="1051"/>
      <c r="EG260" s="1051"/>
      <c r="EH260" s="1051"/>
      <c r="EI260" s="1051"/>
      <c r="EJ260" s="1051"/>
      <c r="EK260" s="1051"/>
      <c r="EL260" s="1051"/>
      <c r="EM260" s="1051"/>
      <c r="EN260" s="1051"/>
      <c r="EO260" s="1051"/>
      <c r="EP260" s="1051"/>
      <c r="EQ260" s="1051"/>
      <c r="ER260" s="1051"/>
      <c r="ES260" s="1051"/>
      <c r="ET260" s="1051"/>
      <c r="EU260" s="1051"/>
      <c r="EV260" s="1051"/>
      <c r="EW260" s="1051"/>
      <c r="EX260" s="1051"/>
      <c r="EY260" s="1051"/>
      <c r="EZ260" s="1051"/>
      <c r="FA260" s="1051"/>
      <c r="FB260" s="1051"/>
      <c r="FC260" s="1051"/>
      <c r="FD260" s="1051"/>
      <c r="FE260" s="1051"/>
      <c r="FF260" s="1051"/>
      <c r="FG260" s="1051"/>
      <c r="FH260" s="1051"/>
      <c r="FI260" s="1051"/>
      <c r="FJ260" s="1051"/>
      <c r="FK260" s="1051"/>
      <c r="FL260" s="1051"/>
      <c r="FM260" s="1051"/>
      <c r="FN260" s="1051"/>
      <c r="FO260" s="1051"/>
      <c r="FP260" s="1051"/>
      <c r="FQ260" s="1051"/>
      <c r="FR260" s="1051"/>
      <c r="FS260" s="1051"/>
      <c r="FT260" s="1051"/>
      <c r="FU260" s="1051"/>
      <c r="FV260" s="1051"/>
      <c r="FW260" s="1051"/>
      <c r="FX260" s="1051"/>
      <c r="FY260" s="1051"/>
      <c r="FZ260" s="1051"/>
      <c r="GA260" s="1051"/>
      <c r="GB260" s="1051"/>
      <c r="GC260" s="1051"/>
      <c r="GD260" s="1051"/>
      <c r="GE260" s="1051"/>
      <c r="GF260" s="1051"/>
      <c r="GG260" s="1051"/>
      <c r="GH260" s="1051"/>
      <c r="GI260" s="1051"/>
      <c r="GJ260" s="1051"/>
      <c r="GK260" s="1051"/>
      <c r="GL260" s="1051"/>
      <c r="GM260" s="1051"/>
      <c r="GN260" s="1051"/>
      <c r="GO260" s="1051"/>
      <c r="GP260" s="1051"/>
      <c r="GQ260" s="1051"/>
      <c r="GR260" s="1051"/>
      <c r="GS260" s="1051"/>
      <c r="GT260" s="1051"/>
      <c r="GU260" s="1051"/>
      <c r="GV260" s="1051"/>
      <c r="GW260" s="1051"/>
      <c r="GX260" s="1051"/>
      <c r="GY260" s="1051"/>
      <c r="GZ260" s="1051"/>
      <c r="HA260" s="1051"/>
      <c r="HB260" s="1051"/>
      <c r="HC260" s="1051"/>
      <c r="HD260" s="1051"/>
      <c r="HE260" s="1051"/>
      <c r="HF260" s="1051"/>
      <c r="HG260" s="1051"/>
      <c r="HH260" s="1051"/>
      <c r="HI260" s="1051"/>
      <c r="HJ260" s="1051"/>
      <c r="HK260" s="1051"/>
      <c r="HL260" s="1051"/>
      <c r="HM260" s="1051"/>
      <c r="HN260" s="1051"/>
      <c r="HO260" s="1051"/>
      <c r="HP260" s="1051"/>
      <c r="HQ260" s="1051"/>
      <c r="HR260" s="1051"/>
      <c r="HS260" s="1051"/>
      <c r="HT260" s="1051"/>
      <c r="HU260" s="1051"/>
      <c r="HV260" s="1051"/>
      <c r="HW260" s="1051"/>
      <c r="HX260" s="1051"/>
      <c r="HY260" s="1051"/>
      <c r="HZ260" s="1051"/>
      <c r="IA260" s="1051"/>
      <c r="IB260" s="1051"/>
      <c r="IC260" s="1051"/>
      <c r="ID260" s="1051"/>
      <c r="IE260" s="1051"/>
      <c r="IF260" s="1051"/>
      <c r="IG260" s="1051"/>
      <c r="IH260" s="1051"/>
      <c r="II260" s="1051"/>
      <c r="IJ260" s="1051"/>
      <c r="IK260" s="1051"/>
      <c r="IL260" s="1051"/>
      <c r="IM260" s="1051"/>
      <c r="IN260" s="1051"/>
      <c r="IO260" s="1051"/>
      <c r="IP260" s="1051"/>
      <c r="IQ260" s="1051"/>
      <c r="IR260" s="1051"/>
      <c r="IS260" s="1051"/>
      <c r="IT260" s="1051"/>
      <c r="IU260" s="1051"/>
      <c r="IV260" s="1051"/>
    </row>
    <row r="261" spans="1:256" x14ac:dyDescent="0.2">
      <c r="A261" s="1549" t="s">
        <v>74</v>
      </c>
      <c r="B261" s="1549"/>
      <c r="C261" s="1046">
        <f>C260</f>
        <v>4724350</v>
      </c>
      <c r="D261" s="1046">
        <f>D260</f>
        <v>5928700</v>
      </c>
      <c r="E261" s="1046">
        <f>E260</f>
        <v>5928700</v>
      </c>
      <c r="F261" s="1047">
        <f t="shared" si="14"/>
        <v>1</v>
      </c>
    </row>
    <row r="262" spans="1:256" x14ac:dyDescent="0.2">
      <c r="A262" s="1041" t="s">
        <v>520</v>
      </c>
      <c r="B262" s="1041" t="s">
        <v>521</v>
      </c>
      <c r="C262" s="1043">
        <v>4342000</v>
      </c>
      <c r="D262" s="1043">
        <v>4419851</v>
      </c>
      <c r="E262" s="1052">
        <v>4329986</v>
      </c>
      <c r="F262" s="1045">
        <f t="shared" si="14"/>
        <v>0.97966786663170324</v>
      </c>
    </row>
    <row r="263" spans="1:256" x14ac:dyDescent="0.2">
      <c r="A263" s="1041" t="s">
        <v>669</v>
      </c>
      <c r="B263" s="1106" t="s">
        <v>522</v>
      </c>
      <c r="C263" s="1043">
        <v>0</v>
      </c>
      <c r="D263" s="1043">
        <v>40000</v>
      </c>
      <c r="E263" s="1052">
        <v>40000</v>
      </c>
      <c r="F263" s="1045">
        <f t="shared" si="14"/>
        <v>1</v>
      </c>
    </row>
    <row r="264" spans="1:256" x14ac:dyDescent="0.2">
      <c r="A264" s="1041" t="s">
        <v>527</v>
      </c>
      <c r="B264" s="1041" t="s">
        <v>85</v>
      </c>
      <c r="C264" s="1078">
        <v>116000</v>
      </c>
      <c r="D264" s="1078">
        <v>122000</v>
      </c>
      <c r="E264" s="1052">
        <v>121820</v>
      </c>
      <c r="F264" s="1045">
        <f t="shared" si="14"/>
        <v>0.99852459016393447</v>
      </c>
    </row>
    <row r="265" spans="1:256" x14ac:dyDescent="0.2">
      <c r="A265" s="1041" t="s">
        <v>788</v>
      </c>
      <c r="B265" s="1041" t="s">
        <v>86</v>
      </c>
      <c r="C265" s="1043">
        <v>100000</v>
      </c>
      <c r="D265" s="1043">
        <v>100000</v>
      </c>
      <c r="E265" s="1052">
        <v>61800</v>
      </c>
      <c r="F265" s="1045">
        <f t="shared" si="14"/>
        <v>0.61799999999999999</v>
      </c>
    </row>
    <row r="266" spans="1:256" x14ac:dyDescent="0.2">
      <c r="A266" s="1041" t="s">
        <v>531</v>
      </c>
      <c r="B266" s="1041" t="s">
        <v>79</v>
      </c>
      <c r="C266" s="1043">
        <v>12000</v>
      </c>
      <c r="D266" s="1043">
        <v>12000</v>
      </c>
      <c r="E266" s="1052">
        <v>12000</v>
      </c>
      <c r="F266" s="1045">
        <f t="shared" si="14"/>
        <v>1</v>
      </c>
    </row>
    <row r="267" spans="1:256" x14ac:dyDescent="0.2">
      <c r="A267" s="1041" t="s">
        <v>684</v>
      </c>
      <c r="B267" s="1041" t="s">
        <v>789</v>
      </c>
      <c r="C267" s="1043">
        <v>0</v>
      </c>
      <c r="D267" s="1073">
        <v>513000</v>
      </c>
      <c r="E267" s="1052">
        <v>512663</v>
      </c>
      <c r="F267" s="1045">
        <f t="shared" si="14"/>
        <v>0.99934307992202731</v>
      </c>
    </row>
    <row r="268" spans="1:256" x14ac:dyDescent="0.2">
      <c r="A268" s="1564" t="s">
        <v>166</v>
      </c>
      <c r="B268" s="1564"/>
      <c r="C268" s="1043">
        <f>SUM(C262:C267)</f>
        <v>4570000</v>
      </c>
      <c r="D268" s="1043">
        <f>SUM(D262:D267)</f>
        <v>5206851</v>
      </c>
      <c r="E268" s="1043">
        <f>SUM(E262:E267)</f>
        <v>5078269</v>
      </c>
      <c r="F268" s="1045">
        <f t="shared" si="14"/>
        <v>0.97530522767023675</v>
      </c>
      <c r="G268" s="1051"/>
      <c r="H268" s="1051"/>
      <c r="I268" s="1051"/>
      <c r="J268" s="1051"/>
      <c r="K268" s="1051"/>
      <c r="L268" s="1051"/>
      <c r="M268" s="1051"/>
      <c r="N268" s="1051"/>
      <c r="O268" s="1051"/>
      <c r="P268" s="1051"/>
      <c r="Q268" s="1051"/>
      <c r="R268" s="1051"/>
      <c r="S268" s="1051"/>
      <c r="T268" s="1051"/>
      <c r="U268" s="1051"/>
      <c r="V268" s="1051"/>
      <c r="W268" s="1051"/>
      <c r="X268" s="1051"/>
      <c r="Y268" s="1051"/>
      <c r="Z268" s="1051"/>
      <c r="AA268" s="1051"/>
      <c r="AB268" s="1051"/>
      <c r="AC268" s="1051"/>
      <c r="AD268" s="1051"/>
      <c r="AE268" s="1051"/>
      <c r="AF268" s="1051"/>
      <c r="AG268" s="1051"/>
      <c r="AH268" s="1051"/>
      <c r="AI268" s="1051"/>
      <c r="AJ268" s="1051"/>
      <c r="AK268" s="1051"/>
      <c r="AL268" s="1051"/>
      <c r="AM268" s="1051"/>
      <c r="AN268" s="1051"/>
      <c r="AO268" s="1051"/>
      <c r="AP268" s="1051"/>
      <c r="AQ268" s="1051"/>
      <c r="AR268" s="1051"/>
      <c r="AS268" s="1051"/>
      <c r="AT268" s="1051"/>
      <c r="AU268" s="1051"/>
      <c r="AV268" s="1051"/>
      <c r="AW268" s="1051"/>
      <c r="AX268" s="1051"/>
      <c r="AY268" s="1051"/>
      <c r="AZ268" s="1051"/>
      <c r="BA268" s="1051"/>
      <c r="BB268" s="1051"/>
      <c r="BC268" s="1051"/>
      <c r="BD268" s="1051"/>
      <c r="BE268" s="1051"/>
      <c r="BF268" s="1051"/>
      <c r="BG268" s="1051"/>
      <c r="BH268" s="1051"/>
      <c r="BI268" s="1051"/>
      <c r="BJ268" s="1051"/>
      <c r="BK268" s="1051"/>
      <c r="BL268" s="1051"/>
      <c r="BM268" s="1051"/>
      <c r="BN268" s="1051"/>
      <c r="BO268" s="1051"/>
      <c r="BP268" s="1051"/>
      <c r="BQ268" s="1051"/>
      <c r="BR268" s="1051"/>
      <c r="BS268" s="1051"/>
      <c r="BT268" s="1051"/>
      <c r="BU268" s="1051"/>
      <c r="BV268" s="1051"/>
      <c r="BW268" s="1051"/>
      <c r="BX268" s="1051"/>
      <c r="BY268" s="1051"/>
      <c r="BZ268" s="1051"/>
      <c r="CA268" s="1051"/>
      <c r="CB268" s="1051"/>
      <c r="CC268" s="1051"/>
      <c r="CD268" s="1051"/>
      <c r="CE268" s="1051"/>
      <c r="CF268" s="1051"/>
      <c r="CG268" s="1051"/>
      <c r="CH268" s="1051"/>
      <c r="CI268" s="1051"/>
      <c r="CJ268" s="1051"/>
      <c r="CK268" s="1051"/>
      <c r="CL268" s="1051"/>
      <c r="CM268" s="1051"/>
      <c r="CN268" s="1051"/>
      <c r="CO268" s="1051"/>
      <c r="CP268" s="1051"/>
      <c r="CQ268" s="1051"/>
      <c r="CR268" s="1051"/>
      <c r="CS268" s="1051"/>
      <c r="CT268" s="1051"/>
      <c r="CU268" s="1051"/>
      <c r="CV268" s="1051"/>
      <c r="CW268" s="1051"/>
      <c r="CX268" s="1051"/>
      <c r="CY268" s="1051"/>
      <c r="CZ268" s="1051"/>
      <c r="DA268" s="1051"/>
      <c r="DB268" s="1051"/>
      <c r="DC268" s="1051"/>
      <c r="DD268" s="1051"/>
      <c r="DE268" s="1051"/>
      <c r="DF268" s="1051"/>
      <c r="DG268" s="1051"/>
      <c r="DH268" s="1051"/>
      <c r="DI268" s="1051"/>
      <c r="DJ268" s="1051"/>
      <c r="DK268" s="1051"/>
      <c r="DL268" s="1051"/>
      <c r="DM268" s="1051"/>
      <c r="DN268" s="1051"/>
      <c r="DO268" s="1051"/>
      <c r="DP268" s="1051"/>
      <c r="DQ268" s="1051"/>
      <c r="DR268" s="1051"/>
      <c r="DS268" s="1051"/>
      <c r="DT268" s="1051"/>
      <c r="DU268" s="1051"/>
      <c r="DV268" s="1051"/>
      <c r="DW268" s="1051"/>
      <c r="DX268" s="1051"/>
      <c r="DY268" s="1051"/>
      <c r="DZ268" s="1051"/>
      <c r="EA268" s="1051"/>
      <c r="EB268" s="1051"/>
      <c r="EC268" s="1051"/>
      <c r="ED268" s="1051"/>
      <c r="EE268" s="1051"/>
      <c r="EF268" s="1051"/>
      <c r="EG268" s="1051"/>
      <c r="EH268" s="1051"/>
      <c r="EI268" s="1051"/>
      <c r="EJ268" s="1051"/>
      <c r="EK268" s="1051"/>
      <c r="EL268" s="1051"/>
      <c r="EM268" s="1051"/>
      <c r="EN268" s="1051"/>
      <c r="EO268" s="1051"/>
      <c r="EP268" s="1051"/>
      <c r="EQ268" s="1051"/>
      <c r="ER268" s="1051"/>
      <c r="ES268" s="1051"/>
      <c r="ET268" s="1051"/>
      <c r="EU268" s="1051"/>
      <c r="EV268" s="1051"/>
      <c r="EW268" s="1051"/>
      <c r="EX268" s="1051"/>
      <c r="EY268" s="1051"/>
      <c r="EZ268" s="1051"/>
      <c r="FA268" s="1051"/>
      <c r="FB268" s="1051"/>
      <c r="FC268" s="1051"/>
      <c r="FD268" s="1051"/>
      <c r="FE268" s="1051"/>
      <c r="FF268" s="1051"/>
      <c r="FG268" s="1051"/>
      <c r="FH268" s="1051"/>
      <c r="FI268" s="1051"/>
      <c r="FJ268" s="1051"/>
      <c r="FK268" s="1051"/>
      <c r="FL268" s="1051"/>
      <c r="FM268" s="1051"/>
      <c r="FN268" s="1051"/>
      <c r="FO268" s="1051"/>
      <c r="FP268" s="1051"/>
      <c r="FQ268" s="1051"/>
      <c r="FR268" s="1051"/>
      <c r="FS268" s="1051"/>
      <c r="FT268" s="1051"/>
      <c r="FU268" s="1051"/>
      <c r="FV268" s="1051"/>
      <c r="FW268" s="1051"/>
      <c r="FX268" s="1051"/>
      <c r="FY268" s="1051"/>
      <c r="FZ268" s="1051"/>
      <c r="GA268" s="1051"/>
      <c r="GB268" s="1051"/>
      <c r="GC268" s="1051"/>
      <c r="GD268" s="1051"/>
      <c r="GE268" s="1051"/>
      <c r="GF268" s="1051"/>
      <c r="GG268" s="1051"/>
      <c r="GH268" s="1051"/>
      <c r="GI268" s="1051"/>
      <c r="GJ268" s="1051"/>
      <c r="GK268" s="1051"/>
      <c r="GL268" s="1051"/>
      <c r="GM268" s="1051"/>
      <c r="GN268" s="1051"/>
      <c r="GO268" s="1051"/>
      <c r="GP268" s="1051"/>
      <c r="GQ268" s="1051"/>
      <c r="GR268" s="1051"/>
      <c r="GS268" s="1051"/>
      <c r="GT268" s="1051"/>
      <c r="GU268" s="1051"/>
      <c r="GV268" s="1051"/>
      <c r="GW268" s="1051"/>
      <c r="GX268" s="1051"/>
      <c r="GY268" s="1051"/>
      <c r="GZ268" s="1051"/>
      <c r="HA268" s="1051"/>
      <c r="HB268" s="1051"/>
      <c r="HC268" s="1051"/>
      <c r="HD268" s="1051"/>
      <c r="HE268" s="1051"/>
      <c r="HF268" s="1051"/>
      <c r="HG268" s="1051"/>
      <c r="HH268" s="1051"/>
      <c r="HI268" s="1051"/>
      <c r="HJ268" s="1051"/>
      <c r="HK268" s="1051"/>
      <c r="HL268" s="1051"/>
      <c r="HM268" s="1051"/>
      <c r="HN268" s="1051"/>
      <c r="HO268" s="1051"/>
      <c r="HP268" s="1051"/>
      <c r="HQ268" s="1051"/>
      <c r="HR268" s="1051"/>
      <c r="HS268" s="1051"/>
      <c r="HT268" s="1051"/>
      <c r="HU268" s="1051"/>
      <c r="HV268" s="1051"/>
      <c r="HW268" s="1051"/>
      <c r="HX268" s="1051"/>
      <c r="HY268" s="1051"/>
      <c r="HZ268" s="1051"/>
      <c r="IA268" s="1051"/>
      <c r="IB268" s="1051"/>
      <c r="IC268" s="1051"/>
      <c r="ID268" s="1051"/>
      <c r="IE268" s="1051"/>
      <c r="IF268" s="1051"/>
      <c r="IG268" s="1051"/>
      <c r="IH268" s="1051"/>
      <c r="II268" s="1051"/>
      <c r="IJ268" s="1051"/>
      <c r="IK268" s="1051"/>
      <c r="IL268" s="1051"/>
      <c r="IM268" s="1051"/>
      <c r="IN268" s="1051"/>
      <c r="IO268" s="1051"/>
      <c r="IP268" s="1051"/>
      <c r="IQ268" s="1051"/>
      <c r="IR268" s="1051"/>
      <c r="IS268" s="1051"/>
      <c r="IT268" s="1051"/>
      <c r="IU268" s="1051"/>
      <c r="IV268" s="1051"/>
    </row>
    <row r="269" spans="1:256" x14ac:dyDescent="0.2">
      <c r="A269" s="1041" t="s">
        <v>694</v>
      </c>
      <c r="B269" s="1041" t="s">
        <v>790</v>
      </c>
      <c r="C269" s="1043">
        <v>799000</v>
      </c>
      <c r="D269" s="1043">
        <v>903449</v>
      </c>
      <c r="E269" s="1052">
        <f>18273+822136</f>
        <v>840409</v>
      </c>
      <c r="F269" s="1045">
        <f t="shared" si="14"/>
        <v>0.93022295669152322</v>
      </c>
    </row>
    <row r="270" spans="1:256" x14ac:dyDescent="0.2">
      <c r="A270" s="1548" t="s">
        <v>94</v>
      </c>
      <c r="B270" s="1548"/>
      <c r="C270" s="1043">
        <f>SUM(C269:C269)</f>
        <v>799000</v>
      </c>
      <c r="D270" s="1043">
        <f>SUM(D269:D269)</f>
        <v>903449</v>
      </c>
      <c r="E270" s="1043">
        <f>SUM(E269:E269)</f>
        <v>840409</v>
      </c>
      <c r="F270" s="1045">
        <f t="shared" si="14"/>
        <v>0.93022295669152322</v>
      </c>
      <c r="G270" s="1051"/>
      <c r="H270" s="1051"/>
      <c r="I270" s="1051"/>
      <c r="J270" s="1051"/>
      <c r="K270" s="1051"/>
      <c r="L270" s="1051"/>
      <c r="M270" s="1051"/>
      <c r="N270" s="1051"/>
      <c r="O270" s="1051"/>
      <c r="P270" s="1051"/>
      <c r="Q270" s="1051"/>
      <c r="R270" s="1051"/>
      <c r="S270" s="1051"/>
      <c r="T270" s="1051"/>
      <c r="U270" s="1051"/>
      <c r="V270" s="1051"/>
      <c r="W270" s="1051"/>
      <c r="X270" s="1051"/>
      <c r="Y270" s="1051"/>
      <c r="Z270" s="1051"/>
      <c r="AA270" s="1051"/>
      <c r="AB270" s="1051"/>
      <c r="AC270" s="1051"/>
      <c r="AD270" s="1051"/>
      <c r="AE270" s="1051"/>
      <c r="AF270" s="1051"/>
      <c r="AG270" s="1051"/>
      <c r="AH270" s="1051"/>
      <c r="AI270" s="1051"/>
      <c r="AJ270" s="1051"/>
      <c r="AK270" s="1051"/>
      <c r="AL270" s="1051"/>
      <c r="AM270" s="1051"/>
      <c r="AN270" s="1051"/>
      <c r="AO270" s="1051"/>
      <c r="AP270" s="1051"/>
      <c r="AQ270" s="1051"/>
      <c r="AR270" s="1051"/>
      <c r="AS270" s="1051"/>
      <c r="AT270" s="1051"/>
      <c r="AU270" s="1051"/>
      <c r="AV270" s="1051"/>
      <c r="AW270" s="1051"/>
      <c r="AX270" s="1051"/>
      <c r="AY270" s="1051"/>
      <c r="AZ270" s="1051"/>
      <c r="BA270" s="1051"/>
      <c r="BB270" s="1051"/>
      <c r="BC270" s="1051"/>
      <c r="BD270" s="1051"/>
      <c r="BE270" s="1051"/>
      <c r="BF270" s="1051"/>
      <c r="BG270" s="1051"/>
      <c r="BH270" s="1051"/>
      <c r="BI270" s="1051"/>
      <c r="BJ270" s="1051"/>
      <c r="BK270" s="1051"/>
      <c r="BL270" s="1051"/>
      <c r="BM270" s="1051"/>
      <c r="BN270" s="1051"/>
      <c r="BO270" s="1051"/>
      <c r="BP270" s="1051"/>
      <c r="BQ270" s="1051"/>
      <c r="BR270" s="1051"/>
      <c r="BS270" s="1051"/>
      <c r="BT270" s="1051"/>
      <c r="BU270" s="1051"/>
      <c r="BV270" s="1051"/>
      <c r="BW270" s="1051"/>
      <c r="BX270" s="1051"/>
      <c r="BY270" s="1051"/>
      <c r="BZ270" s="1051"/>
      <c r="CA270" s="1051"/>
      <c r="CB270" s="1051"/>
      <c r="CC270" s="1051"/>
      <c r="CD270" s="1051"/>
      <c r="CE270" s="1051"/>
      <c r="CF270" s="1051"/>
      <c r="CG270" s="1051"/>
      <c r="CH270" s="1051"/>
      <c r="CI270" s="1051"/>
      <c r="CJ270" s="1051"/>
      <c r="CK270" s="1051"/>
      <c r="CL270" s="1051"/>
      <c r="CM270" s="1051"/>
      <c r="CN270" s="1051"/>
      <c r="CO270" s="1051"/>
      <c r="CP270" s="1051"/>
      <c r="CQ270" s="1051"/>
      <c r="CR270" s="1051"/>
      <c r="CS270" s="1051"/>
      <c r="CT270" s="1051"/>
      <c r="CU270" s="1051"/>
      <c r="CV270" s="1051"/>
      <c r="CW270" s="1051"/>
      <c r="CX270" s="1051"/>
      <c r="CY270" s="1051"/>
      <c r="CZ270" s="1051"/>
      <c r="DA270" s="1051"/>
      <c r="DB270" s="1051"/>
      <c r="DC270" s="1051"/>
      <c r="DD270" s="1051"/>
      <c r="DE270" s="1051"/>
      <c r="DF270" s="1051"/>
      <c r="DG270" s="1051"/>
      <c r="DH270" s="1051"/>
      <c r="DI270" s="1051"/>
      <c r="DJ270" s="1051"/>
      <c r="DK270" s="1051"/>
      <c r="DL270" s="1051"/>
      <c r="DM270" s="1051"/>
      <c r="DN270" s="1051"/>
      <c r="DO270" s="1051"/>
      <c r="DP270" s="1051"/>
      <c r="DQ270" s="1051"/>
      <c r="DR270" s="1051"/>
      <c r="DS270" s="1051"/>
      <c r="DT270" s="1051"/>
      <c r="DU270" s="1051"/>
      <c r="DV270" s="1051"/>
      <c r="DW270" s="1051"/>
      <c r="DX270" s="1051"/>
      <c r="DY270" s="1051"/>
      <c r="DZ270" s="1051"/>
      <c r="EA270" s="1051"/>
      <c r="EB270" s="1051"/>
      <c r="EC270" s="1051"/>
      <c r="ED270" s="1051"/>
      <c r="EE270" s="1051"/>
      <c r="EF270" s="1051"/>
      <c r="EG270" s="1051"/>
      <c r="EH270" s="1051"/>
      <c r="EI270" s="1051"/>
      <c r="EJ270" s="1051"/>
      <c r="EK270" s="1051"/>
      <c r="EL270" s="1051"/>
      <c r="EM270" s="1051"/>
      <c r="EN270" s="1051"/>
      <c r="EO270" s="1051"/>
      <c r="EP270" s="1051"/>
      <c r="EQ270" s="1051"/>
      <c r="ER270" s="1051"/>
      <c r="ES270" s="1051"/>
      <c r="ET270" s="1051"/>
      <c r="EU270" s="1051"/>
      <c r="EV270" s="1051"/>
      <c r="EW270" s="1051"/>
      <c r="EX270" s="1051"/>
      <c r="EY270" s="1051"/>
      <c r="EZ270" s="1051"/>
      <c r="FA270" s="1051"/>
      <c r="FB270" s="1051"/>
      <c r="FC270" s="1051"/>
      <c r="FD270" s="1051"/>
      <c r="FE270" s="1051"/>
      <c r="FF270" s="1051"/>
      <c r="FG270" s="1051"/>
      <c r="FH270" s="1051"/>
      <c r="FI270" s="1051"/>
      <c r="FJ270" s="1051"/>
      <c r="FK270" s="1051"/>
      <c r="FL270" s="1051"/>
      <c r="FM270" s="1051"/>
      <c r="FN270" s="1051"/>
      <c r="FO270" s="1051"/>
      <c r="FP270" s="1051"/>
      <c r="FQ270" s="1051"/>
      <c r="FR270" s="1051"/>
      <c r="FS270" s="1051"/>
      <c r="FT270" s="1051"/>
      <c r="FU270" s="1051"/>
      <c r="FV270" s="1051"/>
      <c r="FW270" s="1051"/>
      <c r="FX270" s="1051"/>
      <c r="FY270" s="1051"/>
      <c r="FZ270" s="1051"/>
      <c r="GA270" s="1051"/>
      <c r="GB270" s="1051"/>
      <c r="GC270" s="1051"/>
      <c r="GD270" s="1051"/>
      <c r="GE270" s="1051"/>
      <c r="GF270" s="1051"/>
      <c r="GG270" s="1051"/>
      <c r="GH270" s="1051"/>
      <c r="GI270" s="1051"/>
      <c r="GJ270" s="1051"/>
      <c r="GK270" s="1051"/>
      <c r="GL270" s="1051"/>
      <c r="GM270" s="1051"/>
      <c r="GN270" s="1051"/>
      <c r="GO270" s="1051"/>
      <c r="GP270" s="1051"/>
      <c r="GQ270" s="1051"/>
      <c r="GR270" s="1051"/>
      <c r="GS270" s="1051"/>
      <c r="GT270" s="1051"/>
      <c r="GU270" s="1051"/>
      <c r="GV270" s="1051"/>
      <c r="GW270" s="1051"/>
      <c r="GX270" s="1051"/>
      <c r="GY270" s="1051"/>
      <c r="GZ270" s="1051"/>
      <c r="HA270" s="1051"/>
      <c r="HB270" s="1051"/>
      <c r="HC270" s="1051"/>
      <c r="HD270" s="1051"/>
      <c r="HE270" s="1051"/>
      <c r="HF270" s="1051"/>
      <c r="HG270" s="1051"/>
      <c r="HH270" s="1051"/>
      <c r="HI270" s="1051"/>
      <c r="HJ270" s="1051"/>
      <c r="HK270" s="1051"/>
      <c r="HL270" s="1051"/>
      <c r="HM270" s="1051"/>
      <c r="HN270" s="1051"/>
      <c r="HO270" s="1051"/>
      <c r="HP270" s="1051"/>
      <c r="HQ270" s="1051"/>
      <c r="HR270" s="1051"/>
      <c r="HS270" s="1051"/>
      <c r="HT270" s="1051"/>
      <c r="HU270" s="1051"/>
      <c r="HV270" s="1051"/>
      <c r="HW270" s="1051"/>
      <c r="HX270" s="1051"/>
      <c r="HY270" s="1051"/>
      <c r="HZ270" s="1051"/>
      <c r="IA270" s="1051"/>
      <c r="IB270" s="1051"/>
      <c r="IC270" s="1051"/>
      <c r="ID270" s="1051"/>
      <c r="IE270" s="1051"/>
      <c r="IF270" s="1051"/>
      <c r="IG270" s="1051"/>
      <c r="IH270" s="1051"/>
      <c r="II270" s="1051"/>
      <c r="IJ270" s="1051"/>
      <c r="IK270" s="1051"/>
      <c r="IL270" s="1051"/>
      <c r="IM270" s="1051"/>
      <c r="IN270" s="1051"/>
      <c r="IO270" s="1051"/>
      <c r="IP270" s="1051"/>
      <c r="IQ270" s="1051"/>
      <c r="IR270" s="1051"/>
      <c r="IS270" s="1051"/>
      <c r="IT270" s="1051"/>
      <c r="IU270" s="1051"/>
      <c r="IV270" s="1051"/>
    </row>
    <row r="271" spans="1:256" x14ac:dyDescent="0.2">
      <c r="A271" s="1041" t="s">
        <v>695</v>
      </c>
      <c r="B271" s="1042" t="s">
        <v>791</v>
      </c>
      <c r="C271" s="1105">
        <v>30000</v>
      </c>
      <c r="D271" s="1105">
        <v>70000</v>
      </c>
      <c r="E271" s="1052">
        <v>65070</v>
      </c>
      <c r="F271" s="1045">
        <f t="shared" si="14"/>
        <v>0.9295714285714286</v>
      </c>
    </row>
    <row r="272" spans="1:256" x14ac:dyDescent="0.2">
      <c r="A272" s="1041" t="s">
        <v>706</v>
      </c>
      <c r="B272" s="1042" t="s">
        <v>766</v>
      </c>
      <c r="C272" s="1105">
        <v>40000</v>
      </c>
      <c r="D272" s="1105">
        <v>40000</v>
      </c>
      <c r="E272" s="1052">
        <v>33902</v>
      </c>
      <c r="F272" s="1045">
        <f t="shared" si="14"/>
        <v>0.84755000000000003</v>
      </c>
    </row>
    <row r="273" spans="1:256" x14ac:dyDescent="0.2">
      <c r="A273" s="1041" t="s">
        <v>696</v>
      </c>
      <c r="B273" s="1042" t="s">
        <v>184</v>
      </c>
      <c r="C273" s="1105">
        <v>85000</v>
      </c>
      <c r="D273" s="1105">
        <v>85000</v>
      </c>
      <c r="E273" s="1052">
        <v>89865</v>
      </c>
      <c r="F273" s="1045">
        <f t="shared" si="14"/>
        <v>1.0572352941176471</v>
      </c>
    </row>
    <row r="274" spans="1:256" x14ac:dyDescent="0.2">
      <c r="A274" s="1041" t="s">
        <v>696</v>
      </c>
      <c r="B274" s="1042" t="s">
        <v>89</v>
      </c>
      <c r="C274" s="1105">
        <v>85000</v>
      </c>
      <c r="D274" s="1105">
        <v>115000</v>
      </c>
      <c r="E274" s="1052">
        <v>95703</v>
      </c>
      <c r="F274" s="1045">
        <f t="shared" si="14"/>
        <v>0.83220000000000005</v>
      </c>
    </row>
    <row r="275" spans="1:256" x14ac:dyDescent="0.2">
      <c r="A275" s="1041" t="s">
        <v>708</v>
      </c>
      <c r="B275" s="1042" t="s">
        <v>264</v>
      </c>
      <c r="C275" s="1105">
        <v>250000</v>
      </c>
      <c r="D275" s="1105">
        <v>220000</v>
      </c>
      <c r="E275" s="1052">
        <v>95236</v>
      </c>
      <c r="F275" s="1045">
        <f t="shared" si="14"/>
        <v>0.4328909090909091</v>
      </c>
    </row>
    <row r="276" spans="1:256" x14ac:dyDescent="0.2">
      <c r="A276" s="1041" t="s">
        <v>709</v>
      </c>
      <c r="B276" s="1042" t="s">
        <v>792</v>
      </c>
      <c r="C276" s="1105">
        <v>20000</v>
      </c>
      <c r="D276" s="1105">
        <v>20000</v>
      </c>
      <c r="E276" s="1052">
        <v>8500</v>
      </c>
      <c r="F276" s="1045">
        <f t="shared" si="14"/>
        <v>0.42499999999999999</v>
      </c>
    </row>
    <row r="277" spans="1:256" x14ac:dyDescent="0.2">
      <c r="A277" s="1041" t="s">
        <v>698</v>
      </c>
      <c r="B277" s="1042" t="s">
        <v>719</v>
      </c>
      <c r="C277" s="1105">
        <v>100000</v>
      </c>
      <c r="D277" s="1105">
        <v>100000</v>
      </c>
      <c r="E277" s="1052">
        <f>27530+30953</f>
        <v>58483</v>
      </c>
      <c r="F277" s="1045">
        <f t="shared" si="14"/>
        <v>0.58482999999999996</v>
      </c>
    </row>
    <row r="278" spans="1:256" x14ac:dyDescent="0.2">
      <c r="A278" s="1041" t="s">
        <v>700</v>
      </c>
      <c r="B278" s="1042" t="s">
        <v>91</v>
      </c>
      <c r="C278" s="1105">
        <v>70000</v>
      </c>
      <c r="D278" s="1105">
        <v>30000</v>
      </c>
      <c r="E278" s="1052">
        <v>19945</v>
      </c>
      <c r="F278" s="1045">
        <f t="shared" si="14"/>
        <v>0.66483333333333339</v>
      </c>
    </row>
    <row r="279" spans="1:256" x14ac:dyDescent="0.2">
      <c r="A279" s="1041" t="s">
        <v>703</v>
      </c>
      <c r="B279" s="1042" t="s">
        <v>557</v>
      </c>
      <c r="C279" s="1105">
        <v>185000</v>
      </c>
      <c r="D279" s="1105">
        <v>185000</v>
      </c>
      <c r="E279" s="1052">
        <v>88313</v>
      </c>
      <c r="F279" s="1045">
        <f t="shared" si="14"/>
        <v>0.47736756756756754</v>
      </c>
    </row>
    <row r="280" spans="1:256" x14ac:dyDescent="0.2">
      <c r="A280" s="1041" t="s">
        <v>720</v>
      </c>
      <c r="B280" s="1042" t="s">
        <v>782</v>
      </c>
      <c r="C280" s="1105">
        <v>20000</v>
      </c>
      <c r="D280" s="1105">
        <v>20000</v>
      </c>
      <c r="E280" s="1087">
        <v>500</v>
      </c>
      <c r="F280" s="1045">
        <f t="shared" si="14"/>
        <v>2.5000000000000001E-2</v>
      </c>
    </row>
    <row r="281" spans="1:256" x14ac:dyDescent="0.2">
      <c r="A281" s="1548" t="s">
        <v>168</v>
      </c>
      <c r="B281" s="1548"/>
      <c r="C281" s="1043">
        <f>SUM(C271:C280)</f>
        <v>885000</v>
      </c>
      <c r="D281" s="1043">
        <f>SUM(D271:D280)</f>
        <v>885000</v>
      </c>
      <c r="E281" s="1043">
        <f>SUM(E271:E280)</f>
        <v>555517</v>
      </c>
      <c r="F281" s="1045">
        <f t="shared" si="14"/>
        <v>0.62770282485875706</v>
      </c>
      <c r="G281" s="1051"/>
      <c r="H281" s="1051"/>
      <c r="I281" s="1051"/>
      <c r="J281" s="1051"/>
      <c r="K281" s="1051"/>
      <c r="L281" s="1051"/>
      <c r="M281" s="1051"/>
      <c r="N281" s="1051"/>
      <c r="O281" s="1051"/>
      <c r="P281" s="1051"/>
      <c r="Q281" s="1051"/>
      <c r="R281" s="1051"/>
      <c r="S281" s="1051"/>
      <c r="T281" s="1051"/>
      <c r="U281" s="1051"/>
      <c r="V281" s="1051"/>
      <c r="W281" s="1051"/>
      <c r="X281" s="1051"/>
      <c r="Y281" s="1051"/>
      <c r="Z281" s="1051"/>
      <c r="AA281" s="1051"/>
      <c r="AB281" s="1051"/>
      <c r="AC281" s="1051"/>
      <c r="AD281" s="1051"/>
      <c r="AE281" s="1051"/>
      <c r="AF281" s="1051"/>
      <c r="AG281" s="1051"/>
      <c r="AH281" s="1051"/>
      <c r="AI281" s="1051"/>
      <c r="AJ281" s="1051"/>
      <c r="AK281" s="1051"/>
      <c r="AL281" s="1051"/>
      <c r="AM281" s="1051"/>
      <c r="AN281" s="1051"/>
      <c r="AO281" s="1051"/>
      <c r="AP281" s="1051"/>
      <c r="AQ281" s="1051"/>
      <c r="AR281" s="1051"/>
      <c r="AS281" s="1051"/>
      <c r="AT281" s="1051"/>
      <c r="AU281" s="1051"/>
      <c r="AV281" s="1051"/>
      <c r="AW281" s="1051"/>
      <c r="AX281" s="1051"/>
      <c r="AY281" s="1051"/>
      <c r="AZ281" s="1051"/>
      <c r="BA281" s="1051"/>
      <c r="BB281" s="1051"/>
      <c r="BC281" s="1051"/>
      <c r="BD281" s="1051"/>
      <c r="BE281" s="1051"/>
      <c r="BF281" s="1051"/>
      <c r="BG281" s="1051"/>
      <c r="BH281" s="1051"/>
      <c r="BI281" s="1051"/>
      <c r="BJ281" s="1051"/>
      <c r="BK281" s="1051"/>
      <c r="BL281" s="1051"/>
      <c r="BM281" s="1051"/>
      <c r="BN281" s="1051"/>
      <c r="BO281" s="1051"/>
      <c r="BP281" s="1051"/>
      <c r="BQ281" s="1051"/>
      <c r="BR281" s="1051"/>
      <c r="BS281" s="1051"/>
      <c r="BT281" s="1051"/>
      <c r="BU281" s="1051"/>
      <c r="BV281" s="1051"/>
      <c r="BW281" s="1051"/>
      <c r="BX281" s="1051"/>
      <c r="BY281" s="1051"/>
      <c r="BZ281" s="1051"/>
      <c r="CA281" s="1051"/>
      <c r="CB281" s="1051"/>
      <c r="CC281" s="1051"/>
      <c r="CD281" s="1051"/>
      <c r="CE281" s="1051"/>
      <c r="CF281" s="1051"/>
      <c r="CG281" s="1051"/>
      <c r="CH281" s="1051"/>
      <c r="CI281" s="1051"/>
      <c r="CJ281" s="1051"/>
      <c r="CK281" s="1051"/>
      <c r="CL281" s="1051"/>
      <c r="CM281" s="1051"/>
      <c r="CN281" s="1051"/>
      <c r="CO281" s="1051"/>
      <c r="CP281" s="1051"/>
      <c r="CQ281" s="1051"/>
      <c r="CR281" s="1051"/>
      <c r="CS281" s="1051"/>
      <c r="CT281" s="1051"/>
      <c r="CU281" s="1051"/>
      <c r="CV281" s="1051"/>
      <c r="CW281" s="1051"/>
      <c r="CX281" s="1051"/>
      <c r="CY281" s="1051"/>
      <c r="CZ281" s="1051"/>
      <c r="DA281" s="1051"/>
      <c r="DB281" s="1051"/>
      <c r="DC281" s="1051"/>
      <c r="DD281" s="1051"/>
      <c r="DE281" s="1051"/>
      <c r="DF281" s="1051"/>
      <c r="DG281" s="1051"/>
      <c r="DH281" s="1051"/>
      <c r="DI281" s="1051"/>
      <c r="DJ281" s="1051"/>
      <c r="DK281" s="1051"/>
      <c r="DL281" s="1051"/>
      <c r="DM281" s="1051"/>
      <c r="DN281" s="1051"/>
      <c r="DO281" s="1051"/>
      <c r="DP281" s="1051"/>
      <c r="DQ281" s="1051"/>
      <c r="DR281" s="1051"/>
      <c r="DS281" s="1051"/>
      <c r="DT281" s="1051"/>
      <c r="DU281" s="1051"/>
      <c r="DV281" s="1051"/>
      <c r="DW281" s="1051"/>
      <c r="DX281" s="1051"/>
      <c r="DY281" s="1051"/>
      <c r="DZ281" s="1051"/>
      <c r="EA281" s="1051"/>
      <c r="EB281" s="1051"/>
      <c r="EC281" s="1051"/>
      <c r="ED281" s="1051"/>
      <c r="EE281" s="1051"/>
      <c r="EF281" s="1051"/>
      <c r="EG281" s="1051"/>
      <c r="EH281" s="1051"/>
      <c r="EI281" s="1051"/>
      <c r="EJ281" s="1051"/>
      <c r="EK281" s="1051"/>
      <c r="EL281" s="1051"/>
      <c r="EM281" s="1051"/>
      <c r="EN281" s="1051"/>
      <c r="EO281" s="1051"/>
      <c r="EP281" s="1051"/>
      <c r="EQ281" s="1051"/>
      <c r="ER281" s="1051"/>
      <c r="ES281" s="1051"/>
      <c r="ET281" s="1051"/>
      <c r="EU281" s="1051"/>
      <c r="EV281" s="1051"/>
      <c r="EW281" s="1051"/>
      <c r="EX281" s="1051"/>
      <c r="EY281" s="1051"/>
      <c r="EZ281" s="1051"/>
      <c r="FA281" s="1051"/>
      <c r="FB281" s="1051"/>
      <c r="FC281" s="1051"/>
      <c r="FD281" s="1051"/>
      <c r="FE281" s="1051"/>
      <c r="FF281" s="1051"/>
      <c r="FG281" s="1051"/>
      <c r="FH281" s="1051"/>
      <c r="FI281" s="1051"/>
      <c r="FJ281" s="1051"/>
      <c r="FK281" s="1051"/>
      <c r="FL281" s="1051"/>
      <c r="FM281" s="1051"/>
      <c r="FN281" s="1051"/>
      <c r="FO281" s="1051"/>
      <c r="FP281" s="1051"/>
      <c r="FQ281" s="1051"/>
      <c r="FR281" s="1051"/>
      <c r="FS281" s="1051"/>
      <c r="FT281" s="1051"/>
      <c r="FU281" s="1051"/>
      <c r="FV281" s="1051"/>
      <c r="FW281" s="1051"/>
      <c r="FX281" s="1051"/>
      <c r="FY281" s="1051"/>
      <c r="FZ281" s="1051"/>
      <c r="GA281" s="1051"/>
      <c r="GB281" s="1051"/>
      <c r="GC281" s="1051"/>
      <c r="GD281" s="1051"/>
      <c r="GE281" s="1051"/>
      <c r="GF281" s="1051"/>
      <c r="GG281" s="1051"/>
      <c r="GH281" s="1051"/>
      <c r="GI281" s="1051"/>
      <c r="GJ281" s="1051"/>
      <c r="GK281" s="1051"/>
      <c r="GL281" s="1051"/>
      <c r="GM281" s="1051"/>
      <c r="GN281" s="1051"/>
      <c r="GO281" s="1051"/>
      <c r="GP281" s="1051"/>
      <c r="GQ281" s="1051"/>
      <c r="GR281" s="1051"/>
      <c r="GS281" s="1051"/>
      <c r="GT281" s="1051"/>
      <c r="GU281" s="1051"/>
      <c r="GV281" s="1051"/>
      <c r="GW281" s="1051"/>
      <c r="GX281" s="1051"/>
      <c r="GY281" s="1051"/>
      <c r="GZ281" s="1051"/>
      <c r="HA281" s="1051"/>
      <c r="HB281" s="1051"/>
      <c r="HC281" s="1051"/>
      <c r="HD281" s="1051"/>
      <c r="HE281" s="1051"/>
      <c r="HF281" s="1051"/>
      <c r="HG281" s="1051"/>
      <c r="HH281" s="1051"/>
      <c r="HI281" s="1051"/>
      <c r="HJ281" s="1051"/>
      <c r="HK281" s="1051"/>
      <c r="HL281" s="1051"/>
      <c r="HM281" s="1051"/>
      <c r="HN281" s="1051"/>
      <c r="HO281" s="1051"/>
      <c r="HP281" s="1051"/>
      <c r="HQ281" s="1051"/>
      <c r="HR281" s="1051"/>
      <c r="HS281" s="1051"/>
      <c r="HT281" s="1051"/>
      <c r="HU281" s="1051"/>
      <c r="HV281" s="1051"/>
      <c r="HW281" s="1051"/>
      <c r="HX281" s="1051"/>
      <c r="HY281" s="1051"/>
      <c r="HZ281" s="1051"/>
      <c r="IA281" s="1051"/>
      <c r="IB281" s="1051"/>
      <c r="IC281" s="1051"/>
      <c r="ID281" s="1051"/>
      <c r="IE281" s="1051"/>
      <c r="IF281" s="1051"/>
      <c r="IG281" s="1051"/>
      <c r="IH281" s="1051"/>
      <c r="II281" s="1051"/>
      <c r="IJ281" s="1051"/>
      <c r="IK281" s="1051"/>
      <c r="IL281" s="1051"/>
      <c r="IM281" s="1051"/>
      <c r="IN281" s="1051"/>
      <c r="IO281" s="1051"/>
      <c r="IP281" s="1051"/>
      <c r="IQ281" s="1051"/>
      <c r="IR281" s="1051"/>
      <c r="IS281" s="1051"/>
      <c r="IT281" s="1051"/>
      <c r="IU281" s="1051"/>
      <c r="IV281" s="1051"/>
    </row>
    <row r="282" spans="1:256" x14ac:dyDescent="0.2">
      <c r="A282" s="1549" t="s">
        <v>73</v>
      </c>
      <c r="B282" s="1549"/>
      <c r="C282" s="1046">
        <f>C281+C270+C268</f>
        <v>6254000</v>
      </c>
      <c r="D282" s="1046">
        <f>D281+D270+D268</f>
        <v>6995300</v>
      </c>
      <c r="E282" s="1046">
        <f>E281+E270+E268</f>
        <v>6474195</v>
      </c>
      <c r="F282" s="1047">
        <f t="shared" si="14"/>
        <v>0.92550641144768631</v>
      </c>
    </row>
    <row r="283" spans="1:256" x14ac:dyDescent="0.2">
      <c r="A283" s="1552" t="s">
        <v>793</v>
      </c>
      <c r="B283" s="1553"/>
      <c r="C283" s="1553"/>
      <c r="D283" s="1553"/>
      <c r="E283" s="1553"/>
      <c r="F283" s="1554"/>
    </row>
    <row r="284" spans="1:256" x14ac:dyDescent="0.2">
      <c r="A284" s="1065" t="s">
        <v>70</v>
      </c>
      <c r="B284" s="1066" t="s">
        <v>71</v>
      </c>
      <c r="C284" s="1038" t="s">
        <v>687</v>
      </c>
      <c r="D284" s="1038" t="s">
        <v>688</v>
      </c>
      <c r="E284" s="1039" t="s">
        <v>689</v>
      </c>
      <c r="F284" s="1040" t="s">
        <v>690</v>
      </c>
    </row>
    <row r="285" spans="1:256" x14ac:dyDescent="0.2">
      <c r="A285" s="1041" t="s">
        <v>706</v>
      </c>
      <c r="B285" s="1042" t="s">
        <v>263</v>
      </c>
      <c r="C285" s="1043">
        <v>0</v>
      </c>
      <c r="D285" s="1043">
        <v>78740</v>
      </c>
      <c r="E285" s="1052">
        <v>35000</v>
      </c>
      <c r="F285" s="1045">
        <f>E285/D285</f>
        <v>0.44450088900177798</v>
      </c>
    </row>
    <row r="286" spans="1:256" x14ac:dyDescent="0.2">
      <c r="A286" s="1107" t="s">
        <v>703</v>
      </c>
      <c r="B286" s="1042" t="s">
        <v>557</v>
      </c>
      <c r="C286" s="1052">
        <v>0</v>
      </c>
      <c r="D286" s="1052">
        <v>21260</v>
      </c>
      <c r="E286" s="1052">
        <v>9450</v>
      </c>
      <c r="F286" s="1045">
        <f>E286/D286</f>
        <v>0.44449670743179681</v>
      </c>
    </row>
    <row r="287" spans="1:256" x14ac:dyDescent="0.2">
      <c r="A287" s="1548" t="s">
        <v>168</v>
      </c>
      <c r="B287" s="1548"/>
      <c r="C287" s="1043">
        <f>SUM(C285:C286)</f>
        <v>0</v>
      </c>
      <c r="D287" s="1043">
        <f>SUM(D285:D286)</f>
        <v>100000</v>
      </c>
      <c r="E287" s="1043">
        <f>SUM(E285:E286)</f>
        <v>44450</v>
      </c>
      <c r="F287" s="1045">
        <f>E287/D287</f>
        <v>0.44450000000000001</v>
      </c>
    </row>
    <row r="288" spans="1:256" x14ac:dyDescent="0.2">
      <c r="A288" s="1549" t="s">
        <v>73</v>
      </c>
      <c r="B288" s="1549"/>
      <c r="C288" s="1046">
        <f>SUM(C287)</f>
        <v>0</v>
      </c>
      <c r="D288" s="1046">
        <f>SUM(D287)</f>
        <v>100000</v>
      </c>
      <c r="E288" s="1046">
        <f>SUM(E287)</f>
        <v>44450</v>
      </c>
      <c r="F288" s="1047">
        <f>E288/D288</f>
        <v>0.44450000000000001</v>
      </c>
    </row>
    <row r="289" spans="1:256" x14ac:dyDescent="0.2">
      <c r="A289" s="1552" t="s">
        <v>185</v>
      </c>
      <c r="B289" s="1553"/>
      <c r="C289" s="1553"/>
      <c r="D289" s="1553"/>
      <c r="E289" s="1553"/>
      <c r="F289" s="1554"/>
    </row>
    <row r="290" spans="1:256" x14ac:dyDescent="0.2">
      <c r="A290" s="1065" t="s">
        <v>70</v>
      </c>
      <c r="B290" s="1066" t="s">
        <v>71</v>
      </c>
      <c r="C290" s="1038" t="s">
        <v>687</v>
      </c>
      <c r="D290" s="1038" t="s">
        <v>688</v>
      </c>
      <c r="E290" s="1039" t="s">
        <v>689</v>
      </c>
      <c r="F290" s="1040" t="s">
        <v>690</v>
      </c>
    </row>
    <row r="291" spans="1:256" x14ac:dyDescent="0.2">
      <c r="A291" s="1041" t="s">
        <v>683</v>
      </c>
      <c r="B291" s="1042" t="s">
        <v>713</v>
      </c>
      <c r="C291" s="1043">
        <f>900000*2</f>
        <v>1800000</v>
      </c>
      <c r="D291" s="1043">
        <v>1800000</v>
      </c>
      <c r="E291" s="1052">
        <v>1170000</v>
      </c>
      <c r="F291" s="1045">
        <f>E291/D291</f>
        <v>0.65</v>
      </c>
    </row>
    <row r="292" spans="1:256" x14ac:dyDescent="0.2">
      <c r="A292" s="1557" t="s">
        <v>20</v>
      </c>
      <c r="B292" s="1563"/>
      <c r="C292" s="1043">
        <f>SUM(C291)</f>
        <v>1800000</v>
      </c>
      <c r="D292" s="1043">
        <f>SUM(D291)</f>
        <v>1800000</v>
      </c>
      <c r="E292" s="1043">
        <f>SUM(E291)</f>
        <v>1170000</v>
      </c>
      <c r="F292" s="1045">
        <f t="shared" ref="F292:F308" si="15">E292/D292</f>
        <v>0.65</v>
      </c>
      <c r="G292" s="1051"/>
      <c r="H292" s="1051"/>
      <c r="I292" s="1051"/>
      <c r="J292" s="1051"/>
      <c r="K292" s="1051"/>
      <c r="L292" s="1051"/>
      <c r="M292" s="1051"/>
      <c r="N292" s="1051"/>
      <c r="O292" s="1051"/>
      <c r="P292" s="1051"/>
      <c r="Q292" s="1051"/>
      <c r="R292" s="1051"/>
      <c r="S292" s="1051"/>
      <c r="T292" s="1051"/>
      <c r="U292" s="1051"/>
      <c r="V292" s="1051"/>
      <c r="W292" s="1051"/>
      <c r="X292" s="1051"/>
      <c r="Y292" s="1051"/>
      <c r="Z292" s="1051"/>
      <c r="AA292" s="1051"/>
      <c r="AB292" s="1051"/>
      <c r="AC292" s="1051"/>
      <c r="AD292" s="1051"/>
      <c r="AE292" s="1051"/>
      <c r="AF292" s="1051"/>
      <c r="AG292" s="1051"/>
      <c r="AH292" s="1051"/>
      <c r="AI292" s="1051"/>
      <c r="AJ292" s="1051"/>
      <c r="AK292" s="1051"/>
      <c r="AL292" s="1051"/>
      <c r="AM292" s="1051"/>
      <c r="AN292" s="1051"/>
      <c r="AO292" s="1051"/>
      <c r="AP292" s="1051"/>
      <c r="AQ292" s="1051"/>
      <c r="AR292" s="1051"/>
      <c r="AS292" s="1051"/>
      <c r="AT292" s="1051"/>
      <c r="AU292" s="1051"/>
      <c r="AV292" s="1051"/>
      <c r="AW292" s="1051"/>
      <c r="AX292" s="1051"/>
      <c r="AY292" s="1051"/>
      <c r="AZ292" s="1051"/>
      <c r="BA292" s="1051"/>
      <c r="BB292" s="1051"/>
      <c r="BC292" s="1051"/>
      <c r="BD292" s="1051"/>
      <c r="BE292" s="1051"/>
      <c r="BF292" s="1051"/>
      <c r="BG292" s="1051"/>
      <c r="BH292" s="1051"/>
      <c r="BI292" s="1051"/>
      <c r="BJ292" s="1051"/>
      <c r="BK292" s="1051"/>
      <c r="BL292" s="1051"/>
      <c r="BM292" s="1051"/>
      <c r="BN292" s="1051"/>
      <c r="BO292" s="1051"/>
      <c r="BP292" s="1051"/>
      <c r="BQ292" s="1051"/>
      <c r="BR292" s="1051"/>
      <c r="BS292" s="1051"/>
      <c r="BT292" s="1051"/>
      <c r="BU292" s="1051"/>
      <c r="BV292" s="1051"/>
      <c r="BW292" s="1051"/>
      <c r="BX292" s="1051"/>
      <c r="BY292" s="1051"/>
      <c r="BZ292" s="1051"/>
      <c r="CA292" s="1051"/>
      <c r="CB292" s="1051"/>
      <c r="CC292" s="1051"/>
      <c r="CD292" s="1051"/>
      <c r="CE292" s="1051"/>
      <c r="CF292" s="1051"/>
      <c r="CG292" s="1051"/>
      <c r="CH292" s="1051"/>
      <c r="CI292" s="1051"/>
      <c r="CJ292" s="1051"/>
      <c r="CK292" s="1051"/>
      <c r="CL292" s="1051"/>
      <c r="CM292" s="1051"/>
      <c r="CN292" s="1051"/>
      <c r="CO292" s="1051"/>
      <c r="CP292" s="1051"/>
      <c r="CQ292" s="1051"/>
      <c r="CR292" s="1051"/>
      <c r="CS292" s="1051"/>
      <c r="CT292" s="1051"/>
      <c r="CU292" s="1051"/>
      <c r="CV292" s="1051"/>
      <c r="CW292" s="1051"/>
      <c r="CX292" s="1051"/>
      <c r="CY292" s="1051"/>
      <c r="CZ292" s="1051"/>
      <c r="DA292" s="1051"/>
      <c r="DB292" s="1051"/>
      <c r="DC292" s="1051"/>
      <c r="DD292" s="1051"/>
      <c r="DE292" s="1051"/>
      <c r="DF292" s="1051"/>
      <c r="DG292" s="1051"/>
      <c r="DH292" s="1051"/>
      <c r="DI292" s="1051"/>
      <c r="DJ292" s="1051"/>
      <c r="DK292" s="1051"/>
      <c r="DL292" s="1051"/>
      <c r="DM292" s="1051"/>
      <c r="DN292" s="1051"/>
      <c r="DO292" s="1051"/>
      <c r="DP292" s="1051"/>
      <c r="DQ292" s="1051"/>
      <c r="DR292" s="1051"/>
      <c r="DS292" s="1051"/>
      <c r="DT292" s="1051"/>
      <c r="DU292" s="1051"/>
      <c r="DV292" s="1051"/>
      <c r="DW292" s="1051"/>
      <c r="DX292" s="1051"/>
      <c r="DY292" s="1051"/>
      <c r="DZ292" s="1051"/>
      <c r="EA292" s="1051"/>
      <c r="EB292" s="1051"/>
      <c r="EC292" s="1051"/>
      <c r="ED292" s="1051"/>
      <c r="EE292" s="1051"/>
      <c r="EF292" s="1051"/>
      <c r="EG292" s="1051"/>
      <c r="EH292" s="1051"/>
      <c r="EI292" s="1051"/>
      <c r="EJ292" s="1051"/>
      <c r="EK292" s="1051"/>
      <c r="EL292" s="1051"/>
      <c r="EM292" s="1051"/>
      <c r="EN292" s="1051"/>
      <c r="EO292" s="1051"/>
      <c r="EP292" s="1051"/>
      <c r="EQ292" s="1051"/>
      <c r="ER292" s="1051"/>
      <c r="ES292" s="1051"/>
      <c r="ET292" s="1051"/>
      <c r="EU292" s="1051"/>
      <c r="EV292" s="1051"/>
      <c r="EW292" s="1051"/>
      <c r="EX292" s="1051"/>
      <c r="EY292" s="1051"/>
      <c r="EZ292" s="1051"/>
      <c r="FA292" s="1051"/>
      <c r="FB292" s="1051"/>
      <c r="FC292" s="1051"/>
      <c r="FD292" s="1051"/>
      <c r="FE292" s="1051"/>
      <c r="FF292" s="1051"/>
      <c r="FG292" s="1051"/>
      <c r="FH292" s="1051"/>
      <c r="FI292" s="1051"/>
      <c r="FJ292" s="1051"/>
      <c r="FK292" s="1051"/>
      <c r="FL292" s="1051"/>
      <c r="FM292" s="1051"/>
      <c r="FN292" s="1051"/>
      <c r="FO292" s="1051"/>
      <c r="FP292" s="1051"/>
      <c r="FQ292" s="1051"/>
      <c r="FR292" s="1051"/>
      <c r="FS292" s="1051"/>
      <c r="FT292" s="1051"/>
      <c r="FU292" s="1051"/>
      <c r="FV292" s="1051"/>
      <c r="FW292" s="1051"/>
      <c r="FX292" s="1051"/>
      <c r="FY292" s="1051"/>
      <c r="FZ292" s="1051"/>
      <c r="GA292" s="1051"/>
      <c r="GB292" s="1051"/>
      <c r="GC292" s="1051"/>
      <c r="GD292" s="1051"/>
      <c r="GE292" s="1051"/>
      <c r="GF292" s="1051"/>
      <c r="GG292" s="1051"/>
      <c r="GH292" s="1051"/>
      <c r="GI292" s="1051"/>
      <c r="GJ292" s="1051"/>
      <c r="GK292" s="1051"/>
      <c r="GL292" s="1051"/>
      <c r="GM292" s="1051"/>
      <c r="GN292" s="1051"/>
      <c r="GO292" s="1051"/>
      <c r="GP292" s="1051"/>
      <c r="GQ292" s="1051"/>
      <c r="GR292" s="1051"/>
      <c r="GS292" s="1051"/>
      <c r="GT292" s="1051"/>
      <c r="GU292" s="1051"/>
      <c r="GV292" s="1051"/>
      <c r="GW292" s="1051"/>
      <c r="GX292" s="1051"/>
      <c r="GY292" s="1051"/>
      <c r="GZ292" s="1051"/>
      <c r="HA292" s="1051"/>
      <c r="HB292" s="1051"/>
      <c r="HC292" s="1051"/>
      <c r="HD292" s="1051"/>
      <c r="HE292" s="1051"/>
      <c r="HF292" s="1051"/>
      <c r="HG292" s="1051"/>
      <c r="HH292" s="1051"/>
      <c r="HI292" s="1051"/>
      <c r="HJ292" s="1051"/>
      <c r="HK292" s="1051"/>
      <c r="HL292" s="1051"/>
      <c r="HM292" s="1051"/>
      <c r="HN292" s="1051"/>
      <c r="HO292" s="1051"/>
      <c r="HP292" s="1051"/>
      <c r="HQ292" s="1051"/>
      <c r="HR292" s="1051"/>
      <c r="HS292" s="1051"/>
      <c r="HT292" s="1051"/>
      <c r="HU292" s="1051"/>
      <c r="HV292" s="1051"/>
      <c r="HW292" s="1051"/>
      <c r="HX292" s="1051"/>
      <c r="HY292" s="1051"/>
      <c r="HZ292" s="1051"/>
      <c r="IA292" s="1051"/>
      <c r="IB292" s="1051"/>
      <c r="IC292" s="1051"/>
      <c r="ID292" s="1051"/>
      <c r="IE292" s="1051"/>
      <c r="IF292" s="1051"/>
      <c r="IG292" s="1051"/>
      <c r="IH292" s="1051"/>
      <c r="II292" s="1051"/>
      <c r="IJ292" s="1051"/>
      <c r="IK292" s="1051"/>
      <c r="IL292" s="1051"/>
      <c r="IM292" s="1051"/>
      <c r="IN292" s="1051"/>
      <c r="IO292" s="1051"/>
      <c r="IP292" s="1051"/>
      <c r="IQ292" s="1051"/>
      <c r="IR292" s="1051"/>
      <c r="IS292" s="1051"/>
      <c r="IT292" s="1051"/>
      <c r="IU292" s="1051"/>
      <c r="IV292" s="1051"/>
    </row>
    <row r="293" spans="1:256" ht="25.5" x14ac:dyDescent="0.2">
      <c r="A293" s="1108" t="s">
        <v>771</v>
      </c>
      <c r="B293" s="1064" t="s">
        <v>794</v>
      </c>
      <c r="C293" s="1043">
        <v>4315000</v>
      </c>
      <c r="D293" s="1043">
        <v>4315000</v>
      </c>
      <c r="E293" s="1052">
        <v>2399998</v>
      </c>
      <c r="F293" s="1045">
        <f t="shared" si="15"/>
        <v>0.55619884125144847</v>
      </c>
      <c r="G293" s="1051"/>
      <c r="H293" s="1051"/>
      <c r="I293" s="1051"/>
      <c r="J293" s="1051"/>
      <c r="K293" s="1051"/>
      <c r="L293" s="1051"/>
      <c r="M293" s="1051"/>
      <c r="N293" s="1051"/>
      <c r="O293" s="1051"/>
      <c r="P293" s="1051"/>
      <c r="Q293" s="1051"/>
      <c r="R293" s="1051"/>
      <c r="S293" s="1051"/>
      <c r="T293" s="1051"/>
      <c r="U293" s="1051"/>
      <c r="V293" s="1051"/>
      <c r="W293" s="1051"/>
      <c r="X293" s="1051"/>
      <c r="Y293" s="1051"/>
      <c r="Z293" s="1051"/>
      <c r="AA293" s="1051"/>
      <c r="AB293" s="1051"/>
      <c r="AC293" s="1051"/>
      <c r="AD293" s="1051"/>
      <c r="AE293" s="1051"/>
      <c r="AF293" s="1051"/>
      <c r="AG293" s="1051"/>
      <c r="AH293" s="1051"/>
      <c r="AI293" s="1051"/>
      <c r="AJ293" s="1051"/>
      <c r="AK293" s="1051"/>
      <c r="AL293" s="1051"/>
      <c r="AM293" s="1051"/>
      <c r="AN293" s="1051"/>
      <c r="AO293" s="1051"/>
      <c r="AP293" s="1051"/>
      <c r="AQ293" s="1051"/>
      <c r="AR293" s="1051"/>
      <c r="AS293" s="1051"/>
      <c r="AT293" s="1051"/>
      <c r="AU293" s="1051"/>
      <c r="AV293" s="1051"/>
      <c r="AW293" s="1051"/>
      <c r="AX293" s="1051"/>
      <c r="AY293" s="1051"/>
      <c r="AZ293" s="1051"/>
      <c r="BA293" s="1051"/>
      <c r="BB293" s="1051"/>
      <c r="BC293" s="1051"/>
      <c r="BD293" s="1051"/>
      <c r="BE293" s="1051"/>
      <c r="BF293" s="1051"/>
      <c r="BG293" s="1051"/>
      <c r="BH293" s="1051"/>
      <c r="BI293" s="1051"/>
      <c r="BJ293" s="1051"/>
      <c r="BK293" s="1051"/>
      <c r="BL293" s="1051"/>
      <c r="BM293" s="1051"/>
      <c r="BN293" s="1051"/>
      <c r="BO293" s="1051"/>
      <c r="BP293" s="1051"/>
      <c r="BQ293" s="1051"/>
      <c r="BR293" s="1051"/>
      <c r="BS293" s="1051"/>
      <c r="BT293" s="1051"/>
      <c r="BU293" s="1051"/>
      <c r="BV293" s="1051"/>
      <c r="BW293" s="1051"/>
      <c r="BX293" s="1051"/>
      <c r="BY293" s="1051"/>
      <c r="BZ293" s="1051"/>
      <c r="CA293" s="1051"/>
      <c r="CB293" s="1051"/>
      <c r="CC293" s="1051"/>
      <c r="CD293" s="1051"/>
      <c r="CE293" s="1051"/>
      <c r="CF293" s="1051"/>
      <c r="CG293" s="1051"/>
      <c r="CH293" s="1051"/>
      <c r="CI293" s="1051"/>
      <c r="CJ293" s="1051"/>
      <c r="CK293" s="1051"/>
      <c r="CL293" s="1051"/>
      <c r="CM293" s="1051"/>
      <c r="CN293" s="1051"/>
      <c r="CO293" s="1051"/>
      <c r="CP293" s="1051"/>
      <c r="CQ293" s="1051"/>
      <c r="CR293" s="1051"/>
      <c r="CS293" s="1051"/>
      <c r="CT293" s="1051"/>
      <c r="CU293" s="1051"/>
      <c r="CV293" s="1051"/>
      <c r="CW293" s="1051"/>
      <c r="CX293" s="1051"/>
      <c r="CY293" s="1051"/>
      <c r="CZ293" s="1051"/>
      <c r="DA293" s="1051"/>
      <c r="DB293" s="1051"/>
      <c r="DC293" s="1051"/>
      <c r="DD293" s="1051"/>
      <c r="DE293" s="1051"/>
      <c r="DF293" s="1051"/>
      <c r="DG293" s="1051"/>
      <c r="DH293" s="1051"/>
      <c r="DI293" s="1051"/>
      <c r="DJ293" s="1051"/>
      <c r="DK293" s="1051"/>
      <c r="DL293" s="1051"/>
      <c r="DM293" s="1051"/>
      <c r="DN293" s="1051"/>
      <c r="DO293" s="1051"/>
      <c r="DP293" s="1051"/>
      <c r="DQ293" s="1051"/>
      <c r="DR293" s="1051"/>
      <c r="DS293" s="1051"/>
      <c r="DT293" s="1051"/>
      <c r="DU293" s="1051"/>
      <c r="DV293" s="1051"/>
      <c r="DW293" s="1051"/>
      <c r="DX293" s="1051"/>
      <c r="DY293" s="1051"/>
      <c r="DZ293" s="1051"/>
      <c r="EA293" s="1051"/>
      <c r="EB293" s="1051"/>
      <c r="EC293" s="1051"/>
      <c r="ED293" s="1051"/>
      <c r="EE293" s="1051"/>
      <c r="EF293" s="1051"/>
      <c r="EG293" s="1051"/>
      <c r="EH293" s="1051"/>
      <c r="EI293" s="1051"/>
      <c r="EJ293" s="1051"/>
      <c r="EK293" s="1051"/>
      <c r="EL293" s="1051"/>
      <c r="EM293" s="1051"/>
      <c r="EN293" s="1051"/>
      <c r="EO293" s="1051"/>
      <c r="EP293" s="1051"/>
      <c r="EQ293" s="1051"/>
      <c r="ER293" s="1051"/>
      <c r="ES293" s="1051"/>
      <c r="ET293" s="1051"/>
      <c r="EU293" s="1051"/>
      <c r="EV293" s="1051"/>
      <c r="EW293" s="1051"/>
      <c r="EX293" s="1051"/>
      <c r="EY293" s="1051"/>
      <c r="EZ293" s="1051"/>
      <c r="FA293" s="1051"/>
      <c r="FB293" s="1051"/>
      <c r="FC293" s="1051"/>
      <c r="FD293" s="1051"/>
      <c r="FE293" s="1051"/>
      <c r="FF293" s="1051"/>
      <c r="FG293" s="1051"/>
      <c r="FH293" s="1051"/>
      <c r="FI293" s="1051"/>
      <c r="FJ293" s="1051"/>
      <c r="FK293" s="1051"/>
      <c r="FL293" s="1051"/>
      <c r="FM293" s="1051"/>
      <c r="FN293" s="1051"/>
      <c r="FO293" s="1051"/>
      <c r="FP293" s="1051"/>
      <c r="FQ293" s="1051"/>
      <c r="FR293" s="1051"/>
      <c r="FS293" s="1051"/>
      <c r="FT293" s="1051"/>
      <c r="FU293" s="1051"/>
      <c r="FV293" s="1051"/>
      <c r="FW293" s="1051"/>
      <c r="FX293" s="1051"/>
      <c r="FY293" s="1051"/>
      <c r="FZ293" s="1051"/>
      <c r="GA293" s="1051"/>
      <c r="GB293" s="1051"/>
      <c r="GC293" s="1051"/>
      <c r="GD293" s="1051"/>
      <c r="GE293" s="1051"/>
      <c r="GF293" s="1051"/>
      <c r="GG293" s="1051"/>
      <c r="GH293" s="1051"/>
      <c r="GI293" s="1051"/>
      <c r="GJ293" s="1051"/>
      <c r="GK293" s="1051"/>
      <c r="GL293" s="1051"/>
      <c r="GM293" s="1051"/>
      <c r="GN293" s="1051"/>
      <c r="GO293" s="1051"/>
      <c r="GP293" s="1051"/>
      <c r="GQ293" s="1051"/>
      <c r="GR293" s="1051"/>
      <c r="GS293" s="1051"/>
      <c r="GT293" s="1051"/>
      <c r="GU293" s="1051"/>
      <c r="GV293" s="1051"/>
      <c r="GW293" s="1051"/>
      <c r="GX293" s="1051"/>
      <c r="GY293" s="1051"/>
      <c r="GZ293" s="1051"/>
      <c r="HA293" s="1051"/>
      <c r="HB293" s="1051"/>
      <c r="HC293" s="1051"/>
      <c r="HD293" s="1051"/>
      <c r="HE293" s="1051"/>
      <c r="HF293" s="1051"/>
      <c r="HG293" s="1051"/>
      <c r="HH293" s="1051"/>
      <c r="HI293" s="1051"/>
      <c r="HJ293" s="1051"/>
      <c r="HK293" s="1051"/>
      <c r="HL293" s="1051"/>
      <c r="HM293" s="1051"/>
      <c r="HN293" s="1051"/>
      <c r="HO293" s="1051"/>
      <c r="HP293" s="1051"/>
      <c r="HQ293" s="1051"/>
      <c r="HR293" s="1051"/>
      <c r="HS293" s="1051"/>
      <c r="HT293" s="1051"/>
      <c r="HU293" s="1051"/>
      <c r="HV293" s="1051"/>
      <c r="HW293" s="1051"/>
      <c r="HX293" s="1051"/>
      <c r="HY293" s="1051"/>
      <c r="HZ293" s="1051"/>
      <c r="IA293" s="1051"/>
      <c r="IB293" s="1051"/>
      <c r="IC293" s="1051"/>
      <c r="ID293" s="1051"/>
      <c r="IE293" s="1051"/>
      <c r="IF293" s="1051"/>
      <c r="IG293" s="1051"/>
      <c r="IH293" s="1051"/>
      <c r="II293" s="1051"/>
      <c r="IJ293" s="1051"/>
      <c r="IK293" s="1051"/>
      <c r="IL293" s="1051"/>
      <c r="IM293" s="1051"/>
      <c r="IN293" s="1051"/>
      <c r="IO293" s="1051"/>
      <c r="IP293" s="1051"/>
      <c r="IQ293" s="1051"/>
      <c r="IR293" s="1051"/>
      <c r="IS293" s="1051"/>
      <c r="IT293" s="1051"/>
      <c r="IU293" s="1051"/>
      <c r="IV293" s="1051"/>
    </row>
    <row r="294" spans="1:256" x14ac:dyDescent="0.2">
      <c r="A294" s="1557" t="s">
        <v>95</v>
      </c>
      <c r="B294" s="1563"/>
      <c r="C294" s="1043">
        <f>SUM(C293)</f>
        <v>4315000</v>
      </c>
      <c r="D294" s="1043">
        <f>SUM(D293)</f>
        <v>4315000</v>
      </c>
      <c r="E294" s="1043">
        <f>SUM(E293)</f>
        <v>2399998</v>
      </c>
      <c r="F294" s="1045">
        <f t="shared" si="15"/>
        <v>0.55619884125144847</v>
      </c>
      <c r="G294" s="1051"/>
      <c r="H294" s="1051"/>
      <c r="I294" s="1051"/>
      <c r="J294" s="1051"/>
      <c r="K294" s="1051"/>
      <c r="L294" s="1051"/>
      <c r="M294" s="1051"/>
      <c r="N294" s="1051"/>
      <c r="O294" s="1051"/>
      <c r="P294" s="1051"/>
      <c r="Q294" s="1051"/>
      <c r="R294" s="1051"/>
      <c r="S294" s="1051"/>
      <c r="T294" s="1051"/>
      <c r="U294" s="1051"/>
      <c r="V294" s="1051"/>
      <c r="W294" s="1051"/>
      <c r="X294" s="1051"/>
      <c r="Y294" s="1051"/>
      <c r="Z294" s="1051"/>
      <c r="AA294" s="1051"/>
      <c r="AB294" s="1051"/>
      <c r="AC294" s="1051"/>
      <c r="AD294" s="1051"/>
      <c r="AE294" s="1051"/>
      <c r="AF294" s="1051"/>
      <c r="AG294" s="1051"/>
      <c r="AH294" s="1051"/>
      <c r="AI294" s="1051"/>
      <c r="AJ294" s="1051"/>
      <c r="AK294" s="1051"/>
      <c r="AL294" s="1051"/>
      <c r="AM294" s="1051"/>
      <c r="AN294" s="1051"/>
      <c r="AO294" s="1051"/>
      <c r="AP294" s="1051"/>
      <c r="AQ294" s="1051"/>
      <c r="AR294" s="1051"/>
      <c r="AS294" s="1051"/>
      <c r="AT294" s="1051"/>
      <c r="AU294" s="1051"/>
      <c r="AV294" s="1051"/>
      <c r="AW294" s="1051"/>
      <c r="AX294" s="1051"/>
      <c r="AY294" s="1051"/>
      <c r="AZ294" s="1051"/>
      <c r="BA294" s="1051"/>
      <c r="BB294" s="1051"/>
      <c r="BC294" s="1051"/>
      <c r="BD294" s="1051"/>
      <c r="BE294" s="1051"/>
      <c r="BF294" s="1051"/>
      <c r="BG294" s="1051"/>
      <c r="BH294" s="1051"/>
      <c r="BI294" s="1051"/>
      <c r="BJ294" s="1051"/>
      <c r="BK294" s="1051"/>
      <c r="BL294" s="1051"/>
      <c r="BM294" s="1051"/>
      <c r="BN294" s="1051"/>
      <c r="BO294" s="1051"/>
      <c r="BP294" s="1051"/>
      <c r="BQ294" s="1051"/>
      <c r="BR294" s="1051"/>
      <c r="BS294" s="1051"/>
      <c r="BT294" s="1051"/>
      <c r="BU294" s="1051"/>
      <c r="BV294" s="1051"/>
      <c r="BW294" s="1051"/>
      <c r="BX294" s="1051"/>
      <c r="BY294" s="1051"/>
      <c r="BZ294" s="1051"/>
      <c r="CA294" s="1051"/>
      <c r="CB294" s="1051"/>
      <c r="CC294" s="1051"/>
      <c r="CD294" s="1051"/>
      <c r="CE294" s="1051"/>
      <c r="CF294" s="1051"/>
      <c r="CG294" s="1051"/>
      <c r="CH294" s="1051"/>
      <c r="CI294" s="1051"/>
      <c r="CJ294" s="1051"/>
      <c r="CK294" s="1051"/>
      <c r="CL294" s="1051"/>
      <c r="CM294" s="1051"/>
      <c r="CN294" s="1051"/>
      <c r="CO294" s="1051"/>
      <c r="CP294" s="1051"/>
      <c r="CQ294" s="1051"/>
      <c r="CR294" s="1051"/>
      <c r="CS294" s="1051"/>
      <c r="CT294" s="1051"/>
      <c r="CU294" s="1051"/>
      <c r="CV294" s="1051"/>
      <c r="CW294" s="1051"/>
      <c r="CX294" s="1051"/>
      <c r="CY294" s="1051"/>
      <c r="CZ294" s="1051"/>
      <c r="DA294" s="1051"/>
      <c r="DB294" s="1051"/>
      <c r="DC294" s="1051"/>
      <c r="DD294" s="1051"/>
      <c r="DE294" s="1051"/>
      <c r="DF294" s="1051"/>
      <c r="DG294" s="1051"/>
      <c r="DH294" s="1051"/>
      <c r="DI294" s="1051"/>
      <c r="DJ294" s="1051"/>
      <c r="DK294" s="1051"/>
      <c r="DL294" s="1051"/>
      <c r="DM294" s="1051"/>
      <c r="DN294" s="1051"/>
      <c r="DO294" s="1051"/>
      <c r="DP294" s="1051"/>
      <c r="DQ294" s="1051"/>
      <c r="DR294" s="1051"/>
      <c r="DS294" s="1051"/>
      <c r="DT294" s="1051"/>
      <c r="DU294" s="1051"/>
      <c r="DV294" s="1051"/>
      <c r="DW294" s="1051"/>
      <c r="DX294" s="1051"/>
      <c r="DY294" s="1051"/>
      <c r="DZ294" s="1051"/>
      <c r="EA294" s="1051"/>
      <c r="EB294" s="1051"/>
      <c r="EC294" s="1051"/>
      <c r="ED294" s="1051"/>
      <c r="EE294" s="1051"/>
      <c r="EF294" s="1051"/>
      <c r="EG294" s="1051"/>
      <c r="EH294" s="1051"/>
      <c r="EI294" s="1051"/>
      <c r="EJ294" s="1051"/>
      <c r="EK294" s="1051"/>
      <c r="EL294" s="1051"/>
      <c r="EM294" s="1051"/>
      <c r="EN294" s="1051"/>
      <c r="EO294" s="1051"/>
      <c r="EP294" s="1051"/>
      <c r="EQ294" s="1051"/>
      <c r="ER294" s="1051"/>
      <c r="ES294" s="1051"/>
      <c r="ET294" s="1051"/>
      <c r="EU294" s="1051"/>
      <c r="EV294" s="1051"/>
      <c r="EW294" s="1051"/>
      <c r="EX294" s="1051"/>
      <c r="EY294" s="1051"/>
      <c r="EZ294" s="1051"/>
      <c r="FA294" s="1051"/>
      <c r="FB294" s="1051"/>
      <c r="FC294" s="1051"/>
      <c r="FD294" s="1051"/>
      <c r="FE294" s="1051"/>
      <c r="FF294" s="1051"/>
      <c r="FG294" s="1051"/>
      <c r="FH294" s="1051"/>
      <c r="FI294" s="1051"/>
      <c r="FJ294" s="1051"/>
      <c r="FK294" s="1051"/>
      <c r="FL294" s="1051"/>
      <c r="FM294" s="1051"/>
      <c r="FN294" s="1051"/>
      <c r="FO294" s="1051"/>
      <c r="FP294" s="1051"/>
      <c r="FQ294" s="1051"/>
      <c r="FR294" s="1051"/>
      <c r="FS294" s="1051"/>
      <c r="FT294" s="1051"/>
      <c r="FU294" s="1051"/>
      <c r="FV294" s="1051"/>
      <c r="FW294" s="1051"/>
      <c r="FX294" s="1051"/>
      <c r="FY294" s="1051"/>
      <c r="FZ294" s="1051"/>
      <c r="GA294" s="1051"/>
      <c r="GB294" s="1051"/>
      <c r="GC294" s="1051"/>
      <c r="GD294" s="1051"/>
      <c r="GE294" s="1051"/>
      <c r="GF294" s="1051"/>
      <c r="GG294" s="1051"/>
      <c r="GH294" s="1051"/>
      <c r="GI294" s="1051"/>
      <c r="GJ294" s="1051"/>
      <c r="GK294" s="1051"/>
      <c r="GL294" s="1051"/>
      <c r="GM294" s="1051"/>
      <c r="GN294" s="1051"/>
      <c r="GO294" s="1051"/>
      <c r="GP294" s="1051"/>
      <c r="GQ294" s="1051"/>
      <c r="GR294" s="1051"/>
      <c r="GS294" s="1051"/>
      <c r="GT294" s="1051"/>
      <c r="GU294" s="1051"/>
      <c r="GV294" s="1051"/>
      <c r="GW294" s="1051"/>
      <c r="GX294" s="1051"/>
      <c r="GY294" s="1051"/>
      <c r="GZ294" s="1051"/>
      <c r="HA294" s="1051"/>
      <c r="HB294" s="1051"/>
      <c r="HC294" s="1051"/>
      <c r="HD294" s="1051"/>
      <c r="HE294" s="1051"/>
      <c r="HF294" s="1051"/>
      <c r="HG294" s="1051"/>
      <c r="HH294" s="1051"/>
      <c r="HI294" s="1051"/>
      <c r="HJ294" s="1051"/>
      <c r="HK294" s="1051"/>
      <c r="HL294" s="1051"/>
      <c r="HM294" s="1051"/>
      <c r="HN294" s="1051"/>
      <c r="HO294" s="1051"/>
      <c r="HP294" s="1051"/>
      <c r="HQ294" s="1051"/>
      <c r="HR294" s="1051"/>
      <c r="HS294" s="1051"/>
      <c r="HT294" s="1051"/>
      <c r="HU294" s="1051"/>
      <c r="HV294" s="1051"/>
      <c r="HW294" s="1051"/>
      <c r="HX294" s="1051"/>
      <c r="HY294" s="1051"/>
      <c r="HZ294" s="1051"/>
      <c r="IA294" s="1051"/>
      <c r="IB294" s="1051"/>
      <c r="IC294" s="1051"/>
      <c r="ID294" s="1051"/>
      <c r="IE294" s="1051"/>
      <c r="IF294" s="1051"/>
      <c r="IG294" s="1051"/>
      <c r="IH294" s="1051"/>
      <c r="II294" s="1051"/>
      <c r="IJ294" s="1051"/>
      <c r="IK294" s="1051"/>
      <c r="IL294" s="1051"/>
      <c r="IM294" s="1051"/>
      <c r="IN294" s="1051"/>
      <c r="IO294" s="1051"/>
      <c r="IP294" s="1051"/>
      <c r="IQ294" s="1051"/>
      <c r="IR294" s="1051"/>
      <c r="IS294" s="1051"/>
      <c r="IT294" s="1051"/>
      <c r="IU294" s="1051"/>
      <c r="IV294" s="1051"/>
    </row>
    <row r="295" spans="1:256" x14ac:dyDescent="0.2">
      <c r="A295" s="1565" t="s">
        <v>74</v>
      </c>
      <c r="B295" s="1566"/>
      <c r="C295" s="1046">
        <f>C294+C292</f>
        <v>6115000</v>
      </c>
      <c r="D295" s="1046">
        <f>D294+D292</f>
        <v>6115000</v>
      </c>
      <c r="E295" s="1046">
        <f>E294+E292</f>
        <v>3569998</v>
      </c>
      <c r="F295" s="1047">
        <f t="shared" si="15"/>
        <v>0.58380997547015534</v>
      </c>
    </row>
    <row r="296" spans="1:256" x14ac:dyDescent="0.2">
      <c r="A296" s="1056" t="s">
        <v>709</v>
      </c>
      <c r="B296" s="1057" t="s">
        <v>792</v>
      </c>
      <c r="C296" s="1043">
        <v>0</v>
      </c>
      <c r="D296" s="1043">
        <v>0</v>
      </c>
      <c r="E296" s="1043">
        <v>100945</v>
      </c>
      <c r="F296" s="1045" t="s">
        <v>446</v>
      </c>
    </row>
    <row r="297" spans="1:256" x14ac:dyDescent="0.2">
      <c r="A297" s="1056" t="s">
        <v>698</v>
      </c>
      <c r="B297" s="1057" t="s">
        <v>719</v>
      </c>
      <c r="C297" s="1043">
        <v>0</v>
      </c>
      <c r="D297" s="1043">
        <v>0</v>
      </c>
      <c r="E297" s="1043">
        <v>70000</v>
      </c>
      <c r="F297" s="1045" t="s">
        <v>446</v>
      </c>
    </row>
    <row r="298" spans="1:256" x14ac:dyDescent="0.2">
      <c r="A298" s="1056" t="s">
        <v>703</v>
      </c>
      <c r="B298" s="1042" t="s">
        <v>557</v>
      </c>
      <c r="C298" s="1043">
        <v>0</v>
      </c>
      <c r="D298" s="1043">
        <v>0</v>
      </c>
      <c r="E298" s="1043">
        <v>27255</v>
      </c>
      <c r="F298" s="1045" t="s">
        <v>446</v>
      </c>
    </row>
    <row r="299" spans="1:256" x14ac:dyDescent="0.2">
      <c r="A299" s="1548" t="s">
        <v>168</v>
      </c>
      <c r="B299" s="1548"/>
      <c r="C299" s="1043">
        <f>SUM(C296:C298)</f>
        <v>0</v>
      </c>
      <c r="D299" s="1043">
        <f>SUM(D296:D298)</f>
        <v>0</v>
      </c>
      <c r="E299" s="1043">
        <f>SUM(E296:E298)</f>
        <v>198200</v>
      </c>
      <c r="F299" s="1045" t="s">
        <v>446</v>
      </c>
    </row>
    <row r="300" spans="1:256" x14ac:dyDescent="0.2">
      <c r="A300" s="1041" t="s">
        <v>740</v>
      </c>
      <c r="B300" s="1064" t="s">
        <v>795</v>
      </c>
      <c r="C300" s="1043">
        <f>5000000+1800000</f>
        <v>6800000</v>
      </c>
      <c r="D300" s="1043">
        <v>6800000</v>
      </c>
      <c r="E300" s="1052">
        <v>6170000</v>
      </c>
      <c r="F300" s="1045">
        <f t="shared" si="15"/>
        <v>0.90735294117647058</v>
      </c>
      <c r="G300" s="1109"/>
      <c r="H300" s="1109"/>
      <c r="I300" s="1109"/>
      <c r="J300" s="1109"/>
      <c r="K300" s="1109"/>
      <c r="L300" s="1109"/>
      <c r="M300" s="1109"/>
      <c r="N300" s="1109"/>
      <c r="O300" s="1109"/>
      <c r="P300" s="1109"/>
      <c r="Q300" s="1109"/>
      <c r="R300" s="1109"/>
      <c r="S300" s="1109"/>
      <c r="T300" s="1109"/>
      <c r="U300" s="1109"/>
      <c r="V300" s="1109"/>
      <c r="W300" s="1109"/>
      <c r="X300" s="1109"/>
      <c r="Y300" s="1109"/>
      <c r="Z300" s="1109"/>
      <c r="AA300" s="1109"/>
      <c r="AB300" s="1109"/>
      <c r="AC300" s="1109"/>
      <c r="AD300" s="1109"/>
      <c r="AE300" s="1109"/>
      <c r="AF300" s="1109"/>
      <c r="AG300" s="1109"/>
      <c r="AH300" s="1109"/>
      <c r="AI300" s="1109"/>
      <c r="AJ300" s="1109"/>
      <c r="AK300" s="1109"/>
      <c r="AL300" s="1109"/>
      <c r="AM300" s="1109"/>
      <c r="AN300" s="1109"/>
      <c r="AO300" s="1109"/>
      <c r="AP300" s="1109"/>
      <c r="AQ300" s="1109"/>
      <c r="AR300" s="1109"/>
      <c r="AS300" s="1109"/>
      <c r="AT300" s="1109"/>
      <c r="AU300" s="1109"/>
      <c r="AV300" s="1109"/>
      <c r="AW300" s="1109"/>
      <c r="AX300" s="1109"/>
      <c r="AY300" s="1109"/>
      <c r="AZ300" s="1109"/>
      <c r="BA300" s="1109"/>
      <c r="BB300" s="1109"/>
      <c r="BC300" s="1109"/>
      <c r="BD300" s="1109"/>
      <c r="BE300" s="1109"/>
      <c r="BF300" s="1109"/>
      <c r="BG300" s="1109"/>
      <c r="BH300" s="1109"/>
      <c r="BI300" s="1109"/>
      <c r="BJ300" s="1109"/>
      <c r="BK300" s="1109"/>
      <c r="BL300" s="1109"/>
      <c r="BM300" s="1109"/>
      <c r="BN300" s="1109"/>
      <c r="BO300" s="1109"/>
      <c r="BP300" s="1109"/>
      <c r="BQ300" s="1109"/>
      <c r="BR300" s="1109"/>
      <c r="BS300" s="1109"/>
      <c r="BT300" s="1109"/>
      <c r="BU300" s="1109"/>
      <c r="BV300" s="1109"/>
      <c r="BW300" s="1109"/>
      <c r="BX300" s="1109"/>
      <c r="BY300" s="1109"/>
      <c r="BZ300" s="1109"/>
      <c r="CA300" s="1109"/>
      <c r="CB300" s="1109"/>
      <c r="CC300" s="1109"/>
      <c r="CD300" s="1109"/>
      <c r="CE300" s="1109"/>
      <c r="CF300" s="1109"/>
      <c r="CG300" s="1109"/>
      <c r="CH300" s="1109"/>
      <c r="CI300" s="1109"/>
      <c r="CJ300" s="1109"/>
      <c r="CK300" s="1109"/>
      <c r="CL300" s="1109"/>
      <c r="CM300" s="1109"/>
      <c r="CN300" s="1109"/>
      <c r="CO300" s="1109"/>
      <c r="CP300" s="1109"/>
      <c r="CQ300" s="1109"/>
      <c r="CR300" s="1109"/>
      <c r="CS300" s="1109"/>
      <c r="CT300" s="1109"/>
      <c r="CU300" s="1109"/>
      <c r="CV300" s="1109"/>
      <c r="CW300" s="1109"/>
      <c r="CX300" s="1109"/>
      <c r="CY300" s="1109"/>
      <c r="CZ300" s="1109"/>
      <c r="DA300" s="1109"/>
      <c r="DB300" s="1109"/>
      <c r="DC300" s="1109"/>
      <c r="DD300" s="1109"/>
      <c r="DE300" s="1109"/>
      <c r="DF300" s="1109"/>
      <c r="DG300" s="1109"/>
      <c r="DH300" s="1109"/>
      <c r="DI300" s="1109"/>
      <c r="DJ300" s="1109"/>
      <c r="DK300" s="1109"/>
      <c r="DL300" s="1109"/>
      <c r="DM300" s="1109"/>
      <c r="DN300" s="1109"/>
      <c r="DO300" s="1109"/>
      <c r="DP300" s="1109"/>
      <c r="DQ300" s="1109"/>
      <c r="DR300" s="1109"/>
      <c r="DS300" s="1109"/>
      <c r="DT300" s="1109"/>
      <c r="DU300" s="1109"/>
      <c r="DV300" s="1109"/>
      <c r="DW300" s="1109"/>
      <c r="DX300" s="1109"/>
      <c r="DY300" s="1109"/>
      <c r="DZ300" s="1109"/>
      <c r="EA300" s="1109"/>
      <c r="EB300" s="1109"/>
      <c r="EC300" s="1109"/>
      <c r="ED300" s="1109"/>
      <c r="EE300" s="1109"/>
      <c r="EF300" s="1109"/>
      <c r="EG300" s="1109"/>
      <c r="EH300" s="1109"/>
      <c r="EI300" s="1109"/>
      <c r="EJ300" s="1109"/>
      <c r="EK300" s="1109"/>
      <c r="EL300" s="1109"/>
      <c r="EM300" s="1109"/>
      <c r="EN300" s="1109"/>
      <c r="EO300" s="1109"/>
      <c r="EP300" s="1109"/>
      <c r="EQ300" s="1109"/>
      <c r="ER300" s="1109"/>
      <c r="ES300" s="1109"/>
      <c r="ET300" s="1109"/>
      <c r="EU300" s="1109"/>
      <c r="EV300" s="1109"/>
      <c r="EW300" s="1109"/>
      <c r="EX300" s="1109"/>
      <c r="EY300" s="1109"/>
      <c r="EZ300" s="1109"/>
      <c r="FA300" s="1109"/>
      <c r="FB300" s="1109"/>
      <c r="FC300" s="1109"/>
      <c r="FD300" s="1109"/>
      <c r="FE300" s="1109"/>
      <c r="FF300" s="1109"/>
      <c r="FG300" s="1109"/>
      <c r="FH300" s="1109"/>
      <c r="FI300" s="1109"/>
      <c r="FJ300" s="1109"/>
      <c r="FK300" s="1109"/>
      <c r="FL300" s="1109"/>
      <c r="FM300" s="1109"/>
      <c r="FN300" s="1109"/>
      <c r="FO300" s="1109"/>
      <c r="FP300" s="1109"/>
      <c r="FQ300" s="1109"/>
      <c r="FR300" s="1109"/>
      <c r="FS300" s="1109"/>
      <c r="FT300" s="1109"/>
      <c r="FU300" s="1109"/>
      <c r="FV300" s="1109"/>
      <c r="FW300" s="1109"/>
      <c r="FX300" s="1109"/>
      <c r="FY300" s="1109"/>
      <c r="FZ300" s="1109"/>
      <c r="GA300" s="1109"/>
      <c r="GB300" s="1109"/>
      <c r="GC300" s="1109"/>
      <c r="GD300" s="1109"/>
      <c r="GE300" s="1109"/>
      <c r="GF300" s="1109"/>
      <c r="GG300" s="1109"/>
      <c r="GH300" s="1109"/>
      <c r="GI300" s="1109"/>
      <c r="GJ300" s="1109"/>
      <c r="GK300" s="1109"/>
      <c r="GL300" s="1109"/>
      <c r="GM300" s="1109"/>
      <c r="GN300" s="1109"/>
      <c r="GO300" s="1109"/>
      <c r="GP300" s="1109"/>
      <c r="GQ300" s="1109"/>
      <c r="GR300" s="1109"/>
      <c r="GS300" s="1109"/>
      <c r="GT300" s="1109"/>
      <c r="GU300" s="1109"/>
      <c r="GV300" s="1109"/>
      <c r="GW300" s="1109"/>
      <c r="GX300" s="1109"/>
      <c r="GY300" s="1109"/>
      <c r="GZ300" s="1109"/>
      <c r="HA300" s="1109"/>
      <c r="HB300" s="1109"/>
      <c r="HC300" s="1109"/>
      <c r="HD300" s="1109"/>
      <c r="HE300" s="1109"/>
      <c r="HF300" s="1109"/>
      <c r="HG300" s="1109"/>
      <c r="HH300" s="1109"/>
      <c r="HI300" s="1109"/>
      <c r="HJ300" s="1109"/>
      <c r="HK300" s="1109"/>
      <c r="HL300" s="1109"/>
      <c r="HM300" s="1109"/>
      <c r="HN300" s="1109"/>
      <c r="HO300" s="1109"/>
      <c r="HP300" s="1109"/>
      <c r="HQ300" s="1109"/>
      <c r="HR300" s="1109"/>
      <c r="HS300" s="1109"/>
      <c r="HT300" s="1109"/>
      <c r="HU300" s="1109"/>
      <c r="HV300" s="1109"/>
      <c r="HW300" s="1109"/>
      <c r="HX300" s="1109"/>
      <c r="HY300" s="1109"/>
      <c r="HZ300" s="1109"/>
      <c r="IA300" s="1109"/>
      <c r="IB300" s="1109"/>
      <c r="IC300" s="1109"/>
      <c r="ID300" s="1109"/>
      <c r="IE300" s="1109"/>
      <c r="IF300" s="1109"/>
      <c r="IG300" s="1109"/>
      <c r="IH300" s="1109"/>
      <c r="II300" s="1109"/>
      <c r="IJ300" s="1109"/>
      <c r="IK300" s="1109"/>
      <c r="IL300" s="1109"/>
      <c r="IM300" s="1109"/>
      <c r="IN300" s="1109"/>
      <c r="IO300" s="1109"/>
      <c r="IP300" s="1109"/>
      <c r="IQ300" s="1109"/>
      <c r="IR300" s="1109"/>
      <c r="IS300" s="1109"/>
      <c r="IT300" s="1109"/>
      <c r="IU300" s="1109"/>
      <c r="IV300" s="1109"/>
    </row>
    <row r="301" spans="1:256" x14ac:dyDescent="0.2">
      <c r="A301" s="1548" t="s">
        <v>173</v>
      </c>
      <c r="B301" s="1548"/>
      <c r="C301" s="1043">
        <f>SUM(C300)</f>
        <v>6800000</v>
      </c>
      <c r="D301" s="1043">
        <f>SUM(D300)</f>
        <v>6800000</v>
      </c>
      <c r="E301" s="1043">
        <f>SUM(E300)</f>
        <v>6170000</v>
      </c>
      <c r="F301" s="1045">
        <f t="shared" si="15"/>
        <v>0.90735294117647058</v>
      </c>
      <c r="G301" s="1051"/>
      <c r="H301" s="1051"/>
      <c r="I301" s="1051"/>
      <c r="J301" s="1051"/>
      <c r="K301" s="1051"/>
      <c r="L301" s="1051"/>
      <c r="M301" s="1051"/>
      <c r="N301" s="1051"/>
      <c r="O301" s="1051"/>
      <c r="P301" s="1051"/>
      <c r="Q301" s="1051"/>
      <c r="R301" s="1051"/>
      <c r="S301" s="1051"/>
      <c r="T301" s="1051"/>
      <c r="U301" s="1051"/>
      <c r="V301" s="1051"/>
      <c r="W301" s="1051"/>
      <c r="X301" s="1051"/>
      <c r="Y301" s="1051"/>
      <c r="Z301" s="1051"/>
      <c r="AA301" s="1051"/>
      <c r="AB301" s="1051"/>
      <c r="AC301" s="1051"/>
      <c r="AD301" s="1051"/>
      <c r="AE301" s="1051"/>
      <c r="AF301" s="1051"/>
      <c r="AG301" s="1051"/>
      <c r="AH301" s="1051"/>
      <c r="AI301" s="1051"/>
      <c r="AJ301" s="1051"/>
      <c r="AK301" s="1051"/>
      <c r="AL301" s="1051"/>
      <c r="AM301" s="1051"/>
      <c r="AN301" s="1051"/>
      <c r="AO301" s="1051"/>
      <c r="AP301" s="1051"/>
      <c r="AQ301" s="1051"/>
      <c r="AR301" s="1051"/>
      <c r="AS301" s="1051"/>
      <c r="AT301" s="1051"/>
      <c r="AU301" s="1051"/>
      <c r="AV301" s="1051"/>
      <c r="AW301" s="1051"/>
      <c r="AX301" s="1051"/>
      <c r="AY301" s="1051"/>
      <c r="AZ301" s="1051"/>
      <c r="BA301" s="1051"/>
      <c r="BB301" s="1051"/>
      <c r="BC301" s="1051"/>
      <c r="BD301" s="1051"/>
      <c r="BE301" s="1051"/>
      <c r="BF301" s="1051"/>
      <c r="BG301" s="1051"/>
      <c r="BH301" s="1051"/>
      <c r="BI301" s="1051"/>
      <c r="BJ301" s="1051"/>
      <c r="BK301" s="1051"/>
      <c r="BL301" s="1051"/>
      <c r="BM301" s="1051"/>
      <c r="BN301" s="1051"/>
      <c r="BO301" s="1051"/>
      <c r="BP301" s="1051"/>
      <c r="BQ301" s="1051"/>
      <c r="BR301" s="1051"/>
      <c r="BS301" s="1051"/>
      <c r="BT301" s="1051"/>
      <c r="BU301" s="1051"/>
      <c r="BV301" s="1051"/>
      <c r="BW301" s="1051"/>
      <c r="BX301" s="1051"/>
      <c r="BY301" s="1051"/>
      <c r="BZ301" s="1051"/>
      <c r="CA301" s="1051"/>
      <c r="CB301" s="1051"/>
      <c r="CC301" s="1051"/>
      <c r="CD301" s="1051"/>
      <c r="CE301" s="1051"/>
      <c r="CF301" s="1051"/>
      <c r="CG301" s="1051"/>
      <c r="CH301" s="1051"/>
      <c r="CI301" s="1051"/>
      <c r="CJ301" s="1051"/>
      <c r="CK301" s="1051"/>
      <c r="CL301" s="1051"/>
      <c r="CM301" s="1051"/>
      <c r="CN301" s="1051"/>
      <c r="CO301" s="1051"/>
      <c r="CP301" s="1051"/>
      <c r="CQ301" s="1051"/>
      <c r="CR301" s="1051"/>
      <c r="CS301" s="1051"/>
      <c r="CT301" s="1051"/>
      <c r="CU301" s="1051"/>
      <c r="CV301" s="1051"/>
      <c r="CW301" s="1051"/>
      <c r="CX301" s="1051"/>
      <c r="CY301" s="1051"/>
      <c r="CZ301" s="1051"/>
      <c r="DA301" s="1051"/>
      <c r="DB301" s="1051"/>
      <c r="DC301" s="1051"/>
      <c r="DD301" s="1051"/>
      <c r="DE301" s="1051"/>
      <c r="DF301" s="1051"/>
      <c r="DG301" s="1051"/>
      <c r="DH301" s="1051"/>
      <c r="DI301" s="1051"/>
      <c r="DJ301" s="1051"/>
      <c r="DK301" s="1051"/>
      <c r="DL301" s="1051"/>
      <c r="DM301" s="1051"/>
      <c r="DN301" s="1051"/>
      <c r="DO301" s="1051"/>
      <c r="DP301" s="1051"/>
      <c r="DQ301" s="1051"/>
      <c r="DR301" s="1051"/>
      <c r="DS301" s="1051"/>
      <c r="DT301" s="1051"/>
      <c r="DU301" s="1051"/>
      <c r="DV301" s="1051"/>
      <c r="DW301" s="1051"/>
      <c r="DX301" s="1051"/>
      <c r="DY301" s="1051"/>
      <c r="DZ301" s="1051"/>
      <c r="EA301" s="1051"/>
      <c r="EB301" s="1051"/>
      <c r="EC301" s="1051"/>
      <c r="ED301" s="1051"/>
      <c r="EE301" s="1051"/>
      <c r="EF301" s="1051"/>
      <c r="EG301" s="1051"/>
      <c r="EH301" s="1051"/>
      <c r="EI301" s="1051"/>
      <c r="EJ301" s="1051"/>
      <c r="EK301" s="1051"/>
      <c r="EL301" s="1051"/>
      <c r="EM301" s="1051"/>
      <c r="EN301" s="1051"/>
      <c r="EO301" s="1051"/>
      <c r="EP301" s="1051"/>
      <c r="EQ301" s="1051"/>
      <c r="ER301" s="1051"/>
      <c r="ES301" s="1051"/>
      <c r="ET301" s="1051"/>
      <c r="EU301" s="1051"/>
      <c r="EV301" s="1051"/>
      <c r="EW301" s="1051"/>
      <c r="EX301" s="1051"/>
      <c r="EY301" s="1051"/>
      <c r="EZ301" s="1051"/>
      <c r="FA301" s="1051"/>
      <c r="FB301" s="1051"/>
      <c r="FC301" s="1051"/>
      <c r="FD301" s="1051"/>
      <c r="FE301" s="1051"/>
      <c r="FF301" s="1051"/>
      <c r="FG301" s="1051"/>
      <c r="FH301" s="1051"/>
      <c r="FI301" s="1051"/>
      <c r="FJ301" s="1051"/>
      <c r="FK301" s="1051"/>
      <c r="FL301" s="1051"/>
      <c r="FM301" s="1051"/>
      <c r="FN301" s="1051"/>
      <c r="FO301" s="1051"/>
      <c r="FP301" s="1051"/>
      <c r="FQ301" s="1051"/>
      <c r="FR301" s="1051"/>
      <c r="FS301" s="1051"/>
      <c r="FT301" s="1051"/>
      <c r="FU301" s="1051"/>
      <c r="FV301" s="1051"/>
      <c r="FW301" s="1051"/>
      <c r="FX301" s="1051"/>
      <c r="FY301" s="1051"/>
      <c r="FZ301" s="1051"/>
      <c r="GA301" s="1051"/>
      <c r="GB301" s="1051"/>
      <c r="GC301" s="1051"/>
      <c r="GD301" s="1051"/>
      <c r="GE301" s="1051"/>
      <c r="GF301" s="1051"/>
      <c r="GG301" s="1051"/>
      <c r="GH301" s="1051"/>
      <c r="GI301" s="1051"/>
      <c r="GJ301" s="1051"/>
      <c r="GK301" s="1051"/>
      <c r="GL301" s="1051"/>
      <c r="GM301" s="1051"/>
      <c r="GN301" s="1051"/>
      <c r="GO301" s="1051"/>
      <c r="GP301" s="1051"/>
      <c r="GQ301" s="1051"/>
      <c r="GR301" s="1051"/>
      <c r="GS301" s="1051"/>
      <c r="GT301" s="1051"/>
      <c r="GU301" s="1051"/>
      <c r="GV301" s="1051"/>
      <c r="GW301" s="1051"/>
      <c r="GX301" s="1051"/>
      <c r="GY301" s="1051"/>
      <c r="GZ301" s="1051"/>
      <c r="HA301" s="1051"/>
      <c r="HB301" s="1051"/>
      <c r="HC301" s="1051"/>
      <c r="HD301" s="1051"/>
      <c r="HE301" s="1051"/>
      <c r="HF301" s="1051"/>
      <c r="HG301" s="1051"/>
      <c r="HH301" s="1051"/>
      <c r="HI301" s="1051"/>
      <c r="HJ301" s="1051"/>
      <c r="HK301" s="1051"/>
      <c r="HL301" s="1051"/>
      <c r="HM301" s="1051"/>
      <c r="HN301" s="1051"/>
      <c r="HO301" s="1051"/>
      <c r="HP301" s="1051"/>
      <c r="HQ301" s="1051"/>
      <c r="HR301" s="1051"/>
      <c r="HS301" s="1051"/>
      <c r="HT301" s="1051"/>
      <c r="HU301" s="1051"/>
      <c r="HV301" s="1051"/>
      <c r="HW301" s="1051"/>
      <c r="HX301" s="1051"/>
      <c r="HY301" s="1051"/>
      <c r="HZ301" s="1051"/>
      <c r="IA301" s="1051"/>
      <c r="IB301" s="1051"/>
      <c r="IC301" s="1051"/>
      <c r="ID301" s="1051"/>
      <c r="IE301" s="1051"/>
      <c r="IF301" s="1051"/>
      <c r="IG301" s="1051"/>
      <c r="IH301" s="1051"/>
      <c r="II301" s="1051"/>
      <c r="IJ301" s="1051"/>
      <c r="IK301" s="1051"/>
      <c r="IL301" s="1051"/>
      <c r="IM301" s="1051"/>
      <c r="IN301" s="1051"/>
      <c r="IO301" s="1051"/>
      <c r="IP301" s="1051"/>
      <c r="IQ301" s="1051"/>
      <c r="IR301" s="1051"/>
      <c r="IS301" s="1051"/>
      <c r="IT301" s="1051"/>
      <c r="IU301" s="1051"/>
      <c r="IV301" s="1051"/>
    </row>
    <row r="302" spans="1:256" x14ac:dyDescent="0.2">
      <c r="A302" s="1041" t="s">
        <v>611</v>
      </c>
      <c r="B302" s="1103" t="s">
        <v>783</v>
      </c>
      <c r="C302" s="1043">
        <v>0</v>
      </c>
      <c r="D302" s="1043">
        <v>0</v>
      </c>
      <c r="E302" s="1043">
        <v>127200</v>
      </c>
      <c r="F302" s="1045" t="s">
        <v>446</v>
      </c>
      <c r="G302" s="1051"/>
      <c r="H302" s="1051"/>
      <c r="I302" s="1051"/>
      <c r="J302" s="1051"/>
      <c r="K302" s="1051"/>
      <c r="L302" s="1051"/>
      <c r="M302" s="1051"/>
      <c r="N302" s="1051"/>
      <c r="O302" s="1051"/>
      <c r="P302" s="1051"/>
      <c r="Q302" s="1051"/>
      <c r="R302" s="1051"/>
      <c r="S302" s="1051"/>
      <c r="T302" s="1051"/>
      <c r="U302" s="1051"/>
      <c r="V302" s="1051"/>
      <c r="W302" s="1051"/>
      <c r="X302" s="1051"/>
      <c r="Y302" s="1051"/>
      <c r="Z302" s="1051"/>
      <c r="AA302" s="1051"/>
      <c r="AB302" s="1051"/>
      <c r="AC302" s="1051"/>
      <c r="AD302" s="1051"/>
      <c r="AE302" s="1051"/>
      <c r="AF302" s="1051"/>
      <c r="AG302" s="1051"/>
      <c r="AH302" s="1051"/>
      <c r="AI302" s="1051"/>
      <c r="AJ302" s="1051"/>
      <c r="AK302" s="1051"/>
      <c r="AL302" s="1051"/>
      <c r="AM302" s="1051"/>
      <c r="AN302" s="1051"/>
      <c r="AO302" s="1051"/>
      <c r="AP302" s="1051"/>
      <c r="AQ302" s="1051"/>
      <c r="AR302" s="1051"/>
      <c r="AS302" s="1051"/>
      <c r="AT302" s="1051"/>
      <c r="AU302" s="1051"/>
      <c r="AV302" s="1051"/>
      <c r="AW302" s="1051"/>
      <c r="AX302" s="1051"/>
      <c r="AY302" s="1051"/>
      <c r="AZ302" s="1051"/>
      <c r="BA302" s="1051"/>
      <c r="BB302" s="1051"/>
      <c r="BC302" s="1051"/>
      <c r="BD302" s="1051"/>
      <c r="BE302" s="1051"/>
      <c r="BF302" s="1051"/>
      <c r="BG302" s="1051"/>
      <c r="BH302" s="1051"/>
      <c r="BI302" s="1051"/>
      <c r="BJ302" s="1051"/>
      <c r="BK302" s="1051"/>
      <c r="BL302" s="1051"/>
      <c r="BM302" s="1051"/>
      <c r="BN302" s="1051"/>
      <c r="BO302" s="1051"/>
      <c r="BP302" s="1051"/>
      <c r="BQ302" s="1051"/>
      <c r="BR302" s="1051"/>
      <c r="BS302" s="1051"/>
      <c r="BT302" s="1051"/>
      <c r="BU302" s="1051"/>
      <c r="BV302" s="1051"/>
      <c r="BW302" s="1051"/>
      <c r="BX302" s="1051"/>
      <c r="BY302" s="1051"/>
      <c r="BZ302" s="1051"/>
      <c r="CA302" s="1051"/>
      <c r="CB302" s="1051"/>
      <c r="CC302" s="1051"/>
      <c r="CD302" s="1051"/>
      <c r="CE302" s="1051"/>
      <c r="CF302" s="1051"/>
      <c r="CG302" s="1051"/>
      <c r="CH302" s="1051"/>
      <c r="CI302" s="1051"/>
      <c r="CJ302" s="1051"/>
      <c r="CK302" s="1051"/>
      <c r="CL302" s="1051"/>
      <c r="CM302" s="1051"/>
      <c r="CN302" s="1051"/>
      <c r="CO302" s="1051"/>
      <c r="CP302" s="1051"/>
      <c r="CQ302" s="1051"/>
      <c r="CR302" s="1051"/>
      <c r="CS302" s="1051"/>
      <c r="CT302" s="1051"/>
      <c r="CU302" s="1051"/>
      <c r="CV302" s="1051"/>
      <c r="CW302" s="1051"/>
      <c r="CX302" s="1051"/>
      <c r="CY302" s="1051"/>
      <c r="CZ302" s="1051"/>
      <c r="DA302" s="1051"/>
      <c r="DB302" s="1051"/>
      <c r="DC302" s="1051"/>
      <c r="DD302" s="1051"/>
      <c r="DE302" s="1051"/>
      <c r="DF302" s="1051"/>
      <c r="DG302" s="1051"/>
      <c r="DH302" s="1051"/>
      <c r="DI302" s="1051"/>
      <c r="DJ302" s="1051"/>
      <c r="DK302" s="1051"/>
      <c r="DL302" s="1051"/>
      <c r="DM302" s="1051"/>
      <c r="DN302" s="1051"/>
      <c r="DO302" s="1051"/>
      <c r="DP302" s="1051"/>
      <c r="DQ302" s="1051"/>
      <c r="DR302" s="1051"/>
      <c r="DS302" s="1051"/>
      <c r="DT302" s="1051"/>
      <c r="DU302" s="1051"/>
      <c r="DV302" s="1051"/>
      <c r="DW302" s="1051"/>
      <c r="DX302" s="1051"/>
      <c r="DY302" s="1051"/>
      <c r="DZ302" s="1051"/>
      <c r="EA302" s="1051"/>
      <c r="EB302" s="1051"/>
      <c r="EC302" s="1051"/>
      <c r="ED302" s="1051"/>
      <c r="EE302" s="1051"/>
      <c r="EF302" s="1051"/>
      <c r="EG302" s="1051"/>
      <c r="EH302" s="1051"/>
      <c r="EI302" s="1051"/>
      <c r="EJ302" s="1051"/>
      <c r="EK302" s="1051"/>
      <c r="EL302" s="1051"/>
      <c r="EM302" s="1051"/>
      <c r="EN302" s="1051"/>
      <c r="EO302" s="1051"/>
      <c r="EP302" s="1051"/>
      <c r="EQ302" s="1051"/>
      <c r="ER302" s="1051"/>
      <c r="ES302" s="1051"/>
      <c r="ET302" s="1051"/>
      <c r="EU302" s="1051"/>
      <c r="EV302" s="1051"/>
      <c r="EW302" s="1051"/>
      <c r="EX302" s="1051"/>
      <c r="EY302" s="1051"/>
      <c r="EZ302" s="1051"/>
      <c r="FA302" s="1051"/>
      <c r="FB302" s="1051"/>
      <c r="FC302" s="1051"/>
      <c r="FD302" s="1051"/>
      <c r="FE302" s="1051"/>
      <c r="FF302" s="1051"/>
      <c r="FG302" s="1051"/>
      <c r="FH302" s="1051"/>
      <c r="FI302" s="1051"/>
      <c r="FJ302" s="1051"/>
      <c r="FK302" s="1051"/>
      <c r="FL302" s="1051"/>
      <c r="FM302" s="1051"/>
      <c r="FN302" s="1051"/>
      <c r="FO302" s="1051"/>
      <c r="FP302" s="1051"/>
      <c r="FQ302" s="1051"/>
      <c r="FR302" s="1051"/>
      <c r="FS302" s="1051"/>
      <c r="FT302" s="1051"/>
      <c r="FU302" s="1051"/>
      <c r="FV302" s="1051"/>
      <c r="FW302" s="1051"/>
      <c r="FX302" s="1051"/>
      <c r="FY302" s="1051"/>
      <c r="FZ302" s="1051"/>
      <c r="GA302" s="1051"/>
      <c r="GB302" s="1051"/>
      <c r="GC302" s="1051"/>
      <c r="GD302" s="1051"/>
      <c r="GE302" s="1051"/>
      <c r="GF302" s="1051"/>
      <c r="GG302" s="1051"/>
      <c r="GH302" s="1051"/>
      <c r="GI302" s="1051"/>
      <c r="GJ302" s="1051"/>
      <c r="GK302" s="1051"/>
      <c r="GL302" s="1051"/>
      <c r="GM302" s="1051"/>
      <c r="GN302" s="1051"/>
      <c r="GO302" s="1051"/>
      <c r="GP302" s="1051"/>
      <c r="GQ302" s="1051"/>
      <c r="GR302" s="1051"/>
      <c r="GS302" s="1051"/>
      <c r="GT302" s="1051"/>
      <c r="GU302" s="1051"/>
      <c r="GV302" s="1051"/>
      <c r="GW302" s="1051"/>
      <c r="GX302" s="1051"/>
      <c r="GY302" s="1051"/>
      <c r="GZ302" s="1051"/>
      <c r="HA302" s="1051"/>
      <c r="HB302" s="1051"/>
      <c r="HC302" s="1051"/>
      <c r="HD302" s="1051"/>
      <c r="HE302" s="1051"/>
      <c r="HF302" s="1051"/>
      <c r="HG302" s="1051"/>
      <c r="HH302" s="1051"/>
      <c r="HI302" s="1051"/>
      <c r="HJ302" s="1051"/>
      <c r="HK302" s="1051"/>
      <c r="HL302" s="1051"/>
      <c r="HM302" s="1051"/>
      <c r="HN302" s="1051"/>
      <c r="HO302" s="1051"/>
      <c r="HP302" s="1051"/>
      <c r="HQ302" s="1051"/>
      <c r="HR302" s="1051"/>
      <c r="HS302" s="1051"/>
      <c r="HT302" s="1051"/>
      <c r="HU302" s="1051"/>
      <c r="HV302" s="1051"/>
      <c r="HW302" s="1051"/>
      <c r="HX302" s="1051"/>
      <c r="HY302" s="1051"/>
      <c r="HZ302" s="1051"/>
      <c r="IA302" s="1051"/>
      <c r="IB302" s="1051"/>
      <c r="IC302" s="1051"/>
      <c r="ID302" s="1051"/>
      <c r="IE302" s="1051"/>
      <c r="IF302" s="1051"/>
      <c r="IG302" s="1051"/>
      <c r="IH302" s="1051"/>
      <c r="II302" s="1051"/>
      <c r="IJ302" s="1051"/>
      <c r="IK302" s="1051"/>
      <c r="IL302" s="1051"/>
      <c r="IM302" s="1051"/>
      <c r="IN302" s="1051"/>
      <c r="IO302" s="1051"/>
      <c r="IP302" s="1051"/>
      <c r="IQ302" s="1051"/>
      <c r="IR302" s="1051"/>
      <c r="IS302" s="1051"/>
      <c r="IT302" s="1051"/>
      <c r="IU302" s="1051"/>
      <c r="IV302" s="1051"/>
    </row>
    <row r="303" spans="1:256" x14ac:dyDescent="0.2">
      <c r="A303" s="1041" t="s">
        <v>613</v>
      </c>
      <c r="B303" s="1103" t="s">
        <v>768</v>
      </c>
      <c r="C303" s="1043">
        <v>0</v>
      </c>
      <c r="D303" s="1043">
        <v>0</v>
      </c>
      <c r="E303" s="1043">
        <v>34344</v>
      </c>
      <c r="F303" s="1045" t="s">
        <v>446</v>
      </c>
      <c r="G303" s="1051"/>
      <c r="H303" s="1051"/>
      <c r="I303" s="1051"/>
      <c r="J303" s="1051"/>
      <c r="K303" s="1051"/>
      <c r="L303" s="1051"/>
      <c r="M303" s="1051"/>
      <c r="N303" s="1051"/>
      <c r="O303" s="1051"/>
      <c r="P303" s="1051"/>
      <c r="Q303" s="1051"/>
      <c r="R303" s="1051"/>
      <c r="S303" s="1051"/>
      <c r="T303" s="1051"/>
      <c r="U303" s="1051"/>
      <c r="V303" s="1051"/>
      <c r="W303" s="1051"/>
      <c r="X303" s="1051"/>
      <c r="Y303" s="1051"/>
      <c r="Z303" s="1051"/>
      <c r="AA303" s="1051"/>
      <c r="AB303" s="1051"/>
      <c r="AC303" s="1051"/>
      <c r="AD303" s="1051"/>
      <c r="AE303" s="1051"/>
      <c r="AF303" s="1051"/>
      <c r="AG303" s="1051"/>
      <c r="AH303" s="1051"/>
      <c r="AI303" s="1051"/>
      <c r="AJ303" s="1051"/>
      <c r="AK303" s="1051"/>
      <c r="AL303" s="1051"/>
      <c r="AM303" s="1051"/>
      <c r="AN303" s="1051"/>
      <c r="AO303" s="1051"/>
      <c r="AP303" s="1051"/>
      <c r="AQ303" s="1051"/>
      <c r="AR303" s="1051"/>
      <c r="AS303" s="1051"/>
      <c r="AT303" s="1051"/>
      <c r="AU303" s="1051"/>
      <c r="AV303" s="1051"/>
      <c r="AW303" s="1051"/>
      <c r="AX303" s="1051"/>
      <c r="AY303" s="1051"/>
      <c r="AZ303" s="1051"/>
      <c r="BA303" s="1051"/>
      <c r="BB303" s="1051"/>
      <c r="BC303" s="1051"/>
      <c r="BD303" s="1051"/>
      <c r="BE303" s="1051"/>
      <c r="BF303" s="1051"/>
      <c r="BG303" s="1051"/>
      <c r="BH303" s="1051"/>
      <c r="BI303" s="1051"/>
      <c r="BJ303" s="1051"/>
      <c r="BK303" s="1051"/>
      <c r="BL303" s="1051"/>
      <c r="BM303" s="1051"/>
      <c r="BN303" s="1051"/>
      <c r="BO303" s="1051"/>
      <c r="BP303" s="1051"/>
      <c r="BQ303" s="1051"/>
      <c r="BR303" s="1051"/>
      <c r="BS303" s="1051"/>
      <c r="BT303" s="1051"/>
      <c r="BU303" s="1051"/>
      <c r="BV303" s="1051"/>
      <c r="BW303" s="1051"/>
      <c r="BX303" s="1051"/>
      <c r="BY303" s="1051"/>
      <c r="BZ303" s="1051"/>
      <c r="CA303" s="1051"/>
      <c r="CB303" s="1051"/>
      <c r="CC303" s="1051"/>
      <c r="CD303" s="1051"/>
      <c r="CE303" s="1051"/>
      <c r="CF303" s="1051"/>
      <c r="CG303" s="1051"/>
      <c r="CH303" s="1051"/>
      <c r="CI303" s="1051"/>
      <c r="CJ303" s="1051"/>
      <c r="CK303" s="1051"/>
      <c r="CL303" s="1051"/>
      <c r="CM303" s="1051"/>
      <c r="CN303" s="1051"/>
      <c r="CO303" s="1051"/>
      <c r="CP303" s="1051"/>
      <c r="CQ303" s="1051"/>
      <c r="CR303" s="1051"/>
      <c r="CS303" s="1051"/>
      <c r="CT303" s="1051"/>
      <c r="CU303" s="1051"/>
      <c r="CV303" s="1051"/>
      <c r="CW303" s="1051"/>
      <c r="CX303" s="1051"/>
      <c r="CY303" s="1051"/>
      <c r="CZ303" s="1051"/>
      <c r="DA303" s="1051"/>
      <c r="DB303" s="1051"/>
      <c r="DC303" s="1051"/>
      <c r="DD303" s="1051"/>
      <c r="DE303" s="1051"/>
      <c r="DF303" s="1051"/>
      <c r="DG303" s="1051"/>
      <c r="DH303" s="1051"/>
      <c r="DI303" s="1051"/>
      <c r="DJ303" s="1051"/>
      <c r="DK303" s="1051"/>
      <c r="DL303" s="1051"/>
      <c r="DM303" s="1051"/>
      <c r="DN303" s="1051"/>
      <c r="DO303" s="1051"/>
      <c r="DP303" s="1051"/>
      <c r="DQ303" s="1051"/>
      <c r="DR303" s="1051"/>
      <c r="DS303" s="1051"/>
      <c r="DT303" s="1051"/>
      <c r="DU303" s="1051"/>
      <c r="DV303" s="1051"/>
      <c r="DW303" s="1051"/>
      <c r="DX303" s="1051"/>
      <c r="DY303" s="1051"/>
      <c r="DZ303" s="1051"/>
      <c r="EA303" s="1051"/>
      <c r="EB303" s="1051"/>
      <c r="EC303" s="1051"/>
      <c r="ED303" s="1051"/>
      <c r="EE303" s="1051"/>
      <c r="EF303" s="1051"/>
      <c r="EG303" s="1051"/>
      <c r="EH303" s="1051"/>
      <c r="EI303" s="1051"/>
      <c r="EJ303" s="1051"/>
      <c r="EK303" s="1051"/>
      <c r="EL303" s="1051"/>
      <c r="EM303" s="1051"/>
      <c r="EN303" s="1051"/>
      <c r="EO303" s="1051"/>
      <c r="EP303" s="1051"/>
      <c r="EQ303" s="1051"/>
      <c r="ER303" s="1051"/>
      <c r="ES303" s="1051"/>
      <c r="ET303" s="1051"/>
      <c r="EU303" s="1051"/>
      <c r="EV303" s="1051"/>
      <c r="EW303" s="1051"/>
      <c r="EX303" s="1051"/>
      <c r="EY303" s="1051"/>
      <c r="EZ303" s="1051"/>
      <c r="FA303" s="1051"/>
      <c r="FB303" s="1051"/>
      <c r="FC303" s="1051"/>
      <c r="FD303" s="1051"/>
      <c r="FE303" s="1051"/>
      <c r="FF303" s="1051"/>
      <c r="FG303" s="1051"/>
      <c r="FH303" s="1051"/>
      <c r="FI303" s="1051"/>
      <c r="FJ303" s="1051"/>
      <c r="FK303" s="1051"/>
      <c r="FL303" s="1051"/>
      <c r="FM303" s="1051"/>
      <c r="FN303" s="1051"/>
      <c r="FO303" s="1051"/>
      <c r="FP303" s="1051"/>
      <c r="FQ303" s="1051"/>
      <c r="FR303" s="1051"/>
      <c r="FS303" s="1051"/>
      <c r="FT303" s="1051"/>
      <c r="FU303" s="1051"/>
      <c r="FV303" s="1051"/>
      <c r="FW303" s="1051"/>
      <c r="FX303" s="1051"/>
      <c r="FY303" s="1051"/>
      <c r="FZ303" s="1051"/>
      <c r="GA303" s="1051"/>
      <c r="GB303" s="1051"/>
      <c r="GC303" s="1051"/>
      <c r="GD303" s="1051"/>
      <c r="GE303" s="1051"/>
      <c r="GF303" s="1051"/>
      <c r="GG303" s="1051"/>
      <c r="GH303" s="1051"/>
      <c r="GI303" s="1051"/>
      <c r="GJ303" s="1051"/>
      <c r="GK303" s="1051"/>
      <c r="GL303" s="1051"/>
      <c r="GM303" s="1051"/>
      <c r="GN303" s="1051"/>
      <c r="GO303" s="1051"/>
      <c r="GP303" s="1051"/>
      <c r="GQ303" s="1051"/>
      <c r="GR303" s="1051"/>
      <c r="GS303" s="1051"/>
      <c r="GT303" s="1051"/>
      <c r="GU303" s="1051"/>
      <c r="GV303" s="1051"/>
      <c r="GW303" s="1051"/>
      <c r="GX303" s="1051"/>
      <c r="GY303" s="1051"/>
      <c r="GZ303" s="1051"/>
      <c r="HA303" s="1051"/>
      <c r="HB303" s="1051"/>
      <c r="HC303" s="1051"/>
      <c r="HD303" s="1051"/>
      <c r="HE303" s="1051"/>
      <c r="HF303" s="1051"/>
      <c r="HG303" s="1051"/>
      <c r="HH303" s="1051"/>
      <c r="HI303" s="1051"/>
      <c r="HJ303" s="1051"/>
      <c r="HK303" s="1051"/>
      <c r="HL303" s="1051"/>
      <c r="HM303" s="1051"/>
      <c r="HN303" s="1051"/>
      <c r="HO303" s="1051"/>
      <c r="HP303" s="1051"/>
      <c r="HQ303" s="1051"/>
      <c r="HR303" s="1051"/>
      <c r="HS303" s="1051"/>
      <c r="HT303" s="1051"/>
      <c r="HU303" s="1051"/>
      <c r="HV303" s="1051"/>
      <c r="HW303" s="1051"/>
      <c r="HX303" s="1051"/>
      <c r="HY303" s="1051"/>
      <c r="HZ303" s="1051"/>
      <c r="IA303" s="1051"/>
      <c r="IB303" s="1051"/>
      <c r="IC303" s="1051"/>
      <c r="ID303" s="1051"/>
      <c r="IE303" s="1051"/>
      <c r="IF303" s="1051"/>
      <c r="IG303" s="1051"/>
      <c r="IH303" s="1051"/>
      <c r="II303" s="1051"/>
      <c r="IJ303" s="1051"/>
      <c r="IK303" s="1051"/>
      <c r="IL303" s="1051"/>
      <c r="IM303" s="1051"/>
      <c r="IN303" s="1051"/>
      <c r="IO303" s="1051"/>
      <c r="IP303" s="1051"/>
      <c r="IQ303" s="1051"/>
      <c r="IR303" s="1051"/>
      <c r="IS303" s="1051"/>
      <c r="IT303" s="1051"/>
      <c r="IU303" s="1051"/>
      <c r="IV303" s="1051"/>
    </row>
    <row r="304" spans="1:256" x14ac:dyDescent="0.2">
      <c r="A304" s="1548" t="s">
        <v>12</v>
      </c>
      <c r="B304" s="1548"/>
      <c r="C304" s="1043">
        <f>SUM(C302:C303)</f>
        <v>0</v>
      </c>
      <c r="D304" s="1043">
        <f>SUM(D302:D303)</f>
        <v>0</v>
      </c>
      <c r="E304" s="1043">
        <f>SUM(E302:E303)</f>
        <v>161544</v>
      </c>
      <c r="F304" s="1045" t="s">
        <v>446</v>
      </c>
      <c r="G304" s="1051"/>
      <c r="H304" s="1051"/>
      <c r="I304" s="1051"/>
      <c r="J304" s="1051"/>
      <c r="K304" s="1051"/>
      <c r="L304" s="1051"/>
      <c r="M304" s="1051"/>
      <c r="N304" s="1051"/>
      <c r="O304" s="1051"/>
      <c r="P304" s="1051"/>
      <c r="Q304" s="1051"/>
      <c r="R304" s="1051"/>
      <c r="S304" s="1051"/>
      <c r="T304" s="1051"/>
      <c r="U304" s="1051"/>
      <c r="V304" s="1051"/>
      <c r="W304" s="1051"/>
      <c r="X304" s="1051"/>
      <c r="Y304" s="1051"/>
      <c r="Z304" s="1051"/>
      <c r="AA304" s="1051"/>
      <c r="AB304" s="1051"/>
      <c r="AC304" s="1051"/>
      <c r="AD304" s="1051"/>
      <c r="AE304" s="1051"/>
      <c r="AF304" s="1051"/>
      <c r="AG304" s="1051"/>
      <c r="AH304" s="1051"/>
      <c r="AI304" s="1051"/>
      <c r="AJ304" s="1051"/>
      <c r="AK304" s="1051"/>
      <c r="AL304" s="1051"/>
      <c r="AM304" s="1051"/>
      <c r="AN304" s="1051"/>
      <c r="AO304" s="1051"/>
      <c r="AP304" s="1051"/>
      <c r="AQ304" s="1051"/>
      <c r="AR304" s="1051"/>
      <c r="AS304" s="1051"/>
      <c r="AT304" s="1051"/>
      <c r="AU304" s="1051"/>
      <c r="AV304" s="1051"/>
      <c r="AW304" s="1051"/>
      <c r="AX304" s="1051"/>
      <c r="AY304" s="1051"/>
      <c r="AZ304" s="1051"/>
      <c r="BA304" s="1051"/>
      <c r="BB304" s="1051"/>
      <c r="BC304" s="1051"/>
      <c r="BD304" s="1051"/>
      <c r="BE304" s="1051"/>
      <c r="BF304" s="1051"/>
      <c r="BG304" s="1051"/>
      <c r="BH304" s="1051"/>
      <c r="BI304" s="1051"/>
      <c r="BJ304" s="1051"/>
      <c r="BK304" s="1051"/>
      <c r="BL304" s="1051"/>
      <c r="BM304" s="1051"/>
      <c r="BN304" s="1051"/>
      <c r="BO304" s="1051"/>
      <c r="BP304" s="1051"/>
      <c r="BQ304" s="1051"/>
      <c r="BR304" s="1051"/>
      <c r="BS304" s="1051"/>
      <c r="BT304" s="1051"/>
      <c r="BU304" s="1051"/>
      <c r="BV304" s="1051"/>
      <c r="BW304" s="1051"/>
      <c r="BX304" s="1051"/>
      <c r="BY304" s="1051"/>
      <c r="BZ304" s="1051"/>
      <c r="CA304" s="1051"/>
      <c r="CB304" s="1051"/>
      <c r="CC304" s="1051"/>
      <c r="CD304" s="1051"/>
      <c r="CE304" s="1051"/>
      <c r="CF304" s="1051"/>
      <c r="CG304" s="1051"/>
      <c r="CH304" s="1051"/>
      <c r="CI304" s="1051"/>
      <c r="CJ304" s="1051"/>
      <c r="CK304" s="1051"/>
      <c r="CL304" s="1051"/>
      <c r="CM304" s="1051"/>
      <c r="CN304" s="1051"/>
      <c r="CO304" s="1051"/>
      <c r="CP304" s="1051"/>
      <c r="CQ304" s="1051"/>
      <c r="CR304" s="1051"/>
      <c r="CS304" s="1051"/>
      <c r="CT304" s="1051"/>
      <c r="CU304" s="1051"/>
      <c r="CV304" s="1051"/>
      <c r="CW304" s="1051"/>
      <c r="CX304" s="1051"/>
      <c r="CY304" s="1051"/>
      <c r="CZ304" s="1051"/>
      <c r="DA304" s="1051"/>
      <c r="DB304" s="1051"/>
      <c r="DC304" s="1051"/>
      <c r="DD304" s="1051"/>
      <c r="DE304" s="1051"/>
      <c r="DF304" s="1051"/>
      <c r="DG304" s="1051"/>
      <c r="DH304" s="1051"/>
      <c r="DI304" s="1051"/>
      <c r="DJ304" s="1051"/>
      <c r="DK304" s="1051"/>
      <c r="DL304" s="1051"/>
      <c r="DM304" s="1051"/>
      <c r="DN304" s="1051"/>
      <c r="DO304" s="1051"/>
      <c r="DP304" s="1051"/>
      <c r="DQ304" s="1051"/>
      <c r="DR304" s="1051"/>
      <c r="DS304" s="1051"/>
      <c r="DT304" s="1051"/>
      <c r="DU304" s="1051"/>
      <c r="DV304" s="1051"/>
      <c r="DW304" s="1051"/>
      <c r="DX304" s="1051"/>
      <c r="DY304" s="1051"/>
      <c r="DZ304" s="1051"/>
      <c r="EA304" s="1051"/>
      <c r="EB304" s="1051"/>
      <c r="EC304" s="1051"/>
      <c r="ED304" s="1051"/>
      <c r="EE304" s="1051"/>
      <c r="EF304" s="1051"/>
      <c r="EG304" s="1051"/>
      <c r="EH304" s="1051"/>
      <c r="EI304" s="1051"/>
      <c r="EJ304" s="1051"/>
      <c r="EK304" s="1051"/>
      <c r="EL304" s="1051"/>
      <c r="EM304" s="1051"/>
      <c r="EN304" s="1051"/>
      <c r="EO304" s="1051"/>
      <c r="EP304" s="1051"/>
      <c r="EQ304" s="1051"/>
      <c r="ER304" s="1051"/>
      <c r="ES304" s="1051"/>
      <c r="ET304" s="1051"/>
      <c r="EU304" s="1051"/>
      <c r="EV304" s="1051"/>
      <c r="EW304" s="1051"/>
      <c r="EX304" s="1051"/>
      <c r="EY304" s="1051"/>
      <c r="EZ304" s="1051"/>
      <c r="FA304" s="1051"/>
      <c r="FB304" s="1051"/>
      <c r="FC304" s="1051"/>
      <c r="FD304" s="1051"/>
      <c r="FE304" s="1051"/>
      <c r="FF304" s="1051"/>
      <c r="FG304" s="1051"/>
      <c r="FH304" s="1051"/>
      <c r="FI304" s="1051"/>
      <c r="FJ304" s="1051"/>
      <c r="FK304" s="1051"/>
      <c r="FL304" s="1051"/>
      <c r="FM304" s="1051"/>
      <c r="FN304" s="1051"/>
      <c r="FO304" s="1051"/>
      <c r="FP304" s="1051"/>
      <c r="FQ304" s="1051"/>
      <c r="FR304" s="1051"/>
      <c r="FS304" s="1051"/>
      <c r="FT304" s="1051"/>
      <c r="FU304" s="1051"/>
      <c r="FV304" s="1051"/>
      <c r="FW304" s="1051"/>
      <c r="FX304" s="1051"/>
      <c r="FY304" s="1051"/>
      <c r="FZ304" s="1051"/>
      <c r="GA304" s="1051"/>
      <c r="GB304" s="1051"/>
      <c r="GC304" s="1051"/>
      <c r="GD304" s="1051"/>
      <c r="GE304" s="1051"/>
      <c r="GF304" s="1051"/>
      <c r="GG304" s="1051"/>
      <c r="GH304" s="1051"/>
      <c r="GI304" s="1051"/>
      <c r="GJ304" s="1051"/>
      <c r="GK304" s="1051"/>
      <c r="GL304" s="1051"/>
      <c r="GM304" s="1051"/>
      <c r="GN304" s="1051"/>
      <c r="GO304" s="1051"/>
      <c r="GP304" s="1051"/>
      <c r="GQ304" s="1051"/>
      <c r="GR304" s="1051"/>
      <c r="GS304" s="1051"/>
      <c r="GT304" s="1051"/>
      <c r="GU304" s="1051"/>
      <c r="GV304" s="1051"/>
      <c r="GW304" s="1051"/>
      <c r="GX304" s="1051"/>
      <c r="GY304" s="1051"/>
      <c r="GZ304" s="1051"/>
      <c r="HA304" s="1051"/>
      <c r="HB304" s="1051"/>
      <c r="HC304" s="1051"/>
      <c r="HD304" s="1051"/>
      <c r="HE304" s="1051"/>
      <c r="HF304" s="1051"/>
      <c r="HG304" s="1051"/>
      <c r="HH304" s="1051"/>
      <c r="HI304" s="1051"/>
      <c r="HJ304" s="1051"/>
      <c r="HK304" s="1051"/>
      <c r="HL304" s="1051"/>
      <c r="HM304" s="1051"/>
      <c r="HN304" s="1051"/>
      <c r="HO304" s="1051"/>
      <c r="HP304" s="1051"/>
      <c r="HQ304" s="1051"/>
      <c r="HR304" s="1051"/>
      <c r="HS304" s="1051"/>
      <c r="HT304" s="1051"/>
      <c r="HU304" s="1051"/>
      <c r="HV304" s="1051"/>
      <c r="HW304" s="1051"/>
      <c r="HX304" s="1051"/>
      <c r="HY304" s="1051"/>
      <c r="HZ304" s="1051"/>
      <c r="IA304" s="1051"/>
      <c r="IB304" s="1051"/>
      <c r="IC304" s="1051"/>
      <c r="ID304" s="1051"/>
      <c r="IE304" s="1051"/>
      <c r="IF304" s="1051"/>
      <c r="IG304" s="1051"/>
      <c r="IH304" s="1051"/>
      <c r="II304" s="1051"/>
      <c r="IJ304" s="1051"/>
      <c r="IK304" s="1051"/>
      <c r="IL304" s="1051"/>
      <c r="IM304" s="1051"/>
      <c r="IN304" s="1051"/>
      <c r="IO304" s="1051"/>
      <c r="IP304" s="1051"/>
      <c r="IQ304" s="1051"/>
      <c r="IR304" s="1051"/>
      <c r="IS304" s="1051"/>
      <c r="IT304" s="1051"/>
      <c r="IU304" s="1051"/>
      <c r="IV304" s="1051"/>
    </row>
    <row r="305" spans="1:256" x14ac:dyDescent="0.2">
      <c r="A305" s="1096" t="s">
        <v>796</v>
      </c>
      <c r="B305" s="1110" t="s">
        <v>797</v>
      </c>
      <c r="C305" s="1073">
        <v>2502000</v>
      </c>
      <c r="D305" s="1073">
        <v>1915000</v>
      </c>
      <c r="E305" s="1052">
        <v>0</v>
      </c>
      <c r="F305" s="1045">
        <f t="shared" si="15"/>
        <v>0</v>
      </c>
      <c r="G305" s="1051"/>
      <c r="H305" s="1051"/>
      <c r="I305" s="1051"/>
      <c r="J305" s="1051"/>
      <c r="K305" s="1051"/>
      <c r="L305" s="1051"/>
      <c r="M305" s="1051"/>
      <c r="N305" s="1051"/>
      <c r="O305" s="1051"/>
      <c r="P305" s="1051"/>
      <c r="Q305" s="1051"/>
      <c r="R305" s="1051"/>
      <c r="S305" s="1051"/>
      <c r="T305" s="1051"/>
      <c r="U305" s="1051"/>
      <c r="V305" s="1051"/>
      <c r="W305" s="1051"/>
      <c r="X305" s="1051"/>
      <c r="Y305" s="1051"/>
      <c r="Z305" s="1051"/>
      <c r="AA305" s="1051"/>
      <c r="AB305" s="1051"/>
      <c r="AC305" s="1051"/>
      <c r="AD305" s="1051"/>
      <c r="AE305" s="1051"/>
      <c r="AF305" s="1051"/>
      <c r="AG305" s="1051"/>
      <c r="AH305" s="1051"/>
      <c r="AI305" s="1051"/>
      <c r="AJ305" s="1051"/>
      <c r="AK305" s="1051"/>
      <c r="AL305" s="1051"/>
      <c r="AM305" s="1051"/>
      <c r="AN305" s="1051"/>
      <c r="AO305" s="1051"/>
      <c r="AP305" s="1051"/>
      <c r="AQ305" s="1051"/>
      <c r="AR305" s="1051"/>
      <c r="AS305" s="1051"/>
      <c r="AT305" s="1051"/>
      <c r="AU305" s="1051"/>
      <c r="AV305" s="1051"/>
      <c r="AW305" s="1051"/>
      <c r="AX305" s="1051"/>
      <c r="AY305" s="1051"/>
      <c r="AZ305" s="1051"/>
      <c r="BA305" s="1051"/>
      <c r="BB305" s="1051"/>
      <c r="BC305" s="1051"/>
      <c r="BD305" s="1051"/>
      <c r="BE305" s="1051"/>
      <c r="BF305" s="1051"/>
      <c r="BG305" s="1051"/>
      <c r="BH305" s="1051"/>
      <c r="BI305" s="1051"/>
      <c r="BJ305" s="1051"/>
      <c r="BK305" s="1051"/>
      <c r="BL305" s="1051"/>
      <c r="BM305" s="1051"/>
      <c r="BN305" s="1051"/>
      <c r="BO305" s="1051"/>
      <c r="BP305" s="1051"/>
      <c r="BQ305" s="1051"/>
      <c r="BR305" s="1051"/>
      <c r="BS305" s="1051"/>
      <c r="BT305" s="1051"/>
      <c r="BU305" s="1051"/>
      <c r="BV305" s="1051"/>
      <c r="BW305" s="1051"/>
      <c r="BX305" s="1051"/>
      <c r="BY305" s="1051"/>
      <c r="BZ305" s="1051"/>
      <c r="CA305" s="1051"/>
      <c r="CB305" s="1051"/>
      <c r="CC305" s="1051"/>
      <c r="CD305" s="1051"/>
      <c r="CE305" s="1051"/>
      <c r="CF305" s="1051"/>
      <c r="CG305" s="1051"/>
      <c r="CH305" s="1051"/>
      <c r="CI305" s="1051"/>
      <c r="CJ305" s="1051"/>
      <c r="CK305" s="1051"/>
      <c r="CL305" s="1051"/>
      <c r="CM305" s="1051"/>
      <c r="CN305" s="1051"/>
      <c r="CO305" s="1051"/>
      <c r="CP305" s="1051"/>
      <c r="CQ305" s="1051"/>
      <c r="CR305" s="1051"/>
      <c r="CS305" s="1051"/>
      <c r="CT305" s="1051"/>
      <c r="CU305" s="1051"/>
      <c r="CV305" s="1051"/>
      <c r="CW305" s="1051"/>
      <c r="CX305" s="1051"/>
      <c r="CY305" s="1051"/>
      <c r="CZ305" s="1051"/>
      <c r="DA305" s="1051"/>
      <c r="DB305" s="1051"/>
      <c r="DC305" s="1051"/>
      <c r="DD305" s="1051"/>
      <c r="DE305" s="1051"/>
      <c r="DF305" s="1051"/>
      <c r="DG305" s="1051"/>
      <c r="DH305" s="1051"/>
      <c r="DI305" s="1051"/>
      <c r="DJ305" s="1051"/>
      <c r="DK305" s="1051"/>
      <c r="DL305" s="1051"/>
      <c r="DM305" s="1051"/>
      <c r="DN305" s="1051"/>
      <c r="DO305" s="1051"/>
      <c r="DP305" s="1051"/>
      <c r="DQ305" s="1051"/>
      <c r="DR305" s="1051"/>
      <c r="DS305" s="1051"/>
      <c r="DT305" s="1051"/>
      <c r="DU305" s="1051"/>
      <c r="DV305" s="1051"/>
      <c r="DW305" s="1051"/>
      <c r="DX305" s="1051"/>
      <c r="DY305" s="1051"/>
      <c r="DZ305" s="1051"/>
      <c r="EA305" s="1051"/>
      <c r="EB305" s="1051"/>
      <c r="EC305" s="1051"/>
      <c r="ED305" s="1051"/>
      <c r="EE305" s="1051"/>
      <c r="EF305" s="1051"/>
      <c r="EG305" s="1051"/>
      <c r="EH305" s="1051"/>
      <c r="EI305" s="1051"/>
      <c r="EJ305" s="1051"/>
      <c r="EK305" s="1051"/>
      <c r="EL305" s="1051"/>
      <c r="EM305" s="1051"/>
      <c r="EN305" s="1051"/>
      <c r="EO305" s="1051"/>
      <c r="EP305" s="1051"/>
      <c r="EQ305" s="1051"/>
      <c r="ER305" s="1051"/>
      <c r="ES305" s="1051"/>
      <c r="ET305" s="1051"/>
      <c r="EU305" s="1051"/>
      <c r="EV305" s="1051"/>
      <c r="EW305" s="1051"/>
      <c r="EX305" s="1051"/>
      <c r="EY305" s="1051"/>
      <c r="EZ305" s="1051"/>
      <c r="FA305" s="1051"/>
      <c r="FB305" s="1051"/>
      <c r="FC305" s="1051"/>
      <c r="FD305" s="1051"/>
      <c r="FE305" s="1051"/>
      <c r="FF305" s="1051"/>
      <c r="FG305" s="1051"/>
      <c r="FH305" s="1051"/>
      <c r="FI305" s="1051"/>
      <c r="FJ305" s="1051"/>
      <c r="FK305" s="1051"/>
      <c r="FL305" s="1051"/>
      <c r="FM305" s="1051"/>
      <c r="FN305" s="1051"/>
      <c r="FO305" s="1051"/>
      <c r="FP305" s="1051"/>
      <c r="FQ305" s="1051"/>
      <c r="FR305" s="1051"/>
      <c r="FS305" s="1051"/>
      <c r="FT305" s="1051"/>
      <c r="FU305" s="1051"/>
      <c r="FV305" s="1051"/>
      <c r="FW305" s="1051"/>
      <c r="FX305" s="1051"/>
      <c r="FY305" s="1051"/>
      <c r="FZ305" s="1051"/>
      <c r="GA305" s="1051"/>
      <c r="GB305" s="1051"/>
      <c r="GC305" s="1051"/>
      <c r="GD305" s="1051"/>
      <c r="GE305" s="1051"/>
      <c r="GF305" s="1051"/>
      <c r="GG305" s="1051"/>
      <c r="GH305" s="1051"/>
      <c r="GI305" s="1051"/>
      <c r="GJ305" s="1051"/>
      <c r="GK305" s="1051"/>
      <c r="GL305" s="1051"/>
      <c r="GM305" s="1051"/>
      <c r="GN305" s="1051"/>
      <c r="GO305" s="1051"/>
      <c r="GP305" s="1051"/>
      <c r="GQ305" s="1051"/>
      <c r="GR305" s="1051"/>
      <c r="GS305" s="1051"/>
      <c r="GT305" s="1051"/>
      <c r="GU305" s="1051"/>
      <c r="GV305" s="1051"/>
      <c r="GW305" s="1051"/>
      <c r="GX305" s="1051"/>
      <c r="GY305" s="1051"/>
      <c r="GZ305" s="1051"/>
      <c r="HA305" s="1051"/>
      <c r="HB305" s="1051"/>
      <c r="HC305" s="1051"/>
      <c r="HD305" s="1051"/>
      <c r="HE305" s="1051"/>
      <c r="HF305" s="1051"/>
      <c r="HG305" s="1051"/>
      <c r="HH305" s="1051"/>
      <c r="HI305" s="1051"/>
      <c r="HJ305" s="1051"/>
      <c r="HK305" s="1051"/>
      <c r="HL305" s="1051"/>
      <c r="HM305" s="1051"/>
      <c r="HN305" s="1051"/>
      <c r="HO305" s="1051"/>
      <c r="HP305" s="1051"/>
      <c r="HQ305" s="1051"/>
      <c r="HR305" s="1051"/>
      <c r="HS305" s="1051"/>
      <c r="HT305" s="1051"/>
      <c r="HU305" s="1051"/>
      <c r="HV305" s="1051"/>
      <c r="HW305" s="1051"/>
      <c r="HX305" s="1051"/>
      <c r="HY305" s="1051"/>
      <c r="HZ305" s="1051"/>
      <c r="IA305" s="1051"/>
      <c r="IB305" s="1051"/>
      <c r="IC305" s="1051"/>
      <c r="ID305" s="1051"/>
      <c r="IE305" s="1051"/>
      <c r="IF305" s="1051"/>
      <c r="IG305" s="1051"/>
      <c r="IH305" s="1051"/>
      <c r="II305" s="1051"/>
      <c r="IJ305" s="1051"/>
      <c r="IK305" s="1051"/>
      <c r="IL305" s="1051"/>
      <c r="IM305" s="1051"/>
      <c r="IN305" s="1051"/>
      <c r="IO305" s="1051"/>
      <c r="IP305" s="1051"/>
      <c r="IQ305" s="1051"/>
      <c r="IR305" s="1051"/>
      <c r="IS305" s="1051"/>
      <c r="IT305" s="1051"/>
      <c r="IU305" s="1051"/>
      <c r="IV305" s="1051"/>
    </row>
    <row r="306" spans="1:256" x14ac:dyDescent="0.2">
      <c r="A306" s="1096" t="s">
        <v>773</v>
      </c>
      <c r="B306" s="1110" t="s">
        <v>798</v>
      </c>
      <c r="C306" s="1073">
        <v>0</v>
      </c>
      <c r="D306" s="1073">
        <v>587000</v>
      </c>
      <c r="E306" s="1052">
        <v>573986</v>
      </c>
      <c r="F306" s="1045">
        <f t="shared" si="15"/>
        <v>0.97782964224872226</v>
      </c>
      <c r="G306" s="1051"/>
      <c r="H306" s="1051"/>
      <c r="I306" s="1051"/>
      <c r="J306" s="1051"/>
      <c r="K306" s="1051"/>
      <c r="L306" s="1051"/>
      <c r="M306" s="1051"/>
      <c r="N306" s="1051"/>
      <c r="O306" s="1051"/>
      <c r="P306" s="1051"/>
      <c r="Q306" s="1051"/>
      <c r="R306" s="1051"/>
      <c r="S306" s="1051"/>
      <c r="T306" s="1051"/>
      <c r="U306" s="1051"/>
      <c r="V306" s="1051"/>
      <c r="W306" s="1051"/>
      <c r="X306" s="1051"/>
      <c r="Y306" s="1051"/>
      <c r="Z306" s="1051"/>
      <c r="AA306" s="1051"/>
      <c r="AB306" s="1051"/>
      <c r="AC306" s="1051"/>
      <c r="AD306" s="1051"/>
      <c r="AE306" s="1051"/>
      <c r="AF306" s="1051"/>
      <c r="AG306" s="1051"/>
      <c r="AH306" s="1051"/>
      <c r="AI306" s="1051"/>
      <c r="AJ306" s="1051"/>
      <c r="AK306" s="1051"/>
      <c r="AL306" s="1051"/>
      <c r="AM306" s="1051"/>
      <c r="AN306" s="1051"/>
      <c r="AO306" s="1051"/>
      <c r="AP306" s="1051"/>
      <c r="AQ306" s="1051"/>
      <c r="AR306" s="1051"/>
      <c r="AS306" s="1051"/>
      <c r="AT306" s="1051"/>
      <c r="AU306" s="1051"/>
      <c r="AV306" s="1051"/>
      <c r="AW306" s="1051"/>
      <c r="AX306" s="1051"/>
      <c r="AY306" s="1051"/>
      <c r="AZ306" s="1051"/>
      <c r="BA306" s="1051"/>
      <c r="BB306" s="1051"/>
      <c r="BC306" s="1051"/>
      <c r="BD306" s="1051"/>
      <c r="BE306" s="1051"/>
      <c r="BF306" s="1051"/>
      <c r="BG306" s="1051"/>
      <c r="BH306" s="1051"/>
      <c r="BI306" s="1051"/>
      <c r="BJ306" s="1051"/>
      <c r="BK306" s="1051"/>
      <c r="BL306" s="1051"/>
      <c r="BM306" s="1051"/>
      <c r="BN306" s="1051"/>
      <c r="BO306" s="1051"/>
      <c r="BP306" s="1051"/>
      <c r="BQ306" s="1051"/>
      <c r="BR306" s="1051"/>
      <c r="BS306" s="1051"/>
      <c r="BT306" s="1051"/>
      <c r="BU306" s="1051"/>
      <c r="BV306" s="1051"/>
      <c r="BW306" s="1051"/>
      <c r="BX306" s="1051"/>
      <c r="BY306" s="1051"/>
      <c r="BZ306" s="1051"/>
      <c r="CA306" s="1051"/>
      <c r="CB306" s="1051"/>
      <c r="CC306" s="1051"/>
      <c r="CD306" s="1051"/>
      <c r="CE306" s="1051"/>
      <c r="CF306" s="1051"/>
      <c r="CG306" s="1051"/>
      <c r="CH306" s="1051"/>
      <c r="CI306" s="1051"/>
      <c r="CJ306" s="1051"/>
      <c r="CK306" s="1051"/>
      <c r="CL306" s="1051"/>
      <c r="CM306" s="1051"/>
      <c r="CN306" s="1051"/>
      <c r="CO306" s="1051"/>
      <c r="CP306" s="1051"/>
      <c r="CQ306" s="1051"/>
      <c r="CR306" s="1051"/>
      <c r="CS306" s="1051"/>
      <c r="CT306" s="1051"/>
      <c r="CU306" s="1051"/>
      <c r="CV306" s="1051"/>
      <c r="CW306" s="1051"/>
      <c r="CX306" s="1051"/>
      <c r="CY306" s="1051"/>
      <c r="CZ306" s="1051"/>
      <c r="DA306" s="1051"/>
      <c r="DB306" s="1051"/>
      <c r="DC306" s="1051"/>
      <c r="DD306" s="1051"/>
      <c r="DE306" s="1051"/>
      <c r="DF306" s="1051"/>
      <c r="DG306" s="1051"/>
      <c r="DH306" s="1051"/>
      <c r="DI306" s="1051"/>
      <c r="DJ306" s="1051"/>
      <c r="DK306" s="1051"/>
      <c r="DL306" s="1051"/>
      <c r="DM306" s="1051"/>
      <c r="DN306" s="1051"/>
      <c r="DO306" s="1051"/>
      <c r="DP306" s="1051"/>
      <c r="DQ306" s="1051"/>
      <c r="DR306" s="1051"/>
      <c r="DS306" s="1051"/>
      <c r="DT306" s="1051"/>
      <c r="DU306" s="1051"/>
      <c r="DV306" s="1051"/>
      <c r="DW306" s="1051"/>
      <c r="DX306" s="1051"/>
      <c r="DY306" s="1051"/>
      <c r="DZ306" s="1051"/>
      <c r="EA306" s="1051"/>
      <c r="EB306" s="1051"/>
      <c r="EC306" s="1051"/>
      <c r="ED306" s="1051"/>
      <c r="EE306" s="1051"/>
      <c r="EF306" s="1051"/>
      <c r="EG306" s="1051"/>
      <c r="EH306" s="1051"/>
      <c r="EI306" s="1051"/>
      <c r="EJ306" s="1051"/>
      <c r="EK306" s="1051"/>
      <c r="EL306" s="1051"/>
      <c r="EM306" s="1051"/>
      <c r="EN306" s="1051"/>
      <c r="EO306" s="1051"/>
      <c r="EP306" s="1051"/>
      <c r="EQ306" s="1051"/>
      <c r="ER306" s="1051"/>
      <c r="ES306" s="1051"/>
      <c r="ET306" s="1051"/>
      <c r="EU306" s="1051"/>
      <c r="EV306" s="1051"/>
      <c r="EW306" s="1051"/>
      <c r="EX306" s="1051"/>
      <c r="EY306" s="1051"/>
      <c r="EZ306" s="1051"/>
      <c r="FA306" s="1051"/>
      <c r="FB306" s="1051"/>
      <c r="FC306" s="1051"/>
      <c r="FD306" s="1051"/>
      <c r="FE306" s="1051"/>
      <c r="FF306" s="1051"/>
      <c r="FG306" s="1051"/>
      <c r="FH306" s="1051"/>
      <c r="FI306" s="1051"/>
      <c r="FJ306" s="1051"/>
      <c r="FK306" s="1051"/>
      <c r="FL306" s="1051"/>
      <c r="FM306" s="1051"/>
      <c r="FN306" s="1051"/>
      <c r="FO306" s="1051"/>
      <c r="FP306" s="1051"/>
      <c r="FQ306" s="1051"/>
      <c r="FR306" s="1051"/>
      <c r="FS306" s="1051"/>
      <c r="FT306" s="1051"/>
      <c r="FU306" s="1051"/>
      <c r="FV306" s="1051"/>
      <c r="FW306" s="1051"/>
      <c r="FX306" s="1051"/>
      <c r="FY306" s="1051"/>
      <c r="FZ306" s="1051"/>
      <c r="GA306" s="1051"/>
      <c r="GB306" s="1051"/>
      <c r="GC306" s="1051"/>
      <c r="GD306" s="1051"/>
      <c r="GE306" s="1051"/>
      <c r="GF306" s="1051"/>
      <c r="GG306" s="1051"/>
      <c r="GH306" s="1051"/>
      <c r="GI306" s="1051"/>
      <c r="GJ306" s="1051"/>
      <c r="GK306" s="1051"/>
      <c r="GL306" s="1051"/>
      <c r="GM306" s="1051"/>
      <c r="GN306" s="1051"/>
      <c r="GO306" s="1051"/>
      <c r="GP306" s="1051"/>
      <c r="GQ306" s="1051"/>
      <c r="GR306" s="1051"/>
      <c r="GS306" s="1051"/>
      <c r="GT306" s="1051"/>
      <c r="GU306" s="1051"/>
      <c r="GV306" s="1051"/>
      <c r="GW306" s="1051"/>
      <c r="GX306" s="1051"/>
      <c r="GY306" s="1051"/>
      <c r="GZ306" s="1051"/>
      <c r="HA306" s="1051"/>
      <c r="HB306" s="1051"/>
      <c r="HC306" s="1051"/>
      <c r="HD306" s="1051"/>
      <c r="HE306" s="1051"/>
      <c r="HF306" s="1051"/>
      <c r="HG306" s="1051"/>
      <c r="HH306" s="1051"/>
      <c r="HI306" s="1051"/>
      <c r="HJ306" s="1051"/>
      <c r="HK306" s="1051"/>
      <c r="HL306" s="1051"/>
      <c r="HM306" s="1051"/>
      <c r="HN306" s="1051"/>
      <c r="HO306" s="1051"/>
      <c r="HP306" s="1051"/>
      <c r="HQ306" s="1051"/>
      <c r="HR306" s="1051"/>
      <c r="HS306" s="1051"/>
      <c r="HT306" s="1051"/>
      <c r="HU306" s="1051"/>
      <c r="HV306" s="1051"/>
      <c r="HW306" s="1051"/>
      <c r="HX306" s="1051"/>
      <c r="HY306" s="1051"/>
      <c r="HZ306" s="1051"/>
      <c r="IA306" s="1051"/>
      <c r="IB306" s="1051"/>
      <c r="IC306" s="1051"/>
      <c r="ID306" s="1051"/>
      <c r="IE306" s="1051"/>
      <c r="IF306" s="1051"/>
      <c r="IG306" s="1051"/>
      <c r="IH306" s="1051"/>
      <c r="II306" s="1051"/>
      <c r="IJ306" s="1051"/>
      <c r="IK306" s="1051"/>
      <c r="IL306" s="1051"/>
      <c r="IM306" s="1051"/>
      <c r="IN306" s="1051"/>
      <c r="IO306" s="1051"/>
      <c r="IP306" s="1051"/>
      <c r="IQ306" s="1051"/>
      <c r="IR306" s="1051"/>
      <c r="IS306" s="1051"/>
      <c r="IT306" s="1051"/>
      <c r="IU306" s="1051"/>
      <c r="IV306" s="1051"/>
    </row>
    <row r="307" spans="1:256" x14ac:dyDescent="0.2">
      <c r="A307" s="1561" t="s">
        <v>69</v>
      </c>
      <c r="B307" s="1561"/>
      <c r="C307" s="1073">
        <f>SUM(C305:C306)</f>
        <v>2502000</v>
      </c>
      <c r="D307" s="1073">
        <f>SUM(D305:D306)</f>
        <v>2502000</v>
      </c>
      <c r="E307" s="1073">
        <f>SUM(E305:E306)</f>
        <v>573986</v>
      </c>
      <c r="F307" s="1045">
        <f t="shared" si="15"/>
        <v>0.22941087130295765</v>
      </c>
      <c r="G307" s="1051"/>
      <c r="H307" s="1051"/>
      <c r="I307" s="1051"/>
      <c r="J307" s="1051"/>
      <c r="K307" s="1051"/>
      <c r="L307" s="1051"/>
      <c r="M307" s="1051"/>
      <c r="N307" s="1051"/>
      <c r="O307" s="1051"/>
      <c r="P307" s="1051"/>
      <c r="Q307" s="1051"/>
      <c r="R307" s="1051"/>
      <c r="S307" s="1051"/>
      <c r="T307" s="1051"/>
      <c r="U307" s="1051"/>
      <c r="V307" s="1051"/>
      <c r="W307" s="1051"/>
      <c r="X307" s="1051"/>
      <c r="Y307" s="1051"/>
      <c r="Z307" s="1051"/>
      <c r="AA307" s="1051"/>
      <c r="AB307" s="1051"/>
      <c r="AC307" s="1051"/>
      <c r="AD307" s="1051"/>
      <c r="AE307" s="1051"/>
      <c r="AF307" s="1051"/>
      <c r="AG307" s="1051"/>
      <c r="AH307" s="1051"/>
      <c r="AI307" s="1051"/>
      <c r="AJ307" s="1051"/>
      <c r="AK307" s="1051"/>
      <c r="AL307" s="1051"/>
      <c r="AM307" s="1051"/>
      <c r="AN307" s="1051"/>
      <c r="AO307" s="1051"/>
      <c r="AP307" s="1051"/>
      <c r="AQ307" s="1051"/>
      <c r="AR307" s="1051"/>
      <c r="AS307" s="1051"/>
      <c r="AT307" s="1051"/>
      <c r="AU307" s="1051"/>
      <c r="AV307" s="1051"/>
      <c r="AW307" s="1051"/>
      <c r="AX307" s="1051"/>
      <c r="AY307" s="1051"/>
      <c r="AZ307" s="1051"/>
      <c r="BA307" s="1051"/>
      <c r="BB307" s="1051"/>
      <c r="BC307" s="1051"/>
      <c r="BD307" s="1051"/>
      <c r="BE307" s="1051"/>
      <c r="BF307" s="1051"/>
      <c r="BG307" s="1051"/>
      <c r="BH307" s="1051"/>
      <c r="BI307" s="1051"/>
      <c r="BJ307" s="1051"/>
      <c r="BK307" s="1051"/>
      <c r="BL307" s="1051"/>
      <c r="BM307" s="1051"/>
      <c r="BN307" s="1051"/>
      <c r="BO307" s="1051"/>
      <c r="BP307" s="1051"/>
      <c r="BQ307" s="1051"/>
      <c r="BR307" s="1051"/>
      <c r="BS307" s="1051"/>
      <c r="BT307" s="1051"/>
      <c r="BU307" s="1051"/>
      <c r="BV307" s="1051"/>
      <c r="BW307" s="1051"/>
      <c r="BX307" s="1051"/>
      <c r="BY307" s="1051"/>
      <c r="BZ307" s="1051"/>
      <c r="CA307" s="1051"/>
      <c r="CB307" s="1051"/>
      <c r="CC307" s="1051"/>
      <c r="CD307" s="1051"/>
      <c r="CE307" s="1051"/>
      <c r="CF307" s="1051"/>
      <c r="CG307" s="1051"/>
      <c r="CH307" s="1051"/>
      <c r="CI307" s="1051"/>
      <c r="CJ307" s="1051"/>
      <c r="CK307" s="1051"/>
      <c r="CL307" s="1051"/>
      <c r="CM307" s="1051"/>
      <c r="CN307" s="1051"/>
      <c r="CO307" s="1051"/>
      <c r="CP307" s="1051"/>
      <c r="CQ307" s="1051"/>
      <c r="CR307" s="1051"/>
      <c r="CS307" s="1051"/>
      <c r="CT307" s="1051"/>
      <c r="CU307" s="1051"/>
      <c r="CV307" s="1051"/>
      <c r="CW307" s="1051"/>
      <c r="CX307" s="1051"/>
      <c r="CY307" s="1051"/>
      <c r="CZ307" s="1051"/>
      <c r="DA307" s="1051"/>
      <c r="DB307" s="1051"/>
      <c r="DC307" s="1051"/>
      <c r="DD307" s="1051"/>
      <c r="DE307" s="1051"/>
      <c r="DF307" s="1051"/>
      <c r="DG307" s="1051"/>
      <c r="DH307" s="1051"/>
      <c r="DI307" s="1051"/>
      <c r="DJ307" s="1051"/>
      <c r="DK307" s="1051"/>
      <c r="DL307" s="1051"/>
      <c r="DM307" s="1051"/>
      <c r="DN307" s="1051"/>
      <c r="DO307" s="1051"/>
      <c r="DP307" s="1051"/>
      <c r="DQ307" s="1051"/>
      <c r="DR307" s="1051"/>
      <c r="DS307" s="1051"/>
      <c r="DT307" s="1051"/>
      <c r="DU307" s="1051"/>
      <c r="DV307" s="1051"/>
      <c r="DW307" s="1051"/>
      <c r="DX307" s="1051"/>
      <c r="DY307" s="1051"/>
      <c r="DZ307" s="1051"/>
      <c r="EA307" s="1051"/>
      <c r="EB307" s="1051"/>
      <c r="EC307" s="1051"/>
      <c r="ED307" s="1051"/>
      <c r="EE307" s="1051"/>
      <c r="EF307" s="1051"/>
      <c r="EG307" s="1051"/>
      <c r="EH307" s="1051"/>
      <c r="EI307" s="1051"/>
      <c r="EJ307" s="1051"/>
      <c r="EK307" s="1051"/>
      <c r="EL307" s="1051"/>
      <c r="EM307" s="1051"/>
      <c r="EN307" s="1051"/>
      <c r="EO307" s="1051"/>
      <c r="EP307" s="1051"/>
      <c r="EQ307" s="1051"/>
      <c r="ER307" s="1051"/>
      <c r="ES307" s="1051"/>
      <c r="ET307" s="1051"/>
      <c r="EU307" s="1051"/>
      <c r="EV307" s="1051"/>
      <c r="EW307" s="1051"/>
      <c r="EX307" s="1051"/>
      <c r="EY307" s="1051"/>
      <c r="EZ307" s="1051"/>
      <c r="FA307" s="1051"/>
      <c r="FB307" s="1051"/>
      <c r="FC307" s="1051"/>
      <c r="FD307" s="1051"/>
      <c r="FE307" s="1051"/>
      <c r="FF307" s="1051"/>
      <c r="FG307" s="1051"/>
      <c r="FH307" s="1051"/>
      <c r="FI307" s="1051"/>
      <c r="FJ307" s="1051"/>
      <c r="FK307" s="1051"/>
      <c r="FL307" s="1051"/>
      <c r="FM307" s="1051"/>
      <c r="FN307" s="1051"/>
      <c r="FO307" s="1051"/>
      <c r="FP307" s="1051"/>
      <c r="FQ307" s="1051"/>
      <c r="FR307" s="1051"/>
      <c r="FS307" s="1051"/>
      <c r="FT307" s="1051"/>
      <c r="FU307" s="1051"/>
      <c r="FV307" s="1051"/>
      <c r="FW307" s="1051"/>
      <c r="FX307" s="1051"/>
      <c r="FY307" s="1051"/>
      <c r="FZ307" s="1051"/>
      <c r="GA307" s="1051"/>
      <c r="GB307" s="1051"/>
      <c r="GC307" s="1051"/>
      <c r="GD307" s="1051"/>
      <c r="GE307" s="1051"/>
      <c r="GF307" s="1051"/>
      <c r="GG307" s="1051"/>
      <c r="GH307" s="1051"/>
      <c r="GI307" s="1051"/>
      <c r="GJ307" s="1051"/>
      <c r="GK307" s="1051"/>
      <c r="GL307" s="1051"/>
      <c r="GM307" s="1051"/>
      <c r="GN307" s="1051"/>
      <c r="GO307" s="1051"/>
      <c r="GP307" s="1051"/>
      <c r="GQ307" s="1051"/>
      <c r="GR307" s="1051"/>
      <c r="GS307" s="1051"/>
      <c r="GT307" s="1051"/>
      <c r="GU307" s="1051"/>
      <c r="GV307" s="1051"/>
      <c r="GW307" s="1051"/>
      <c r="GX307" s="1051"/>
      <c r="GY307" s="1051"/>
      <c r="GZ307" s="1051"/>
      <c r="HA307" s="1051"/>
      <c r="HB307" s="1051"/>
      <c r="HC307" s="1051"/>
      <c r="HD307" s="1051"/>
      <c r="HE307" s="1051"/>
      <c r="HF307" s="1051"/>
      <c r="HG307" s="1051"/>
      <c r="HH307" s="1051"/>
      <c r="HI307" s="1051"/>
      <c r="HJ307" s="1051"/>
      <c r="HK307" s="1051"/>
      <c r="HL307" s="1051"/>
      <c r="HM307" s="1051"/>
      <c r="HN307" s="1051"/>
      <c r="HO307" s="1051"/>
      <c r="HP307" s="1051"/>
      <c r="HQ307" s="1051"/>
      <c r="HR307" s="1051"/>
      <c r="HS307" s="1051"/>
      <c r="HT307" s="1051"/>
      <c r="HU307" s="1051"/>
      <c r="HV307" s="1051"/>
      <c r="HW307" s="1051"/>
      <c r="HX307" s="1051"/>
      <c r="HY307" s="1051"/>
      <c r="HZ307" s="1051"/>
      <c r="IA307" s="1051"/>
      <c r="IB307" s="1051"/>
      <c r="IC307" s="1051"/>
      <c r="ID307" s="1051"/>
      <c r="IE307" s="1051"/>
      <c r="IF307" s="1051"/>
      <c r="IG307" s="1051"/>
      <c r="IH307" s="1051"/>
      <c r="II307" s="1051"/>
      <c r="IJ307" s="1051"/>
      <c r="IK307" s="1051"/>
      <c r="IL307" s="1051"/>
      <c r="IM307" s="1051"/>
      <c r="IN307" s="1051"/>
      <c r="IO307" s="1051"/>
      <c r="IP307" s="1051"/>
      <c r="IQ307" s="1051"/>
      <c r="IR307" s="1051"/>
      <c r="IS307" s="1051"/>
      <c r="IT307" s="1051"/>
      <c r="IU307" s="1051"/>
      <c r="IV307" s="1051"/>
    </row>
    <row r="308" spans="1:256" x14ac:dyDescent="0.2">
      <c r="A308" s="1549" t="s">
        <v>73</v>
      </c>
      <c r="B308" s="1549"/>
      <c r="C308" s="1046">
        <f>C299+C301+C304+C307</f>
        <v>9302000</v>
      </c>
      <c r="D308" s="1046">
        <f>D299+D301+D304+D307</f>
        <v>9302000</v>
      </c>
      <c r="E308" s="1046">
        <f>E299+E301+E304+E307</f>
        <v>7103730</v>
      </c>
      <c r="F308" s="1047">
        <f t="shared" si="15"/>
        <v>0.76367770371963017</v>
      </c>
    </row>
    <row r="309" spans="1:256" x14ac:dyDescent="0.2">
      <c r="A309" s="1552" t="s">
        <v>236</v>
      </c>
      <c r="B309" s="1553"/>
      <c r="C309" s="1553"/>
      <c r="D309" s="1553"/>
      <c r="E309" s="1553"/>
      <c r="F309" s="1554"/>
    </row>
    <row r="310" spans="1:256" x14ac:dyDescent="0.2">
      <c r="A310" s="1065" t="s">
        <v>70</v>
      </c>
      <c r="B310" s="1066" t="s">
        <v>71</v>
      </c>
      <c r="C310" s="1038" t="s">
        <v>687</v>
      </c>
      <c r="D310" s="1038" t="s">
        <v>688</v>
      </c>
      <c r="E310" s="1039" t="s">
        <v>689</v>
      </c>
      <c r="F310" s="1040" t="s">
        <v>690</v>
      </c>
    </row>
    <row r="311" spans="1:256" x14ac:dyDescent="0.2">
      <c r="A311" s="1041" t="s">
        <v>695</v>
      </c>
      <c r="B311" s="1042" t="s">
        <v>791</v>
      </c>
      <c r="C311" s="1070">
        <v>20000</v>
      </c>
      <c r="D311" s="1043">
        <v>20000</v>
      </c>
      <c r="E311" s="1052">
        <v>0</v>
      </c>
      <c r="F311" s="1045">
        <f>E311/D311</f>
        <v>0</v>
      </c>
    </row>
    <row r="312" spans="1:256" x14ac:dyDescent="0.2">
      <c r="A312" s="1041" t="s">
        <v>706</v>
      </c>
      <c r="B312" s="1042" t="s">
        <v>780</v>
      </c>
      <c r="C312" s="1070">
        <v>30000</v>
      </c>
      <c r="D312" s="1043">
        <v>30000</v>
      </c>
      <c r="E312" s="1052">
        <v>0</v>
      </c>
      <c r="F312" s="1045">
        <f t="shared" ref="F312:F318" si="16">E312/D312</f>
        <v>0</v>
      </c>
    </row>
    <row r="313" spans="1:256" x14ac:dyDescent="0.2">
      <c r="A313" s="1041" t="s">
        <v>708</v>
      </c>
      <c r="B313" s="1042" t="s">
        <v>264</v>
      </c>
      <c r="C313" s="1043">
        <v>475000</v>
      </c>
      <c r="D313" s="1043">
        <v>700000</v>
      </c>
      <c r="E313" s="1052">
        <v>405299</v>
      </c>
      <c r="F313" s="1045">
        <f t="shared" si="16"/>
        <v>0.57899857142857147</v>
      </c>
    </row>
    <row r="314" spans="1:256" x14ac:dyDescent="0.2">
      <c r="A314" s="1041" t="s">
        <v>709</v>
      </c>
      <c r="B314" s="1042" t="s">
        <v>799</v>
      </c>
      <c r="C314" s="1043">
        <v>110000</v>
      </c>
      <c r="D314" s="1043">
        <v>110000</v>
      </c>
      <c r="E314" s="1052">
        <v>0</v>
      </c>
      <c r="F314" s="1045">
        <f t="shared" si="16"/>
        <v>0</v>
      </c>
    </row>
    <row r="315" spans="1:256" x14ac:dyDescent="0.2">
      <c r="A315" s="1041" t="s">
        <v>698</v>
      </c>
      <c r="B315" s="1042" t="s">
        <v>719</v>
      </c>
      <c r="C315" s="1043">
        <v>157000</v>
      </c>
      <c r="D315" s="1043">
        <v>157000</v>
      </c>
      <c r="E315" s="1052">
        <v>0</v>
      </c>
      <c r="F315" s="1045">
        <f t="shared" si="16"/>
        <v>0</v>
      </c>
    </row>
    <row r="316" spans="1:256" x14ac:dyDescent="0.2">
      <c r="A316" s="1041" t="s">
        <v>703</v>
      </c>
      <c r="B316" s="1042" t="s">
        <v>557</v>
      </c>
      <c r="C316" s="1043">
        <v>20000</v>
      </c>
      <c r="D316" s="1043">
        <v>155000</v>
      </c>
      <c r="E316" s="1052">
        <v>108434</v>
      </c>
      <c r="F316" s="1045">
        <f t="shared" si="16"/>
        <v>0.69957419354838712</v>
      </c>
    </row>
    <row r="317" spans="1:256" x14ac:dyDescent="0.2">
      <c r="A317" s="1548" t="s">
        <v>168</v>
      </c>
      <c r="B317" s="1548"/>
      <c r="C317" s="1043">
        <f>SUM(C311:C316)</f>
        <v>812000</v>
      </c>
      <c r="D317" s="1043">
        <f>SUM(D311:D316)</f>
        <v>1172000</v>
      </c>
      <c r="E317" s="1043">
        <f>SUM(E311:E316)</f>
        <v>513733</v>
      </c>
      <c r="F317" s="1045">
        <f t="shared" si="16"/>
        <v>0.43833873720136518</v>
      </c>
      <c r="G317" s="1051"/>
      <c r="H317" s="1051"/>
      <c r="I317" s="1051"/>
      <c r="J317" s="1051"/>
      <c r="K317" s="1051"/>
      <c r="L317" s="1051"/>
      <c r="M317" s="1051"/>
      <c r="N317" s="1051"/>
      <c r="O317" s="1051"/>
      <c r="P317" s="1051"/>
      <c r="Q317" s="1051"/>
      <c r="R317" s="1051"/>
      <c r="S317" s="1051"/>
      <c r="T317" s="1051"/>
      <c r="U317" s="1051"/>
      <c r="V317" s="1051"/>
      <c r="W317" s="1051"/>
      <c r="X317" s="1051"/>
      <c r="Y317" s="1051"/>
      <c r="Z317" s="1051"/>
      <c r="AA317" s="1051"/>
      <c r="AB317" s="1051"/>
      <c r="AC317" s="1051"/>
      <c r="AD317" s="1051"/>
      <c r="AE317" s="1051"/>
      <c r="AF317" s="1051"/>
      <c r="AG317" s="1051"/>
      <c r="AH317" s="1051"/>
      <c r="AI317" s="1051"/>
      <c r="AJ317" s="1051"/>
      <c r="AK317" s="1051"/>
      <c r="AL317" s="1051"/>
      <c r="AM317" s="1051"/>
      <c r="AN317" s="1051"/>
      <c r="AO317" s="1051"/>
      <c r="AP317" s="1051"/>
      <c r="AQ317" s="1051"/>
      <c r="AR317" s="1051"/>
      <c r="AS317" s="1051"/>
      <c r="AT317" s="1051"/>
      <c r="AU317" s="1051"/>
      <c r="AV317" s="1051"/>
      <c r="AW317" s="1051"/>
      <c r="AX317" s="1051"/>
      <c r="AY317" s="1051"/>
      <c r="AZ317" s="1051"/>
      <c r="BA317" s="1051"/>
      <c r="BB317" s="1051"/>
      <c r="BC317" s="1051"/>
      <c r="BD317" s="1051"/>
      <c r="BE317" s="1051"/>
      <c r="BF317" s="1051"/>
      <c r="BG317" s="1051"/>
      <c r="BH317" s="1051"/>
      <c r="BI317" s="1051"/>
      <c r="BJ317" s="1051"/>
      <c r="BK317" s="1051"/>
      <c r="BL317" s="1051"/>
      <c r="BM317" s="1051"/>
      <c r="BN317" s="1051"/>
      <c r="BO317" s="1051"/>
      <c r="BP317" s="1051"/>
      <c r="BQ317" s="1051"/>
      <c r="BR317" s="1051"/>
      <c r="BS317" s="1051"/>
      <c r="BT317" s="1051"/>
      <c r="BU317" s="1051"/>
      <c r="BV317" s="1051"/>
      <c r="BW317" s="1051"/>
      <c r="BX317" s="1051"/>
      <c r="BY317" s="1051"/>
      <c r="BZ317" s="1051"/>
      <c r="CA317" s="1051"/>
      <c r="CB317" s="1051"/>
      <c r="CC317" s="1051"/>
      <c r="CD317" s="1051"/>
      <c r="CE317" s="1051"/>
      <c r="CF317" s="1051"/>
      <c r="CG317" s="1051"/>
      <c r="CH317" s="1051"/>
      <c r="CI317" s="1051"/>
      <c r="CJ317" s="1051"/>
      <c r="CK317" s="1051"/>
      <c r="CL317" s="1051"/>
      <c r="CM317" s="1051"/>
      <c r="CN317" s="1051"/>
      <c r="CO317" s="1051"/>
      <c r="CP317" s="1051"/>
      <c r="CQ317" s="1051"/>
      <c r="CR317" s="1051"/>
      <c r="CS317" s="1051"/>
      <c r="CT317" s="1051"/>
      <c r="CU317" s="1051"/>
      <c r="CV317" s="1051"/>
      <c r="CW317" s="1051"/>
      <c r="CX317" s="1051"/>
      <c r="CY317" s="1051"/>
      <c r="CZ317" s="1051"/>
      <c r="DA317" s="1051"/>
      <c r="DB317" s="1051"/>
      <c r="DC317" s="1051"/>
      <c r="DD317" s="1051"/>
      <c r="DE317" s="1051"/>
      <c r="DF317" s="1051"/>
      <c r="DG317" s="1051"/>
      <c r="DH317" s="1051"/>
      <c r="DI317" s="1051"/>
      <c r="DJ317" s="1051"/>
      <c r="DK317" s="1051"/>
      <c r="DL317" s="1051"/>
      <c r="DM317" s="1051"/>
      <c r="DN317" s="1051"/>
      <c r="DO317" s="1051"/>
      <c r="DP317" s="1051"/>
      <c r="DQ317" s="1051"/>
      <c r="DR317" s="1051"/>
      <c r="DS317" s="1051"/>
      <c r="DT317" s="1051"/>
      <c r="DU317" s="1051"/>
      <c r="DV317" s="1051"/>
      <c r="DW317" s="1051"/>
      <c r="DX317" s="1051"/>
      <c r="DY317" s="1051"/>
      <c r="DZ317" s="1051"/>
      <c r="EA317" s="1051"/>
      <c r="EB317" s="1051"/>
      <c r="EC317" s="1051"/>
      <c r="ED317" s="1051"/>
      <c r="EE317" s="1051"/>
      <c r="EF317" s="1051"/>
      <c r="EG317" s="1051"/>
      <c r="EH317" s="1051"/>
      <c r="EI317" s="1051"/>
      <c r="EJ317" s="1051"/>
      <c r="EK317" s="1051"/>
      <c r="EL317" s="1051"/>
      <c r="EM317" s="1051"/>
      <c r="EN317" s="1051"/>
      <c r="EO317" s="1051"/>
      <c r="EP317" s="1051"/>
      <c r="EQ317" s="1051"/>
      <c r="ER317" s="1051"/>
      <c r="ES317" s="1051"/>
      <c r="ET317" s="1051"/>
      <c r="EU317" s="1051"/>
      <c r="EV317" s="1051"/>
      <c r="EW317" s="1051"/>
      <c r="EX317" s="1051"/>
      <c r="EY317" s="1051"/>
      <c r="EZ317" s="1051"/>
      <c r="FA317" s="1051"/>
      <c r="FB317" s="1051"/>
      <c r="FC317" s="1051"/>
      <c r="FD317" s="1051"/>
      <c r="FE317" s="1051"/>
      <c r="FF317" s="1051"/>
      <c r="FG317" s="1051"/>
      <c r="FH317" s="1051"/>
      <c r="FI317" s="1051"/>
      <c r="FJ317" s="1051"/>
      <c r="FK317" s="1051"/>
      <c r="FL317" s="1051"/>
      <c r="FM317" s="1051"/>
      <c r="FN317" s="1051"/>
      <c r="FO317" s="1051"/>
      <c r="FP317" s="1051"/>
      <c r="FQ317" s="1051"/>
      <c r="FR317" s="1051"/>
      <c r="FS317" s="1051"/>
      <c r="FT317" s="1051"/>
      <c r="FU317" s="1051"/>
      <c r="FV317" s="1051"/>
      <c r="FW317" s="1051"/>
      <c r="FX317" s="1051"/>
      <c r="FY317" s="1051"/>
      <c r="FZ317" s="1051"/>
      <c r="GA317" s="1051"/>
      <c r="GB317" s="1051"/>
      <c r="GC317" s="1051"/>
      <c r="GD317" s="1051"/>
      <c r="GE317" s="1051"/>
      <c r="GF317" s="1051"/>
      <c r="GG317" s="1051"/>
      <c r="GH317" s="1051"/>
      <c r="GI317" s="1051"/>
      <c r="GJ317" s="1051"/>
      <c r="GK317" s="1051"/>
      <c r="GL317" s="1051"/>
      <c r="GM317" s="1051"/>
      <c r="GN317" s="1051"/>
      <c r="GO317" s="1051"/>
      <c r="GP317" s="1051"/>
      <c r="GQ317" s="1051"/>
      <c r="GR317" s="1051"/>
      <c r="GS317" s="1051"/>
      <c r="GT317" s="1051"/>
      <c r="GU317" s="1051"/>
      <c r="GV317" s="1051"/>
      <c r="GW317" s="1051"/>
      <c r="GX317" s="1051"/>
      <c r="GY317" s="1051"/>
      <c r="GZ317" s="1051"/>
      <c r="HA317" s="1051"/>
      <c r="HB317" s="1051"/>
      <c r="HC317" s="1051"/>
      <c r="HD317" s="1051"/>
      <c r="HE317" s="1051"/>
      <c r="HF317" s="1051"/>
      <c r="HG317" s="1051"/>
      <c r="HH317" s="1051"/>
      <c r="HI317" s="1051"/>
      <c r="HJ317" s="1051"/>
      <c r="HK317" s="1051"/>
      <c r="HL317" s="1051"/>
      <c r="HM317" s="1051"/>
      <c r="HN317" s="1051"/>
      <c r="HO317" s="1051"/>
      <c r="HP317" s="1051"/>
      <c r="HQ317" s="1051"/>
      <c r="HR317" s="1051"/>
      <c r="HS317" s="1051"/>
      <c r="HT317" s="1051"/>
      <c r="HU317" s="1051"/>
      <c r="HV317" s="1051"/>
      <c r="HW317" s="1051"/>
      <c r="HX317" s="1051"/>
      <c r="HY317" s="1051"/>
      <c r="HZ317" s="1051"/>
      <c r="IA317" s="1051"/>
      <c r="IB317" s="1051"/>
      <c r="IC317" s="1051"/>
      <c r="ID317" s="1051"/>
      <c r="IE317" s="1051"/>
      <c r="IF317" s="1051"/>
      <c r="IG317" s="1051"/>
      <c r="IH317" s="1051"/>
      <c r="II317" s="1051"/>
      <c r="IJ317" s="1051"/>
      <c r="IK317" s="1051"/>
      <c r="IL317" s="1051"/>
      <c r="IM317" s="1051"/>
      <c r="IN317" s="1051"/>
      <c r="IO317" s="1051"/>
      <c r="IP317" s="1051"/>
      <c r="IQ317" s="1051"/>
      <c r="IR317" s="1051"/>
      <c r="IS317" s="1051"/>
      <c r="IT317" s="1051"/>
      <c r="IU317" s="1051"/>
      <c r="IV317" s="1051"/>
    </row>
    <row r="318" spans="1:256" x14ac:dyDescent="0.2">
      <c r="A318" s="1549" t="s">
        <v>73</v>
      </c>
      <c r="B318" s="1549"/>
      <c r="C318" s="1046">
        <f>C317</f>
        <v>812000</v>
      </c>
      <c r="D318" s="1046">
        <f>D317</f>
        <v>1172000</v>
      </c>
      <c r="E318" s="1046">
        <f>E317</f>
        <v>513733</v>
      </c>
      <c r="F318" s="1047">
        <f t="shared" si="16"/>
        <v>0.43833873720136518</v>
      </c>
    </row>
    <row r="319" spans="1:256" x14ac:dyDescent="0.2">
      <c r="A319" s="1552" t="s">
        <v>1</v>
      </c>
      <c r="B319" s="1553"/>
      <c r="C319" s="1553"/>
      <c r="D319" s="1553"/>
      <c r="E319" s="1553"/>
      <c r="F319" s="1554"/>
    </row>
    <row r="320" spans="1:256" x14ac:dyDescent="0.2">
      <c r="A320" s="1065" t="s">
        <v>70</v>
      </c>
      <c r="B320" s="1066" t="s">
        <v>71</v>
      </c>
      <c r="C320" s="1038" t="s">
        <v>687</v>
      </c>
      <c r="D320" s="1038" t="s">
        <v>688</v>
      </c>
      <c r="E320" s="1039" t="s">
        <v>689</v>
      </c>
      <c r="F320" s="1040" t="s">
        <v>690</v>
      </c>
    </row>
    <row r="321" spans="1:256" x14ac:dyDescent="0.2">
      <c r="A321" s="1079" t="s">
        <v>734</v>
      </c>
      <c r="B321" s="1054" t="s">
        <v>800</v>
      </c>
      <c r="C321" s="1105">
        <v>200000</v>
      </c>
      <c r="D321" s="1105">
        <v>200000</v>
      </c>
      <c r="E321" s="1052">
        <v>200000</v>
      </c>
      <c r="F321" s="1045">
        <f>E321/D321</f>
        <v>1</v>
      </c>
    </row>
    <row r="322" spans="1:256" x14ac:dyDescent="0.2">
      <c r="A322" s="1548" t="s">
        <v>18</v>
      </c>
      <c r="B322" s="1548"/>
      <c r="C322" s="1105">
        <f t="shared" ref="C322:E323" si="17">SUM(C321)</f>
        <v>200000</v>
      </c>
      <c r="D322" s="1105">
        <f t="shared" si="17"/>
        <v>200000</v>
      </c>
      <c r="E322" s="1105">
        <f t="shared" si="17"/>
        <v>200000</v>
      </c>
      <c r="F322" s="1045">
        <f t="shared" ref="F322:F334" si="18">E322/D322</f>
        <v>1</v>
      </c>
    </row>
    <row r="323" spans="1:256" x14ac:dyDescent="0.2">
      <c r="A323" s="1549" t="s">
        <v>74</v>
      </c>
      <c r="B323" s="1549"/>
      <c r="C323" s="1046">
        <f t="shared" si="17"/>
        <v>200000</v>
      </c>
      <c r="D323" s="1046">
        <f t="shared" si="17"/>
        <v>200000</v>
      </c>
      <c r="E323" s="1046">
        <f t="shared" si="17"/>
        <v>200000</v>
      </c>
      <c r="F323" s="1047">
        <f t="shared" si="18"/>
        <v>1</v>
      </c>
    </row>
    <row r="324" spans="1:256" x14ac:dyDescent="0.2">
      <c r="A324" s="1041" t="s">
        <v>801</v>
      </c>
      <c r="B324" s="1042" t="s">
        <v>802</v>
      </c>
      <c r="C324" s="1043">
        <f>135000*12</f>
        <v>1620000</v>
      </c>
      <c r="D324" s="1052">
        <v>1620000</v>
      </c>
      <c r="E324" s="1052">
        <v>1485000</v>
      </c>
      <c r="F324" s="1045">
        <f t="shared" si="18"/>
        <v>0.91666666666666663</v>
      </c>
    </row>
    <row r="325" spans="1:256" x14ac:dyDescent="0.2">
      <c r="A325" s="1564" t="s">
        <v>166</v>
      </c>
      <c r="B325" s="1564"/>
      <c r="C325" s="1043">
        <f>SUM(C324:C324)</f>
        <v>1620000</v>
      </c>
      <c r="D325" s="1043">
        <f>SUM(D324:D324)</f>
        <v>1620000</v>
      </c>
      <c r="E325" s="1043">
        <f>SUM(E324:E324)</f>
        <v>1485000</v>
      </c>
      <c r="F325" s="1045">
        <f t="shared" si="18"/>
        <v>0.91666666666666663</v>
      </c>
    </row>
    <row r="326" spans="1:256" x14ac:dyDescent="0.2">
      <c r="A326" s="1041" t="s">
        <v>694</v>
      </c>
      <c r="B326" s="1042" t="s">
        <v>803</v>
      </c>
      <c r="C326" s="1043">
        <v>180000</v>
      </c>
      <c r="D326" s="1043">
        <v>180000</v>
      </c>
      <c r="E326" s="1052">
        <v>165375</v>
      </c>
      <c r="F326" s="1045">
        <f t="shared" si="18"/>
        <v>0.91874999999999996</v>
      </c>
    </row>
    <row r="327" spans="1:256" x14ac:dyDescent="0.2">
      <c r="A327" s="1548" t="s">
        <v>94</v>
      </c>
      <c r="B327" s="1548"/>
      <c r="C327" s="1043">
        <f>SUM(C326:C326)</f>
        <v>180000</v>
      </c>
      <c r="D327" s="1043">
        <f>SUM(D326:D326)</f>
        <v>180000</v>
      </c>
      <c r="E327" s="1043">
        <f>SUM(E326:E326)</f>
        <v>165375</v>
      </c>
      <c r="F327" s="1045">
        <f t="shared" si="18"/>
        <v>0.91874999999999996</v>
      </c>
    </row>
    <row r="328" spans="1:256" x14ac:dyDescent="0.2">
      <c r="A328" s="1041" t="s">
        <v>695</v>
      </c>
      <c r="B328" s="1042" t="s">
        <v>634</v>
      </c>
      <c r="C328" s="1111">
        <v>1200000</v>
      </c>
      <c r="D328" s="1105">
        <v>1200000</v>
      </c>
      <c r="E328" s="1052">
        <v>94636</v>
      </c>
      <c r="F328" s="1045">
        <f t="shared" si="18"/>
        <v>7.8863333333333327E-2</v>
      </c>
    </row>
    <row r="329" spans="1:256" x14ac:dyDescent="0.2">
      <c r="A329" s="1041" t="s">
        <v>706</v>
      </c>
      <c r="B329" s="1042" t="s">
        <v>780</v>
      </c>
      <c r="C329" s="1111">
        <v>150000</v>
      </c>
      <c r="D329" s="1105">
        <v>150000</v>
      </c>
      <c r="E329" s="1052">
        <v>0</v>
      </c>
      <c r="F329" s="1045">
        <f t="shared" si="18"/>
        <v>0</v>
      </c>
    </row>
    <row r="330" spans="1:256" x14ac:dyDescent="0.2">
      <c r="A330" s="1041" t="s">
        <v>709</v>
      </c>
      <c r="B330" s="1042" t="s">
        <v>90</v>
      </c>
      <c r="C330" s="1111">
        <v>200000</v>
      </c>
      <c r="D330" s="1105">
        <v>200000</v>
      </c>
      <c r="E330" s="1052">
        <v>60000</v>
      </c>
      <c r="F330" s="1045">
        <f t="shared" si="18"/>
        <v>0.3</v>
      </c>
    </row>
    <row r="331" spans="1:256" x14ac:dyDescent="0.2">
      <c r="A331" s="1041" t="s">
        <v>697</v>
      </c>
      <c r="B331" s="1042" t="s">
        <v>603</v>
      </c>
      <c r="C331" s="1111">
        <v>240000</v>
      </c>
      <c r="D331" s="1105">
        <v>240000</v>
      </c>
      <c r="E331" s="1052">
        <v>0</v>
      </c>
      <c r="F331" s="1045">
        <f t="shared" si="18"/>
        <v>0</v>
      </c>
    </row>
    <row r="332" spans="1:256" x14ac:dyDescent="0.2">
      <c r="A332" s="1041" t="s">
        <v>703</v>
      </c>
      <c r="B332" s="1042" t="s">
        <v>557</v>
      </c>
      <c r="C332" s="1112">
        <f>SUM(C328:C331)*0.27+700</f>
        <v>484000.00000000006</v>
      </c>
      <c r="D332" s="1113">
        <v>484000</v>
      </c>
      <c r="E332" s="1087">
        <v>25552</v>
      </c>
      <c r="F332" s="1045">
        <f t="shared" si="18"/>
        <v>5.2793388429752064E-2</v>
      </c>
    </row>
    <row r="333" spans="1:256" x14ac:dyDescent="0.2">
      <c r="A333" s="1548" t="s">
        <v>168</v>
      </c>
      <c r="B333" s="1548"/>
      <c r="C333" s="1043">
        <f>SUM(C328:C332)</f>
        <v>2274000</v>
      </c>
      <c r="D333" s="1043">
        <f>SUM(D328:D332)</f>
        <v>2274000</v>
      </c>
      <c r="E333" s="1043">
        <f>SUM(E328:E332)</f>
        <v>180188</v>
      </c>
      <c r="F333" s="1045">
        <f t="shared" si="18"/>
        <v>7.9238346525945469E-2</v>
      </c>
      <c r="G333" s="1051"/>
      <c r="H333" s="1051"/>
      <c r="I333" s="1051"/>
      <c r="J333" s="1051"/>
      <c r="K333" s="1051"/>
      <c r="L333" s="1051"/>
      <c r="M333" s="1051"/>
      <c r="N333" s="1051"/>
      <c r="O333" s="1051"/>
      <c r="P333" s="1051"/>
      <c r="Q333" s="1051"/>
      <c r="R333" s="1051"/>
      <c r="S333" s="1051"/>
      <c r="T333" s="1051"/>
      <c r="U333" s="1051"/>
      <c r="V333" s="1051"/>
      <c r="W333" s="1051"/>
      <c r="X333" s="1051"/>
      <c r="Y333" s="1051"/>
      <c r="Z333" s="1051"/>
      <c r="AA333" s="1051"/>
      <c r="AB333" s="1051"/>
      <c r="AC333" s="1051"/>
      <c r="AD333" s="1051"/>
      <c r="AE333" s="1051"/>
      <c r="AF333" s="1051"/>
      <c r="AG333" s="1051"/>
      <c r="AH333" s="1051"/>
      <c r="AI333" s="1051"/>
      <c r="AJ333" s="1051"/>
      <c r="AK333" s="1051"/>
      <c r="AL333" s="1051"/>
      <c r="AM333" s="1051"/>
      <c r="AN333" s="1051"/>
      <c r="AO333" s="1051"/>
      <c r="AP333" s="1051"/>
      <c r="AQ333" s="1051"/>
      <c r="AR333" s="1051"/>
      <c r="AS333" s="1051"/>
      <c r="AT333" s="1051"/>
      <c r="AU333" s="1051"/>
      <c r="AV333" s="1051"/>
      <c r="AW333" s="1051"/>
      <c r="AX333" s="1051"/>
      <c r="AY333" s="1051"/>
      <c r="AZ333" s="1051"/>
      <c r="BA333" s="1051"/>
      <c r="BB333" s="1051"/>
      <c r="BC333" s="1051"/>
      <c r="BD333" s="1051"/>
      <c r="BE333" s="1051"/>
      <c r="BF333" s="1051"/>
      <c r="BG333" s="1051"/>
      <c r="BH333" s="1051"/>
      <c r="BI333" s="1051"/>
      <c r="BJ333" s="1051"/>
      <c r="BK333" s="1051"/>
      <c r="BL333" s="1051"/>
      <c r="BM333" s="1051"/>
      <c r="BN333" s="1051"/>
      <c r="BO333" s="1051"/>
      <c r="BP333" s="1051"/>
      <c r="BQ333" s="1051"/>
      <c r="BR333" s="1051"/>
      <c r="BS333" s="1051"/>
      <c r="BT333" s="1051"/>
      <c r="BU333" s="1051"/>
      <c r="BV333" s="1051"/>
      <c r="BW333" s="1051"/>
      <c r="BX333" s="1051"/>
      <c r="BY333" s="1051"/>
      <c r="BZ333" s="1051"/>
      <c r="CA333" s="1051"/>
      <c r="CB333" s="1051"/>
      <c r="CC333" s="1051"/>
      <c r="CD333" s="1051"/>
      <c r="CE333" s="1051"/>
      <c r="CF333" s="1051"/>
      <c r="CG333" s="1051"/>
      <c r="CH333" s="1051"/>
      <c r="CI333" s="1051"/>
      <c r="CJ333" s="1051"/>
      <c r="CK333" s="1051"/>
      <c r="CL333" s="1051"/>
      <c r="CM333" s="1051"/>
      <c r="CN333" s="1051"/>
      <c r="CO333" s="1051"/>
      <c r="CP333" s="1051"/>
      <c r="CQ333" s="1051"/>
      <c r="CR333" s="1051"/>
      <c r="CS333" s="1051"/>
      <c r="CT333" s="1051"/>
      <c r="CU333" s="1051"/>
      <c r="CV333" s="1051"/>
      <c r="CW333" s="1051"/>
      <c r="CX333" s="1051"/>
      <c r="CY333" s="1051"/>
      <c r="CZ333" s="1051"/>
      <c r="DA333" s="1051"/>
      <c r="DB333" s="1051"/>
      <c r="DC333" s="1051"/>
      <c r="DD333" s="1051"/>
      <c r="DE333" s="1051"/>
      <c r="DF333" s="1051"/>
      <c r="DG333" s="1051"/>
      <c r="DH333" s="1051"/>
      <c r="DI333" s="1051"/>
      <c r="DJ333" s="1051"/>
      <c r="DK333" s="1051"/>
      <c r="DL333" s="1051"/>
      <c r="DM333" s="1051"/>
      <c r="DN333" s="1051"/>
      <c r="DO333" s="1051"/>
      <c r="DP333" s="1051"/>
      <c r="DQ333" s="1051"/>
      <c r="DR333" s="1051"/>
      <c r="DS333" s="1051"/>
      <c r="DT333" s="1051"/>
      <c r="DU333" s="1051"/>
      <c r="DV333" s="1051"/>
      <c r="DW333" s="1051"/>
      <c r="DX333" s="1051"/>
      <c r="DY333" s="1051"/>
      <c r="DZ333" s="1051"/>
      <c r="EA333" s="1051"/>
      <c r="EB333" s="1051"/>
      <c r="EC333" s="1051"/>
      <c r="ED333" s="1051"/>
      <c r="EE333" s="1051"/>
      <c r="EF333" s="1051"/>
      <c r="EG333" s="1051"/>
      <c r="EH333" s="1051"/>
      <c r="EI333" s="1051"/>
      <c r="EJ333" s="1051"/>
      <c r="EK333" s="1051"/>
      <c r="EL333" s="1051"/>
      <c r="EM333" s="1051"/>
      <c r="EN333" s="1051"/>
      <c r="EO333" s="1051"/>
      <c r="EP333" s="1051"/>
      <c r="EQ333" s="1051"/>
      <c r="ER333" s="1051"/>
      <c r="ES333" s="1051"/>
      <c r="ET333" s="1051"/>
      <c r="EU333" s="1051"/>
      <c r="EV333" s="1051"/>
      <c r="EW333" s="1051"/>
      <c r="EX333" s="1051"/>
      <c r="EY333" s="1051"/>
      <c r="EZ333" s="1051"/>
      <c r="FA333" s="1051"/>
      <c r="FB333" s="1051"/>
      <c r="FC333" s="1051"/>
      <c r="FD333" s="1051"/>
      <c r="FE333" s="1051"/>
      <c r="FF333" s="1051"/>
      <c r="FG333" s="1051"/>
      <c r="FH333" s="1051"/>
      <c r="FI333" s="1051"/>
      <c r="FJ333" s="1051"/>
      <c r="FK333" s="1051"/>
      <c r="FL333" s="1051"/>
      <c r="FM333" s="1051"/>
      <c r="FN333" s="1051"/>
      <c r="FO333" s="1051"/>
      <c r="FP333" s="1051"/>
      <c r="FQ333" s="1051"/>
      <c r="FR333" s="1051"/>
      <c r="FS333" s="1051"/>
      <c r="FT333" s="1051"/>
      <c r="FU333" s="1051"/>
      <c r="FV333" s="1051"/>
      <c r="FW333" s="1051"/>
      <c r="FX333" s="1051"/>
      <c r="FY333" s="1051"/>
      <c r="FZ333" s="1051"/>
      <c r="GA333" s="1051"/>
      <c r="GB333" s="1051"/>
      <c r="GC333" s="1051"/>
      <c r="GD333" s="1051"/>
      <c r="GE333" s="1051"/>
      <c r="GF333" s="1051"/>
      <c r="GG333" s="1051"/>
      <c r="GH333" s="1051"/>
      <c r="GI333" s="1051"/>
      <c r="GJ333" s="1051"/>
      <c r="GK333" s="1051"/>
      <c r="GL333" s="1051"/>
      <c r="GM333" s="1051"/>
      <c r="GN333" s="1051"/>
      <c r="GO333" s="1051"/>
      <c r="GP333" s="1051"/>
      <c r="GQ333" s="1051"/>
      <c r="GR333" s="1051"/>
      <c r="GS333" s="1051"/>
      <c r="GT333" s="1051"/>
      <c r="GU333" s="1051"/>
      <c r="GV333" s="1051"/>
      <c r="GW333" s="1051"/>
      <c r="GX333" s="1051"/>
      <c r="GY333" s="1051"/>
      <c r="GZ333" s="1051"/>
      <c r="HA333" s="1051"/>
      <c r="HB333" s="1051"/>
      <c r="HC333" s="1051"/>
      <c r="HD333" s="1051"/>
      <c r="HE333" s="1051"/>
      <c r="HF333" s="1051"/>
      <c r="HG333" s="1051"/>
      <c r="HH333" s="1051"/>
      <c r="HI333" s="1051"/>
      <c r="HJ333" s="1051"/>
      <c r="HK333" s="1051"/>
      <c r="HL333" s="1051"/>
      <c r="HM333" s="1051"/>
      <c r="HN333" s="1051"/>
      <c r="HO333" s="1051"/>
      <c r="HP333" s="1051"/>
      <c r="HQ333" s="1051"/>
      <c r="HR333" s="1051"/>
      <c r="HS333" s="1051"/>
      <c r="HT333" s="1051"/>
      <c r="HU333" s="1051"/>
      <c r="HV333" s="1051"/>
      <c r="HW333" s="1051"/>
      <c r="HX333" s="1051"/>
      <c r="HY333" s="1051"/>
      <c r="HZ333" s="1051"/>
      <c r="IA333" s="1051"/>
      <c r="IB333" s="1051"/>
      <c r="IC333" s="1051"/>
      <c r="ID333" s="1051"/>
      <c r="IE333" s="1051"/>
      <c r="IF333" s="1051"/>
      <c r="IG333" s="1051"/>
      <c r="IH333" s="1051"/>
      <c r="II333" s="1051"/>
      <c r="IJ333" s="1051"/>
      <c r="IK333" s="1051"/>
      <c r="IL333" s="1051"/>
      <c r="IM333" s="1051"/>
      <c r="IN333" s="1051"/>
      <c r="IO333" s="1051"/>
      <c r="IP333" s="1051"/>
      <c r="IQ333" s="1051"/>
      <c r="IR333" s="1051"/>
      <c r="IS333" s="1051"/>
      <c r="IT333" s="1051"/>
      <c r="IU333" s="1051"/>
      <c r="IV333" s="1051"/>
    </row>
    <row r="334" spans="1:256" x14ac:dyDescent="0.2">
      <c r="A334" s="1549" t="s">
        <v>73</v>
      </c>
      <c r="B334" s="1549"/>
      <c r="C334" s="1046">
        <f>SUM(C333,C327,C325)</f>
        <v>4074000</v>
      </c>
      <c r="D334" s="1046">
        <f>SUM(D333,D327,D325)</f>
        <v>4074000</v>
      </c>
      <c r="E334" s="1046">
        <f>SUM(E333,E327,E325)</f>
        <v>1830563</v>
      </c>
      <c r="F334" s="1047">
        <f t="shared" si="18"/>
        <v>0.44932817869415809</v>
      </c>
    </row>
    <row r="335" spans="1:256" x14ac:dyDescent="0.2">
      <c r="A335" s="1552" t="s">
        <v>2</v>
      </c>
      <c r="B335" s="1553"/>
      <c r="C335" s="1553"/>
      <c r="D335" s="1553"/>
      <c r="E335" s="1553"/>
      <c r="F335" s="1554"/>
    </row>
    <row r="336" spans="1:256" x14ac:dyDescent="0.2">
      <c r="A336" s="1065" t="s">
        <v>70</v>
      </c>
      <c r="B336" s="1066" t="s">
        <v>71</v>
      </c>
      <c r="C336" s="1038" t="s">
        <v>687</v>
      </c>
      <c r="D336" s="1038" t="s">
        <v>688</v>
      </c>
      <c r="E336" s="1039" t="s">
        <v>689</v>
      </c>
      <c r="F336" s="1040" t="s">
        <v>690</v>
      </c>
    </row>
    <row r="337" spans="1:256" x14ac:dyDescent="0.2">
      <c r="A337" s="1041" t="s">
        <v>706</v>
      </c>
      <c r="B337" s="1042" t="s">
        <v>707</v>
      </c>
      <c r="C337" s="1105">
        <v>40000</v>
      </c>
      <c r="D337" s="1105">
        <v>40000</v>
      </c>
      <c r="E337" s="1052">
        <v>0</v>
      </c>
      <c r="F337" s="1045">
        <f>E337/D337</f>
        <v>0</v>
      </c>
    </row>
    <row r="338" spans="1:256" x14ac:dyDescent="0.2">
      <c r="A338" s="1041" t="s">
        <v>708</v>
      </c>
      <c r="B338" s="1042" t="s">
        <v>264</v>
      </c>
      <c r="C338" s="1105">
        <v>310000</v>
      </c>
      <c r="D338" s="1105">
        <v>560000</v>
      </c>
      <c r="E338" s="1052">
        <v>402804</v>
      </c>
      <c r="F338" s="1045">
        <f t="shared" ref="F338:F343" si="19">E338/D338</f>
        <v>0.71929285714285718</v>
      </c>
    </row>
    <row r="339" spans="1:256" x14ac:dyDescent="0.2">
      <c r="A339" s="1041" t="s">
        <v>709</v>
      </c>
      <c r="B339" s="1042" t="s">
        <v>804</v>
      </c>
      <c r="C339" s="1105">
        <v>20000</v>
      </c>
      <c r="D339" s="1105">
        <v>20000</v>
      </c>
      <c r="E339" s="1052">
        <v>8153</v>
      </c>
      <c r="F339" s="1045">
        <f t="shared" si="19"/>
        <v>0.40765000000000001</v>
      </c>
    </row>
    <row r="340" spans="1:256" x14ac:dyDescent="0.2">
      <c r="A340" s="1041" t="s">
        <v>703</v>
      </c>
      <c r="B340" s="1042" t="s">
        <v>557</v>
      </c>
      <c r="C340" s="1105">
        <v>10000</v>
      </c>
      <c r="D340" s="1105">
        <v>110000</v>
      </c>
      <c r="E340" s="1052">
        <v>104770</v>
      </c>
      <c r="F340" s="1045">
        <f t="shared" si="19"/>
        <v>0.95245454545454544</v>
      </c>
    </row>
    <row r="341" spans="1:256" x14ac:dyDescent="0.2">
      <c r="A341" s="1041" t="s">
        <v>720</v>
      </c>
      <c r="B341" s="1042" t="s">
        <v>782</v>
      </c>
      <c r="C341" s="1105">
        <v>103000</v>
      </c>
      <c r="D341" s="1105">
        <v>73000</v>
      </c>
      <c r="E341" s="1052">
        <v>0</v>
      </c>
      <c r="F341" s="1045">
        <f t="shared" si="19"/>
        <v>0</v>
      </c>
    </row>
    <row r="342" spans="1:256" x14ac:dyDescent="0.2">
      <c r="A342" s="1548" t="s">
        <v>168</v>
      </c>
      <c r="B342" s="1548"/>
      <c r="C342" s="1043">
        <f>SUM(C337:C341)</f>
        <v>483000</v>
      </c>
      <c r="D342" s="1043">
        <f>SUM(D337:D341)</f>
        <v>803000</v>
      </c>
      <c r="E342" s="1043">
        <f>SUM(E337:E341)</f>
        <v>515727</v>
      </c>
      <c r="F342" s="1045">
        <f t="shared" si="19"/>
        <v>0.6422503113325031</v>
      </c>
      <c r="G342" s="1051"/>
      <c r="H342" s="1051"/>
      <c r="I342" s="1051"/>
      <c r="J342" s="1051"/>
      <c r="K342" s="1051"/>
      <c r="L342" s="1051"/>
      <c r="M342" s="1051"/>
      <c r="N342" s="1051"/>
      <c r="O342" s="1051"/>
      <c r="P342" s="1051"/>
      <c r="Q342" s="1051"/>
      <c r="R342" s="1051"/>
      <c r="S342" s="1051"/>
      <c r="T342" s="1051"/>
      <c r="U342" s="1051"/>
      <c r="V342" s="1051"/>
      <c r="W342" s="1051"/>
      <c r="X342" s="1051"/>
      <c r="Y342" s="1051"/>
      <c r="Z342" s="1051"/>
      <c r="AA342" s="1051"/>
      <c r="AB342" s="1051"/>
      <c r="AC342" s="1051"/>
      <c r="AD342" s="1051"/>
      <c r="AE342" s="1051"/>
      <c r="AF342" s="1051"/>
      <c r="AG342" s="1051"/>
      <c r="AH342" s="1051"/>
      <c r="AI342" s="1051"/>
      <c r="AJ342" s="1051"/>
      <c r="AK342" s="1051"/>
      <c r="AL342" s="1051"/>
      <c r="AM342" s="1051"/>
      <c r="AN342" s="1051"/>
      <c r="AO342" s="1051"/>
      <c r="AP342" s="1051"/>
      <c r="AQ342" s="1051"/>
      <c r="AR342" s="1051"/>
      <c r="AS342" s="1051"/>
      <c r="AT342" s="1051"/>
      <c r="AU342" s="1051"/>
      <c r="AV342" s="1051"/>
      <c r="AW342" s="1051"/>
      <c r="AX342" s="1051"/>
      <c r="AY342" s="1051"/>
      <c r="AZ342" s="1051"/>
      <c r="BA342" s="1051"/>
      <c r="BB342" s="1051"/>
      <c r="BC342" s="1051"/>
      <c r="BD342" s="1051"/>
      <c r="BE342" s="1051"/>
      <c r="BF342" s="1051"/>
      <c r="BG342" s="1051"/>
      <c r="BH342" s="1051"/>
      <c r="BI342" s="1051"/>
      <c r="BJ342" s="1051"/>
      <c r="BK342" s="1051"/>
      <c r="BL342" s="1051"/>
      <c r="BM342" s="1051"/>
      <c r="BN342" s="1051"/>
      <c r="BO342" s="1051"/>
      <c r="BP342" s="1051"/>
      <c r="BQ342" s="1051"/>
      <c r="BR342" s="1051"/>
      <c r="BS342" s="1051"/>
      <c r="BT342" s="1051"/>
      <c r="BU342" s="1051"/>
      <c r="BV342" s="1051"/>
      <c r="BW342" s="1051"/>
      <c r="BX342" s="1051"/>
      <c r="BY342" s="1051"/>
      <c r="BZ342" s="1051"/>
      <c r="CA342" s="1051"/>
      <c r="CB342" s="1051"/>
      <c r="CC342" s="1051"/>
      <c r="CD342" s="1051"/>
      <c r="CE342" s="1051"/>
      <c r="CF342" s="1051"/>
      <c r="CG342" s="1051"/>
      <c r="CH342" s="1051"/>
      <c r="CI342" s="1051"/>
      <c r="CJ342" s="1051"/>
      <c r="CK342" s="1051"/>
      <c r="CL342" s="1051"/>
      <c r="CM342" s="1051"/>
      <c r="CN342" s="1051"/>
      <c r="CO342" s="1051"/>
      <c r="CP342" s="1051"/>
      <c r="CQ342" s="1051"/>
      <c r="CR342" s="1051"/>
      <c r="CS342" s="1051"/>
      <c r="CT342" s="1051"/>
      <c r="CU342" s="1051"/>
      <c r="CV342" s="1051"/>
      <c r="CW342" s="1051"/>
      <c r="CX342" s="1051"/>
      <c r="CY342" s="1051"/>
      <c r="CZ342" s="1051"/>
      <c r="DA342" s="1051"/>
      <c r="DB342" s="1051"/>
      <c r="DC342" s="1051"/>
      <c r="DD342" s="1051"/>
      <c r="DE342" s="1051"/>
      <c r="DF342" s="1051"/>
      <c r="DG342" s="1051"/>
      <c r="DH342" s="1051"/>
      <c r="DI342" s="1051"/>
      <c r="DJ342" s="1051"/>
      <c r="DK342" s="1051"/>
      <c r="DL342" s="1051"/>
      <c r="DM342" s="1051"/>
      <c r="DN342" s="1051"/>
      <c r="DO342" s="1051"/>
      <c r="DP342" s="1051"/>
      <c r="DQ342" s="1051"/>
      <c r="DR342" s="1051"/>
      <c r="DS342" s="1051"/>
      <c r="DT342" s="1051"/>
      <c r="DU342" s="1051"/>
      <c r="DV342" s="1051"/>
      <c r="DW342" s="1051"/>
      <c r="DX342" s="1051"/>
      <c r="DY342" s="1051"/>
      <c r="DZ342" s="1051"/>
      <c r="EA342" s="1051"/>
      <c r="EB342" s="1051"/>
      <c r="EC342" s="1051"/>
      <c r="ED342" s="1051"/>
      <c r="EE342" s="1051"/>
      <c r="EF342" s="1051"/>
      <c r="EG342" s="1051"/>
      <c r="EH342" s="1051"/>
      <c r="EI342" s="1051"/>
      <c r="EJ342" s="1051"/>
      <c r="EK342" s="1051"/>
      <c r="EL342" s="1051"/>
      <c r="EM342" s="1051"/>
      <c r="EN342" s="1051"/>
      <c r="EO342" s="1051"/>
      <c r="EP342" s="1051"/>
      <c r="EQ342" s="1051"/>
      <c r="ER342" s="1051"/>
      <c r="ES342" s="1051"/>
      <c r="ET342" s="1051"/>
      <c r="EU342" s="1051"/>
      <c r="EV342" s="1051"/>
      <c r="EW342" s="1051"/>
      <c r="EX342" s="1051"/>
      <c r="EY342" s="1051"/>
      <c r="EZ342" s="1051"/>
      <c r="FA342" s="1051"/>
      <c r="FB342" s="1051"/>
      <c r="FC342" s="1051"/>
      <c r="FD342" s="1051"/>
      <c r="FE342" s="1051"/>
      <c r="FF342" s="1051"/>
      <c r="FG342" s="1051"/>
      <c r="FH342" s="1051"/>
      <c r="FI342" s="1051"/>
      <c r="FJ342" s="1051"/>
      <c r="FK342" s="1051"/>
      <c r="FL342" s="1051"/>
      <c r="FM342" s="1051"/>
      <c r="FN342" s="1051"/>
      <c r="FO342" s="1051"/>
      <c r="FP342" s="1051"/>
      <c r="FQ342" s="1051"/>
      <c r="FR342" s="1051"/>
      <c r="FS342" s="1051"/>
      <c r="FT342" s="1051"/>
      <c r="FU342" s="1051"/>
      <c r="FV342" s="1051"/>
      <c r="FW342" s="1051"/>
      <c r="FX342" s="1051"/>
      <c r="FY342" s="1051"/>
      <c r="FZ342" s="1051"/>
      <c r="GA342" s="1051"/>
      <c r="GB342" s="1051"/>
      <c r="GC342" s="1051"/>
      <c r="GD342" s="1051"/>
      <c r="GE342" s="1051"/>
      <c r="GF342" s="1051"/>
      <c r="GG342" s="1051"/>
      <c r="GH342" s="1051"/>
      <c r="GI342" s="1051"/>
      <c r="GJ342" s="1051"/>
      <c r="GK342" s="1051"/>
      <c r="GL342" s="1051"/>
      <c r="GM342" s="1051"/>
      <c r="GN342" s="1051"/>
      <c r="GO342" s="1051"/>
      <c r="GP342" s="1051"/>
      <c r="GQ342" s="1051"/>
      <c r="GR342" s="1051"/>
      <c r="GS342" s="1051"/>
      <c r="GT342" s="1051"/>
      <c r="GU342" s="1051"/>
      <c r="GV342" s="1051"/>
      <c r="GW342" s="1051"/>
      <c r="GX342" s="1051"/>
      <c r="GY342" s="1051"/>
      <c r="GZ342" s="1051"/>
      <c r="HA342" s="1051"/>
      <c r="HB342" s="1051"/>
      <c r="HC342" s="1051"/>
      <c r="HD342" s="1051"/>
      <c r="HE342" s="1051"/>
      <c r="HF342" s="1051"/>
      <c r="HG342" s="1051"/>
      <c r="HH342" s="1051"/>
      <c r="HI342" s="1051"/>
      <c r="HJ342" s="1051"/>
      <c r="HK342" s="1051"/>
      <c r="HL342" s="1051"/>
      <c r="HM342" s="1051"/>
      <c r="HN342" s="1051"/>
      <c r="HO342" s="1051"/>
      <c r="HP342" s="1051"/>
      <c r="HQ342" s="1051"/>
      <c r="HR342" s="1051"/>
      <c r="HS342" s="1051"/>
      <c r="HT342" s="1051"/>
      <c r="HU342" s="1051"/>
      <c r="HV342" s="1051"/>
      <c r="HW342" s="1051"/>
      <c r="HX342" s="1051"/>
      <c r="HY342" s="1051"/>
      <c r="HZ342" s="1051"/>
      <c r="IA342" s="1051"/>
      <c r="IB342" s="1051"/>
      <c r="IC342" s="1051"/>
      <c r="ID342" s="1051"/>
      <c r="IE342" s="1051"/>
      <c r="IF342" s="1051"/>
      <c r="IG342" s="1051"/>
      <c r="IH342" s="1051"/>
      <c r="II342" s="1051"/>
      <c r="IJ342" s="1051"/>
      <c r="IK342" s="1051"/>
      <c r="IL342" s="1051"/>
      <c r="IM342" s="1051"/>
      <c r="IN342" s="1051"/>
      <c r="IO342" s="1051"/>
      <c r="IP342" s="1051"/>
      <c r="IQ342" s="1051"/>
      <c r="IR342" s="1051"/>
      <c r="IS342" s="1051"/>
      <c r="IT342" s="1051"/>
      <c r="IU342" s="1051"/>
      <c r="IV342" s="1051"/>
    </row>
    <row r="343" spans="1:256" x14ac:dyDescent="0.2">
      <c r="A343" s="1549" t="s">
        <v>73</v>
      </c>
      <c r="B343" s="1549"/>
      <c r="C343" s="1046">
        <f>C342</f>
        <v>483000</v>
      </c>
      <c r="D343" s="1046">
        <f>D342</f>
        <v>803000</v>
      </c>
      <c r="E343" s="1046">
        <f>E342</f>
        <v>515727</v>
      </c>
      <c r="F343" s="1047">
        <f t="shared" si="19"/>
        <v>0.6422503113325031</v>
      </c>
    </row>
    <row r="344" spans="1:256" x14ac:dyDescent="0.2">
      <c r="A344" s="1552" t="s">
        <v>3</v>
      </c>
      <c r="B344" s="1553"/>
      <c r="C344" s="1553"/>
      <c r="D344" s="1553"/>
      <c r="E344" s="1553"/>
      <c r="F344" s="1554"/>
    </row>
    <row r="345" spans="1:256" x14ac:dyDescent="0.2">
      <c r="A345" s="1065" t="s">
        <v>70</v>
      </c>
      <c r="B345" s="1066" t="s">
        <v>71</v>
      </c>
      <c r="C345" s="1038" t="s">
        <v>687</v>
      </c>
      <c r="D345" s="1038" t="s">
        <v>688</v>
      </c>
      <c r="E345" s="1039" t="s">
        <v>689</v>
      </c>
      <c r="F345" s="1040" t="s">
        <v>690</v>
      </c>
    </row>
    <row r="346" spans="1:256" x14ac:dyDescent="0.2">
      <c r="A346" s="1041" t="s">
        <v>683</v>
      </c>
      <c r="B346" s="1042" t="s">
        <v>176</v>
      </c>
      <c r="C346" s="1043">
        <v>600000</v>
      </c>
      <c r="D346" s="1043">
        <v>600000</v>
      </c>
      <c r="E346" s="1052">
        <v>573500</v>
      </c>
      <c r="F346" s="1045">
        <f>E346/D346</f>
        <v>0.95583333333333331</v>
      </c>
    </row>
    <row r="347" spans="1:256" x14ac:dyDescent="0.2">
      <c r="A347" s="1041" t="s">
        <v>805</v>
      </c>
      <c r="B347" s="1042" t="s">
        <v>230</v>
      </c>
      <c r="C347" s="1043">
        <v>100000</v>
      </c>
      <c r="D347" s="1043">
        <v>250000</v>
      </c>
      <c r="E347" s="1052">
        <v>200995</v>
      </c>
      <c r="F347" s="1045">
        <f t="shared" ref="F347:F362" si="20">E347/D347</f>
        <v>0.80398000000000003</v>
      </c>
    </row>
    <row r="348" spans="1:256" x14ac:dyDescent="0.2">
      <c r="A348" s="1041" t="s">
        <v>675</v>
      </c>
      <c r="B348" s="1042" t="s">
        <v>234</v>
      </c>
      <c r="C348" s="1043">
        <v>0</v>
      </c>
      <c r="D348" s="1043">
        <v>130000</v>
      </c>
      <c r="E348" s="1052">
        <v>126170</v>
      </c>
      <c r="F348" s="1045">
        <f t="shared" si="20"/>
        <v>0.97053846153846157</v>
      </c>
      <c r="G348" s="1051"/>
      <c r="H348" s="1051"/>
      <c r="I348" s="1051"/>
      <c r="J348" s="1051"/>
      <c r="K348" s="1051"/>
      <c r="L348" s="1051"/>
      <c r="M348" s="1051"/>
      <c r="N348" s="1051"/>
      <c r="O348" s="1051"/>
      <c r="P348" s="1051"/>
      <c r="Q348" s="1051"/>
      <c r="R348" s="1051"/>
      <c r="S348" s="1051"/>
      <c r="T348" s="1051"/>
      <c r="U348" s="1051"/>
      <c r="V348" s="1051"/>
      <c r="W348" s="1051"/>
      <c r="X348" s="1051"/>
      <c r="Y348" s="1051"/>
      <c r="Z348" s="1051"/>
      <c r="AA348" s="1051"/>
      <c r="AB348" s="1051"/>
      <c r="AC348" s="1051"/>
      <c r="AD348" s="1051"/>
      <c r="AE348" s="1051"/>
      <c r="AF348" s="1051"/>
      <c r="AG348" s="1051"/>
      <c r="AH348" s="1051"/>
      <c r="AI348" s="1051"/>
      <c r="AJ348" s="1051"/>
      <c r="AK348" s="1051"/>
      <c r="AL348" s="1051"/>
      <c r="AM348" s="1051"/>
      <c r="AN348" s="1051"/>
      <c r="AO348" s="1051"/>
      <c r="AP348" s="1051"/>
      <c r="AQ348" s="1051"/>
      <c r="AR348" s="1051"/>
      <c r="AS348" s="1051"/>
      <c r="AT348" s="1051"/>
      <c r="AU348" s="1051"/>
      <c r="AV348" s="1051"/>
      <c r="AW348" s="1051"/>
      <c r="AX348" s="1051"/>
      <c r="AY348" s="1051"/>
      <c r="AZ348" s="1051"/>
      <c r="BA348" s="1051"/>
      <c r="BB348" s="1051"/>
      <c r="BC348" s="1051"/>
      <c r="BD348" s="1051"/>
      <c r="BE348" s="1051"/>
      <c r="BF348" s="1051"/>
      <c r="BG348" s="1051"/>
      <c r="BH348" s="1051"/>
      <c r="BI348" s="1051"/>
      <c r="BJ348" s="1051"/>
      <c r="BK348" s="1051"/>
      <c r="BL348" s="1051"/>
      <c r="BM348" s="1051"/>
      <c r="BN348" s="1051"/>
      <c r="BO348" s="1051"/>
      <c r="BP348" s="1051"/>
      <c r="BQ348" s="1051"/>
      <c r="BR348" s="1051"/>
      <c r="BS348" s="1051"/>
      <c r="BT348" s="1051"/>
      <c r="BU348" s="1051"/>
      <c r="BV348" s="1051"/>
      <c r="BW348" s="1051"/>
      <c r="BX348" s="1051"/>
      <c r="BY348" s="1051"/>
      <c r="BZ348" s="1051"/>
      <c r="CA348" s="1051"/>
      <c r="CB348" s="1051"/>
      <c r="CC348" s="1051"/>
      <c r="CD348" s="1051"/>
      <c r="CE348" s="1051"/>
      <c r="CF348" s="1051"/>
      <c r="CG348" s="1051"/>
      <c r="CH348" s="1051"/>
      <c r="CI348" s="1051"/>
      <c r="CJ348" s="1051"/>
      <c r="CK348" s="1051"/>
      <c r="CL348" s="1051"/>
      <c r="CM348" s="1051"/>
      <c r="CN348" s="1051"/>
      <c r="CO348" s="1051"/>
      <c r="CP348" s="1051"/>
      <c r="CQ348" s="1051"/>
      <c r="CR348" s="1051"/>
      <c r="CS348" s="1051"/>
      <c r="CT348" s="1051"/>
      <c r="CU348" s="1051"/>
      <c r="CV348" s="1051"/>
      <c r="CW348" s="1051"/>
      <c r="CX348" s="1051"/>
      <c r="CY348" s="1051"/>
      <c r="CZ348" s="1051"/>
      <c r="DA348" s="1051"/>
      <c r="DB348" s="1051"/>
      <c r="DC348" s="1051"/>
      <c r="DD348" s="1051"/>
      <c r="DE348" s="1051"/>
      <c r="DF348" s="1051"/>
      <c r="DG348" s="1051"/>
      <c r="DH348" s="1051"/>
      <c r="DI348" s="1051"/>
      <c r="DJ348" s="1051"/>
      <c r="DK348" s="1051"/>
      <c r="DL348" s="1051"/>
      <c r="DM348" s="1051"/>
      <c r="DN348" s="1051"/>
      <c r="DO348" s="1051"/>
      <c r="DP348" s="1051"/>
      <c r="DQ348" s="1051"/>
      <c r="DR348" s="1051"/>
      <c r="DS348" s="1051"/>
      <c r="DT348" s="1051"/>
      <c r="DU348" s="1051"/>
      <c r="DV348" s="1051"/>
      <c r="DW348" s="1051"/>
      <c r="DX348" s="1051"/>
      <c r="DY348" s="1051"/>
      <c r="DZ348" s="1051"/>
      <c r="EA348" s="1051"/>
      <c r="EB348" s="1051"/>
      <c r="EC348" s="1051"/>
      <c r="ED348" s="1051"/>
      <c r="EE348" s="1051"/>
      <c r="EF348" s="1051"/>
      <c r="EG348" s="1051"/>
      <c r="EH348" s="1051"/>
      <c r="EI348" s="1051"/>
      <c r="EJ348" s="1051"/>
      <c r="EK348" s="1051"/>
      <c r="EL348" s="1051"/>
      <c r="EM348" s="1051"/>
      <c r="EN348" s="1051"/>
      <c r="EO348" s="1051"/>
      <c r="EP348" s="1051"/>
      <c r="EQ348" s="1051"/>
      <c r="ER348" s="1051"/>
      <c r="ES348" s="1051"/>
      <c r="ET348" s="1051"/>
      <c r="EU348" s="1051"/>
      <c r="EV348" s="1051"/>
      <c r="EW348" s="1051"/>
      <c r="EX348" s="1051"/>
      <c r="EY348" s="1051"/>
      <c r="EZ348" s="1051"/>
      <c r="FA348" s="1051"/>
      <c r="FB348" s="1051"/>
      <c r="FC348" s="1051"/>
      <c r="FD348" s="1051"/>
      <c r="FE348" s="1051"/>
      <c r="FF348" s="1051"/>
      <c r="FG348" s="1051"/>
      <c r="FH348" s="1051"/>
      <c r="FI348" s="1051"/>
      <c r="FJ348" s="1051"/>
      <c r="FK348" s="1051"/>
      <c r="FL348" s="1051"/>
      <c r="FM348" s="1051"/>
      <c r="FN348" s="1051"/>
      <c r="FO348" s="1051"/>
      <c r="FP348" s="1051"/>
      <c r="FQ348" s="1051"/>
      <c r="FR348" s="1051"/>
      <c r="FS348" s="1051"/>
      <c r="FT348" s="1051"/>
      <c r="FU348" s="1051"/>
      <c r="FV348" s="1051"/>
      <c r="FW348" s="1051"/>
      <c r="FX348" s="1051"/>
      <c r="FY348" s="1051"/>
      <c r="FZ348" s="1051"/>
      <c r="GA348" s="1051"/>
      <c r="GB348" s="1051"/>
      <c r="GC348" s="1051"/>
      <c r="GD348" s="1051"/>
      <c r="GE348" s="1051"/>
      <c r="GF348" s="1051"/>
      <c r="GG348" s="1051"/>
      <c r="GH348" s="1051"/>
      <c r="GI348" s="1051"/>
      <c r="GJ348" s="1051"/>
      <c r="GK348" s="1051"/>
      <c r="GL348" s="1051"/>
      <c r="GM348" s="1051"/>
      <c r="GN348" s="1051"/>
      <c r="GO348" s="1051"/>
      <c r="GP348" s="1051"/>
      <c r="GQ348" s="1051"/>
      <c r="GR348" s="1051"/>
      <c r="GS348" s="1051"/>
      <c r="GT348" s="1051"/>
      <c r="GU348" s="1051"/>
      <c r="GV348" s="1051"/>
      <c r="GW348" s="1051"/>
      <c r="GX348" s="1051"/>
      <c r="GY348" s="1051"/>
      <c r="GZ348" s="1051"/>
      <c r="HA348" s="1051"/>
      <c r="HB348" s="1051"/>
      <c r="HC348" s="1051"/>
      <c r="HD348" s="1051"/>
      <c r="HE348" s="1051"/>
      <c r="HF348" s="1051"/>
      <c r="HG348" s="1051"/>
      <c r="HH348" s="1051"/>
      <c r="HI348" s="1051"/>
      <c r="HJ348" s="1051"/>
      <c r="HK348" s="1051"/>
      <c r="HL348" s="1051"/>
      <c r="HM348" s="1051"/>
      <c r="HN348" s="1051"/>
      <c r="HO348" s="1051"/>
      <c r="HP348" s="1051"/>
      <c r="HQ348" s="1051"/>
      <c r="HR348" s="1051"/>
      <c r="HS348" s="1051"/>
      <c r="HT348" s="1051"/>
      <c r="HU348" s="1051"/>
      <c r="HV348" s="1051"/>
      <c r="HW348" s="1051"/>
      <c r="HX348" s="1051"/>
      <c r="HY348" s="1051"/>
      <c r="HZ348" s="1051"/>
      <c r="IA348" s="1051"/>
      <c r="IB348" s="1051"/>
      <c r="IC348" s="1051"/>
      <c r="ID348" s="1051"/>
      <c r="IE348" s="1051"/>
      <c r="IF348" s="1051"/>
      <c r="IG348" s="1051"/>
      <c r="IH348" s="1051"/>
      <c r="II348" s="1051"/>
      <c r="IJ348" s="1051"/>
      <c r="IK348" s="1051"/>
      <c r="IL348" s="1051"/>
      <c r="IM348" s="1051"/>
      <c r="IN348" s="1051"/>
      <c r="IO348" s="1051"/>
      <c r="IP348" s="1051"/>
      <c r="IQ348" s="1051"/>
      <c r="IR348" s="1051"/>
      <c r="IS348" s="1051"/>
      <c r="IT348" s="1051"/>
      <c r="IU348" s="1051"/>
      <c r="IV348" s="1051"/>
    </row>
    <row r="349" spans="1:256" x14ac:dyDescent="0.2">
      <c r="A349" s="1557" t="s">
        <v>20</v>
      </c>
      <c r="B349" s="1563"/>
      <c r="C349" s="1043">
        <f>SUM(C346:C348)</f>
        <v>700000</v>
      </c>
      <c r="D349" s="1043">
        <f>SUM(D346:D348)</f>
        <v>980000</v>
      </c>
      <c r="E349" s="1043">
        <f>SUM(E346:E348)</f>
        <v>900665</v>
      </c>
      <c r="F349" s="1045">
        <f t="shared" si="20"/>
        <v>0.91904591836734695</v>
      </c>
      <c r="G349" s="1051"/>
      <c r="H349" s="1051"/>
      <c r="I349" s="1051"/>
      <c r="J349" s="1051"/>
      <c r="K349" s="1051"/>
      <c r="L349" s="1051"/>
      <c r="M349" s="1051"/>
      <c r="N349" s="1051"/>
      <c r="O349" s="1051"/>
      <c r="P349" s="1051"/>
      <c r="Q349" s="1051"/>
      <c r="R349" s="1051"/>
      <c r="S349" s="1051"/>
      <c r="T349" s="1051"/>
      <c r="U349" s="1051"/>
      <c r="V349" s="1051"/>
      <c r="W349" s="1051"/>
      <c r="X349" s="1051"/>
      <c r="Y349" s="1051"/>
      <c r="Z349" s="1051"/>
      <c r="AA349" s="1051"/>
      <c r="AB349" s="1051"/>
      <c r="AC349" s="1051"/>
      <c r="AD349" s="1051"/>
      <c r="AE349" s="1051"/>
      <c r="AF349" s="1051"/>
      <c r="AG349" s="1051"/>
      <c r="AH349" s="1051"/>
      <c r="AI349" s="1051"/>
      <c r="AJ349" s="1051"/>
      <c r="AK349" s="1051"/>
      <c r="AL349" s="1051"/>
      <c r="AM349" s="1051"/>
      <c r="AN349" s="1051"/>
      <c r="AO349" s="1051"/>
      <c r="AP349" s="1051"/>
      <c r="AQ349" s="1051"/>
      <c r="AR349" s="1051"/>
      <c r="AS349" s="1051"/>
      <c r="AT349" s="1051"/>
      <c r="AU349" s="1051"/>
      <c r="AV349" s="1051"/>
      <c r="AW349" s="1051"/>
      <c r="AX349" s="1051"/>
      <c r="AY349" s="1051"/>
      <c r="AZ349" s="1051"/>
      <c r="BA349" s="1051"/>
      <c r="BB349" s="1051"/>
      <c r="BC349" s="1051"/>
      <c r="BD349" s="1051"/>
      <c r="BE349" s="1051"/>
      <c r="BF349" s="1051"/>
      <c r="BG349" s="1051"/>
      <c r="BH349" s="1051"/>
      <c r="BI349" s="1051"/>
      <c r="BJ349" s="1051"/>
      <c r="BK349" s="1051"/>
      <c r="BL349" s="1051"/>
      <c r="BM349" s="1051"/>
      <c r="BN349" s="1051"/>
      <c r="BO349" s="1051"/>
      <c r="BP349" s="1051"/>
      <c r="BQ349" s="1051"/>
      <c r="BR349" s="1051"/>
      <c r="BS349" s="1051"/>
      <c r="BT349" s="1051"/>
      <c r="BU349" s="1051"/>
      <c r="BV349" s="1051"/>
      <c r="BW349" s="1051"/>
      <c r="BX349" s="1051"/>
      <c r="BY349" s="1051"/>
      <c r="BZ349" s="1051"/>
      <c r="CA349" s="1051"/>
      <c r="CB349" s="1051"/>
      <c r="CC349" s="1051"/>
      <c r="CD349" s="1051"/>
      <c r="CE349" s="1051"/>
      <c r="CF349" s="1051"/>
      <c r="CG349" s="1051"/>
      <c r="CH349" s="1051"/>
      <c r="CI349" s="1051"/>
      <c r="CJ349" s="1051"/>
      <c r="CK349" s="1051"/>
      <c r="CL349" s="1051"/>
      <c r="CM349" s="1051"/>
      <c r="CN349" s="1051"/>
      <c r="CO349" s="1051"/>
      <c r="CP349" s="1051"/>
      <c r="CQ349" s="1051"/>
      <c r="CR349" s="1051"/>
      <c r="CS349" s="1051"/>
      <c r="CT349" s="1051"/>
      <c r="CU349" s="1051"/>
      <c r="CV349" s="1051"/>
      <c r="CW349" s="1051"/>
      <c r="CX349" s="1051"/>
      <c r="CY349" s="1051"/>
      <c r="CZ349" s="1051"/>
      <c r="DA349" s="1051"/>
      <c r="DB349" s="1051"/>
      <c r="DC349" s="1051"/>
      <c r="DD349" s="1051"/>
      <c r="DE349" s="1051"/>
      <c r="DF349" s="1051"/>
      <c r="DG349" s="1051"/>
      <c r="DH349" s="1051"/>
      <c r="DI349" s="1051"/>
      <c r="DJ349" s="1051"/>
      <c r="DK349" s="1051"/>
      <c r="DL349" s="1051"/>
      <c r="DM349" s="1051"/>
      <c r="DN349" s="1051"/>
      <c r="DO349" s="1051"/>
      <c r="DP349" s="1051"/>
      <c r="DQ349" s="1051"/>
      <c r="DR349" s="1051"/>
      <c r="DS349" s="1051"/>
      <c r="DT349" s="1051"/>
      <c r="DU349" s="1051"/>
      <c r="DV349" s="1051"/>
      <c r="DW349" s="1051"/>
      <c r="DX349" s="1051"/>
      <c r="DY349" s="1051"/>
      <c r="DZ349" s="1051"/>
      <c r="EA349" s="1051"/>
      <c r="EB349" s="1051"/>
      <c r="EC349" s="1051"/>
      <c r="ED349" s="1051"/>
      <c r="EE349" s="1051"/>
      <c r="EF349" s="1051"/>
      <c r="EG349" s="1051"/>
      <c r="EH349" s="1051"/>
      <c r="EI349" s="1051"/>
      <c r="EJ349" s="1051"/>
      <c r="EK349" s="1051"/>
      <c r="EL349" s="1051"/>
      <c r="EM349" s="1051"/>
      <c r="EN349" s="1051"/>
      <c r="EO349" s="1051"/>
      <c r="EP349" s="1051"/>
      <c r="EQ349" s="1051"/>
      <c r="ER349" s="1051"/>
      <c r="ES349" s="1051"/>
      <c r="ET349" s="1051"/>
      <c r="EU349" s="1051"/>
      <c r="EV349" s="1051"/>
      <c r="EW349" s="1051"/>
      <c r="EX349" s="1051"/>
      <c r="EY349" s="1051"/>
      <c r="EZ349" s="1051"/>
      <c r="FA349" s="1051"/>
      <c r="FB349" s="1051"/>
      <c r="FC349" s="1051"/>
      <c r="FD349" s="1051"/>
      <c r="FE349" s="1051"/>
      <c r="FF349" s="1051"/>
      <c r="FG349" s="1051"/>
      <c r="FH349" s="1051"/>
      <c r="FI349" s="1051"/>
      <c r="FJ349" s="1051"/>
      <c r="FK349" s="1051"/>
      <c r="FL349" s="1051"/>
      <c r="FM349" s="1051"/>
      <c r="FN349" s="1051"/>
      <c r="FO349" s="1051"/>
      <c r="FP349" s="1051"/>
      <c r="FQ349" s="1051"/>
      <c r="FR349" s="1051"/>
      <c r="FS349" s="1051"/>
      <c r="FT349" s="1051"/>
      <c r="FU349" s="1051"/>
      <c r="FV349" s="1051"/>
      <c r="FW349" s="1051"/>
      <c r="FX349" s="1051"/>
      <c r="FY349" s="1051"/>
      <c r="FZ349" s="1051"/>
      <c r="GA349" s="1051"/>
      <c r="GB349" s="1051"/>
      <c r="GC349" s="1051"/>
      <c r="GD349" s="1051"/>
      <c r="GE349" s="1051"/>
      <c r="GF349" s="1051"/>
      <c r="GG349" s="1051"/>
      <c r="GH349" s="1051"/>
      <c r="GI349" s="1051"/>
      <c r="GJ349" s="1051"/>
      <c r="GK349" s="1051"/>
      <c r="GL349" s="1051"/>
      <c r="GM349" s="1051"/>
      <c r="GN349" s="1051"/>
      <c r="GO349" s="1051"/>
      <c r="GP349" s="1051"/>
      <c r="GQ349" s="1051"/>
      <c r="GR349" s="1051"/>
      <c r="GS349" s="1051"/>
      <c r="GT349" s="1051"/>
      <c r="GU349" s="1051"/>
      <c r="GV349" s="1051"/>
      <c r="GW349" s="1051"/>
      <c r="GX349" s="1051"/>
      <c r="GY349" s="1051"/>
      <c r="GZ349" s="1051"/>
      <c r="HA349" s="1051"/>
      <c r="HB349" s="1051"/>
      <c r="HC349" s="1051"/>
      <c r="HD349" s="1051"/>
      <c r="HE349" s="1051"/>
      <c r="HF349" s="1051"/>
      <c r="HG349" s="1051"/>
      <c r="HH349" s="1051"/>
      <c r="HI349" s="1051"/>
      <c r="HJ349" s="1051"/>
      <c r="HK349" s="1051"/>
      <c r="HL349" s="1051"/>
      <c r="HM349" s="1051"/>
      <c r="HN349" s="1051"/>
      <c r="HO349" s="1051"/>
      <c r="HP349" s="1051"/>
      <c r="HQ349" s="1051"/>
      <c r="HR349" s="1051"/>
      <c r="HS349" s="1051"/>
      <c r="HT349" s="1051"/>
      <c r="HU349" s="1051"/>
      <c r="HV349" s="1051"/>
      <c r="HW349" s="1051"/>
      <c r="HX349" s="1051"/>
      <c r="HY349" s="1051"/>
      <c r="HZ349" s="1051"/>
      <c r="IA349" s="1051"/>
      <c r="IB349" s="1051"/>
      <c r="IC349" s="1051"/>
      <c r="ID349" s="1051"/>
      <c r="IE349" s="1051"/>
      <c r="IF349" s="1051"/>
      <c r="IG349" s="1051"/>
      <c r="IH349" s="1051"/>
      <c r="II349" s="1051"/>
      <c r="IJ349" s="1051"/>
      <c r="IK349" s="1051"/>
      <c r="IL349" s="1051"/>
      <c r="IM349" s="1051"/>
      <c r="IN349" s="1051"/>
      <c r="IO349" s="1051"/>
      <c r="IP349" s="1051"/>
      <c r="IQ349" s="1051"/>
      <c r="IR349" s="1051"/>
      <c r="IS349" s="1051"/>
      <c r="IT349" s="1051"/>
      <c r="IU349" s="1051"/>
      <c r="IV349" s="1051"/>
    </row>
    <row r="350" spans="1:256" x14ac:dyDescent="0.2">
      <c r="A350" s="1549" t="s">
        <v>74</v>
      </c>
      <c r="B350" s="1549"/>
      <c r="C350" s="1046">
        <f>SUM(C349)</f>
        <v>700000</v>
      </c>
      <c r="D350" s="1046">
        <f>SUM(D349)</f>
        <v>980000</v>
      </c>
      <c r="E350" s="1046">
        <f>SUM(E349)</f>
        <v>900665</v>
      </c>
      <c r="F350" s="1047">
        <f t="shared" si="20"/>
        <v>0.91904591836734695</v>
      </c>
    </row>
    <row r="351" spans="1:256" x14ac:dyDescent="0.2">
      <c r="A351" s="1041" t="s">
        <v>695</v>
      </c>
      <c r="B351" s="1057" t="s">
        <v>806</v>
      </c>
      <c r="C351" s="1043">
        <v>10000</v>
      </c>
      <c r="D351" s="1043">
        <v>10000</v>
      </c>
      <c r="E351" s="1043">
        <v>0</v>
      </c>
      <c r="F351" s="1083"/>
    </row>
    <row r="352" spans="1:256" x14ac:dyDescent="0.2">
      <c r="A352" s="1041" t="s">
        <v>706</v>
      </c>
      <c r="B352" s="1042" t="s">
        <v>766</v>
      </c>
      <c r="C352" s="1105">
        <v>50000</v>
      </c>
      <c r="D352" s="1105">
        <v>820000</v>
      </c>
      <c r="E352" s="1052">
        <v>356738</v>
      </c>
      <c r="F352" s="1045">
        <f t="shared" si="20"/>
        <v>0.43504634146341464</v>
      </c>
    </row>
    <row r="353" spans="1:256" x14ac:dyDescent="0.2">
      <c r="A353" s="1041" t="s">
        <v>708</v>
      </c>
      <c r="B353" s="1042" t="s">
        <v>786</v>
      </c>
      <c r="C353" s="1105">
        <v>1050000</v>
      </c>
      <c r="D353" s="1105">
        <v>1450000</v>
      </c>
      <c r="E353" s="1052">
        <v>1278081</v>
      </c>
      <c r="F353" s="1045">
        <f t="shared" si="20"/>
        <v>0.8814351724137931</v>
      </c>
    </row>
    <row r="354" spans="1:256" x14ac:dyDescent="0.2">
      <c r="A354" s="1041" t="s">
        <v>709</v>
      </c>
      <c r="B354" s="1042" t="s">
        <v>90</v>
      </c>
      <c r="C354" s="1105">
        <v>200000</v>
      </c>
      <c r="D354" s="1105">
        <v>200000</v>
      </c>
      <c r="E354" s="1052">
        <v>87465</v>
      </c>
      <c r="F354" s="1045">
        <f t="shared" si="20"/>
        <v>0.43732500000000002</v>
      </c>
    </row>
    <row r="355" spans="1:256" x14ac:dyDescent="0.2">
      <c r="A355" s="1041" t="s">
        <v>698</v>
      </c>
      <c r="B355" s="1042" t="s">
        <v>719</v>
      </c>
      <c r="C355" s="1105">
        <v>700000</v>
      </c>
      <c r="D355" s="1052">
        <v>430000</v>
      </c>
      <c r="E355" s="1052">
        <v>219150</v>
      </c>
      <c r="F355" s="1045">
        <f t="shared" si="20"/>
        <v>0.50965116279069766</v>
      </c>
    </row>
    <row r="356" spans="1:256" x14ac:dyDescent="0.2">
      <c r="A356" s="1041" t="s">
        <v>703</v>
      </c>
      <c r="B356" s="1042" t="s">
        <v>557</v>
      </c>
      <c r="C356" s="1105">
        <v>435000</v>
      </c>
      <c r="D356" s="1105">
        <v>435000</v>
      </c>
      <c r="E356" s="1052">
        <v>424169</v>
      </c>
      <c r="F356" s="1045">
        <f t="shared" si="20"/>
        <v>0.97510114942528736</v>
      </c>
    </row>
    <row r="357" spans="1:256" x14ac:dyDescent="0.2">
      <c r="A357" s="1041" t="s">
        <v>720</v>
      </c>
      <c r="B357" s="1042" t="s">
        <v>782</v>
      </c>
      <c r="C357" s="1105">
        <v>300000</v>
      </c>
      <c r="D357" s="1052">
        <v>300000</v>
      </c>
      <c r="E357" s="1052">
        <v>8263</v>
      </c>
      <c r="F357" s="1045">
        <f t="shared" si="20"/>
        <v>2.7543333333333333E-2</v>
      </c>
    </row>
    <row r="358" spans="1:256" x14ac:dyDescent="0.2">
      <c r="A358" s="1548" t="s">
        <v>168</v>
      </c>
      <c r="B358" s="1548"/>
      <c r="C358" s="1043">
        <f>SUM(C351:C357)</f>
        <v>2745000</v>
      </c>
      <c r="D358" s="1043">
        <f>SUM(D351:D357)</f>
        <v>3645000</v>
      </c>
      <c r="E358" s="1043">
        <f>SUM(E351:E357)</f>
        <v>2373866</v>
      </c>
      <c r="F358" s="1045">
        <f t="shared" si="20"/>
        <v>0.65126639231824413</v>
      </c>
      <c r="G358" s="1051"/>
      <c r="H358" s="1051"/>
      <c r="I358" s="1051"/>
      <c r="J358" s="1051"/>
      <c r="K358" s="1051"/>
      <c r="L358" s="1051"/>
      <c r="M358" s="1051"/>
      <c r="N358" s="1051"/>
      <c r="O358" s="1051"/>
      <c r="P358" s="1051"/>
      <c r="Q358" s="1051"/>
      <c r="R358" s="1051"/>
      <c r="S358" s="1051"/>
      <c r="T358" s="1051"/>
      <c r="U358" s="1051"/>
      <c r="V358" s="1051"/>
      <c r="W358" s="1051"/>
      <c r="X358" s="1051"/>
      <c r="Y358" s="1051"/>
      <c r="Z358" s="1051"/>
      <c r="AA358" s="1051"/>
      <c r="AB358" s="1051"/>
      <c r="AC358" s="1051"/>
      <c r="AD358" s="1051"/>
      <c r="AE358" s="1051"/>
      <c r="AF358" s="1051"/>
      <c r="AG358" s="1051"/>
      <c r="AH358" s="1051"/>
      <c r="AI358" s="1051"/>
      <c r="AJ358" s="1051"/>
      <c r="AK358" s="1051"/>
      <c r="AL358" s="1051"/>
      <c r="AM358" s="1051"/>
      <c r="AN358" s="1051"/>
      <c r="AO358" s="1051"/>
      <c r="AP358" s="1051"/>
      <c r="AQ358" s="1051"/>
      <c r="AR358" s="1051"/>
      <c r="AS358" s="1051"/>
      <c r="AT358" s="1051"/>
      <c r="AU358" s="1051"/>
      <c r="AV358" s="1051"/>
      <c r="AW358" s="1051"/>
      <c r="AX358" s="1051"/>
      <c r="AY358" s="1051"/>
      <c r="AZ358" s="1051"/>
      <c r="BA358" s="1051"/>
      <c r="BB358" s="1051"/>
      <c r="BC358" s="1051"/>
      <c r="BD358" s="1051"/>
      <c r="BE358" s="1051"/>
      <c r="BF358" s="1051"/>
      <c r="BG358" s="1051"/>
      <c r="BH358" s="1051"/>
      <c r="BI358" s="1051"/>
      <c r="BJ358" s="1051"/>
      <c r="BK358" s="1051"/>
      <c r="BL358" s="1051"/>
      <c r="BM358" s="1051"/>
      <c r="BN358" s="1051"/>
      <c r="BO358" s="1051"/>
      <c r="BP358" s="1051"/>
      <c r="BQ358" s="1051"/>
      <c r="BR358" s="1051"/>
      <c r="BS358" s="1051"/>
      <c r="BT358" s="1051"/>
      <c r="BU358" s="1051"/>
      <c r="BV358" s="1051"/>
      <c r="BW358" s="1051"/>
      <c r="BX358" s="1051"/>
      <c r="BY358" s="1051"/>
      <c r="BZ358" s="1051"/>
      <c r="CA358" s="1051"/>
      <c r="CB358" s="1051"/>
      <c r="CC358" s="1051"/>
      <c r="CD358" s="1051"/>
      <c r="CE358" s="1051"/>
      <c r="CF358" s="1051"/>
      <c r="CG358" s="1051"/>
      <c r="CH358" s="1051"/>
      <c r="CI358" s="1051"/>
      <c r="CJ358" s="1051"/>
      <c r="CK358" s="1051"/>
      <c r="CL358" s="1051"/>
      <c r="CM358" s="1051"/>
      <c r="CN358" s="1051"/>
      <c r="CO358" s="1051"/>
      <c r="CP358" s="1051"/>
      <c r="CQ358" s="1051"/>
      <c r="CR358" s="1051"/>
      <c r="CS358" s="1051"/>
      <c r="CT358" s="1051"/>
      <c r="CU358" s="1051"/>
      <c r="CV358" s="1051"/>
      <c r="CW358" s="1051"/>
      <c r="CX358" s="1051"/>
      <c r="CY358" s="1051"/>
      <c r="CZ358" s="1051"/>
      <c r="DA358" s="1051"/>
      <c r="DB358" s="1051"/>
      <c r="DC358" s="1051"/>
      <c r="DD358" s="1051"/>
      <c r="DE358" s="1051"/>
      <c r="DF358" s="1051"/>
      <c r="DG358" s="1051"/>
      <c r="DH358" s="1051"/>
      <c r="DI358" s="1051"/>
      <c r="DJ358" s="1051"/>
      <c r="DK358" s="1051"/>
      <c r="DL358" s="1051"/>
      <c r="DM358" s="1051"/>
      <c r="DN358" s="1051"/>
      <c r="DO358" s="1051"/>
      <c r="DP358" s="1051"/>
      <c r="DQ358" s="1051"/>
      <c r="DR358" s="1051"/>
      <c r="DS358" s="1051"/>
      <c r="DT358" s="1051"/>
      <c r="DU358" s="1051"/>
      <c r="DV358" s="1051"/>
      <c r="DW358" s="1051"/>
      <c r="DX358" s="1051"/>
      <c r="DY358" s="1051"/>
      <c r="DZ358" s="1051"/>
      <c r="EA358" s="1051"/>
      <c r="EB358" s="1051"/>
      <c r="EC358" s="1051"/>
      <c r="ED358" s="1051"/>
      <c r="EE358" s="1051"/>
      <c r="EF358" s="1051"/>
      <c r="EG358" s="1051"/>
      <c r="EH358" s="1051"/>
      <c r="EI358" s="1051"/>
      <c r="EJ358" s="1051"/>
      <c r="EK358" s="1051"/>
      <c r="EL358" s="1051"/>
      <c r="EM358" s="1051"/>
      <c r="EN358" s="1051"/>
      <c r="EO358" s="1051"/>
      <c r="EP358" s="1051"/>
      <c r="EQ358" s="1051"/>
      <c r="ER358" s="1051"/>
      <c r="ES358" s="1051"/>
      <c r="ET358" s="1051"/>
      <c r="EU358" s="1051"/>
      <c r="EV358" s="1051"/>
      <c r="EW358" s="1051"/>
      <c r="EX358" s="1051"/>
      <c r="EY358" s="1051"/>
      <c r="EZ358" s="1051"/>
      <c r="FA358" s="1051"/>
      <c r="FB358" s="1051"/>
      <c r="FC358" s="1051"/>
      <c r="FD358" s="1051"/>
      <c r="FE358" s="1051"/>
      <c r="FF358" s="1051"/>
      <c r="FG358" s="1051"/>
      <c r="FH358" s="1051"/>
      <c r="FI358" s="1051"/>
      <c r="FJ358" s="1051"/>
      <c r="FK358" s="1051"/>
      <c r="FL358" s="1051"/>
      <c r="FM358" s="1051"/>
      <c r="FN358" s="1051"/>
      <c r="FO358" s="1051"/>
      <c r="FP358" s="1051"/>
      <c r="FQ358" s="1051"/>
      <c r="FR358" s="1051"/>
      <c r="FS358" s="1051"/>
      <c r="FT358" s="1051"/>
      <c r="FU358" s="1051"/>
      <c r="FV358" s="1051"/>
      <c r="FW358" s="1051"/>
      <c r="FX358" s="1051"/>
      <c r="FY358" s="1051"/>
      <c r="FZ358" s="1051"/>
      <c r="GA358" s="1051"/>
      <c r="GB358" s="1051"/>
      <c r="GC358" s="1051"/>
      <c r="GD358" s="1051"/>
      <c r="GE358" s="1051"/>
      <c r="GF358" s="1051"/>
      <c r="GG358" s="1051"/>
      <c r="GH358" s="1051"/>
      <c r="GI358" s="1051"/>
      <c r="GJ358" s="1051"/>
      <c r="GK358" s="1051"/>
      <c r="GL358" s="1051"/>
      <c r="GM358" s="1051"/>
      <c r="GN358" s="1051"/>
      <c r="GO358" s="1051"/>
      <c r="GP358" s="1051"/>
      <c r="GQ358" s="1051"/>
      <c r="GR358" s="1051"/>
      <c r="GS358" s="1051"/>
      <c r="GT358" s="1051"/>
      <c r="GU358" s="1051"/>
      <c r="GV358" s="1051"/>
      <c r="GW358" s="1051"/>
      <c r="GX358" s="1051"/>
      <c r="GY358" s="1051"/>
      <c r="GZ358" s="1051"/>
      <c r="HA358" s="1051"/>
      <c r="HB358" s="1051"/>
      <c r="HC358" s="1051"/>
      <c r="HD358" s="1051"/>
      <c r="HE358" s="1051"/>
      <c r="HF358" s="1051"/>
      <c r="HG358" s="1051"/>
      <c r="HH358" s="1051"/>
      <c r="HI358" s="1051"/>
      <c r="HJ358" s="1051"/>
      <c r="HK358" s="1051"/>
      <c r="HL358" s="1051"/>
      <c r="HM358" s="1051"/>
      <c r="HN358" s="1051"/>
      <c r="HO358" s="1051"/>
      <c r="HP358" s="1051"/>
      <c r="HQ358" s="1051"/>
      <c r="HR358" s="1051"/>
      <c r="HS358" s="1051"/>
      <c r="HT358" s="1051"/>
      <c r="HU358" s="1051"/>
      <c r="HV358" s="1051"/>
      <c r="HW358" s="1051"/>
      <c r="HX358" s="1051"/>
      <c r="HY358" s="1051"/>
      <c r="HZ358" s="1051"/>
      <c r="IA358" s="1051"/>
      <c r="IB358" s="1051"/>
      <c r="IC358" s="1051"/>
      <c r="ID358" s="1051"/>
      <c r="IE358" s="1051"/>
      <c r="IF358" s="1051"/>
      <c r="IG358" s="1051"/>
      <c r="IH358" s="1051"/>
      <c r="II358" s="1051"/>
      <c r="IJ358" s="1051"/>
      <c r="IK358" s="1051"/>
      <c r="IL358" s="1051"/>
      <c r="IM358" s="1051"/>
      <c r="IN358" s="1051"/>
      <c r="IO358" s="1051"/>
      <c r="IP358" s="1051"/>
      <c r="IQ358" s="1051"/>
      <c r="IR358" s="1051"/>
      <c r="IS358" s="1051"/>
      <c r="IT358" s="1051"/>
      <c r="IU358" s="1051"/>
      <c r="IV358" s="1051"/>
    </row>
    <row r="359" spans="1:256" x14ac:dyDescent="0.2">
      <c r="A359" s="1041" t="s">
        <v>614</v>
      </c>
      <c r="B359" s="1092" t="s">
        <v>807</v>
      </c>
      <c r="C359" s="1070">
        <v>3784000</v>
      </c>
      <c r="D359" s="1078">
        <v>0</v>
      </c>
      <c r="E359" s="1052">
        <v>0</v>
      </c>
      <c r="F359" s="1045" t="s">
        <v>446</v>
      </c>
      <c r="G359" s="1051"/>
      <c r="H359" s="1051"/>
      <c r="I359" s="1051"/>
      <c r="J359" s="1051"/>
      <c r="K359" s="1051"/>
      <c r="L359" s="1051"/>
      <c r="M359" s="1051"/>
      <c r="N359" s="1051"/>
      <c r="O359" s="1051"/>
      <c r="P359" s="1051"/>
      <c r="Q359" s="1051"/>
      <c r="R359" s="1051"/>
      <c r="S359" s="1051"/>
      <c r="T359" s="1051"/>
      <c r="U359" s="1051"/>
      <c r="V359" s="1051"/>
      <c r="W359" s="1051"/>
      <c r="X359" s="1051"/>
      <c r="Y359" s="1051"/>
      <c r="Z359" s="1051"/>
      <c r="AA359" s="1051"/>
      <c r="AB359" s="1051"/>
      <c r="AC359" s="1051"/>
      <c r="AD359" s="1051"/>
      <c r="AE359" s="1051"/>
      <c r="AF359" s="1051"/>
      <c r="AG359" s="1051"/>
      <c r="AH359" s="1051"/>
      <c r="AI359" s="1051"/>
      <c r="AJ359" s="1051"/>
      <c r="AK359" s="1051"/>
      <c r="AL359" s="1051"/>
      <c r="AM359" s="1051"/>
      <c r="AN359" s="1051"/>
      <c r="AO359" s="1051"/>
      <c r="AP359" s="1051"/>
      <c r="AQ359" s="1051"/>
      <c r="AR359" s="1051"/>
      <c r="AS359" s="1051"/>
      <c r="AT359" s="1051"/>
      <c r="AU359" s="1051"/>
      <c r="AV359" s="1051"/>
      <c r="AW359" s="1051"/>
      <c r="AX359" s="1051"/>
      <c r="AY359" s="1051"/>
      <c r="AZ359" s="1051"/>
      <c r="BA359" s="1051"/>
      <c r="BB359" s="1051"/>
      <c r="BC359" s="1051"/>
      <c r="BD359" s="1051"/>
      <c r="BE359" s="1051"/>
      <c r="BF359" s="1051"/>
      <c r="BG359" s="1051"/>
      <c r="BH359" s="1051"/>
      <c r="BI359" s="1051"/>
      <c r="BJ359" s="1051"/>
      <c r="BK359" s="1051"/>
      <c r="BL359" s="1051"/>
      <c r="BM359" s="1051"/>
      <c r="BN359" s="1051"/>
      <c r="BO359" s="1051"/>
      <c r="BP359" s="1051"/>
      <c r="BQ359" s="1051"/>
      <c r="BR359" s="1051"/>
      <c r="BS359" s="1051"/>
      <c r="BT359" s="1051"/>
      <c r="BU359" s="1051"/>
      <c r="BV359" s="1051"/>
      <c r="BW359" s="1051"/>
      <c r="BX359" s="1051"/>
      <c r="BY359" s="1051"/>
      <c r="BZ359" s="1051"/>
      <c r="CA359" s="1051"/>
      <c r="CB359" s="1051"/>
      <c r="CC359" s="1051"/>
      <c r="CD359" s="1051"/>
      <c r="CE359" s="1051"/>
      <c r="CF359" s="1051"/>
      <c r="CG359" s="1051"/>
      <c r="CH359" s="1051"/>
      <c r="CI359" s="1051"/>
      <c r="CJ359" s="1051"/>
      <c r="CK359" s="1051"/>
      <c r="CL359" s="1051"/>
      <c r="CM359" s="1051"/>
      <c r="CN359" s="1051"/>
      <c r="CO359" s="1051"/>
      <c r="CP359" s="1051"/>
      <c r="CQ359" s="1051"/>
      <c r="CR359" s="1051"/>
      <c r="CS359" s="1051"/>
      <c r="CT359" s="1051"/>
      <c r="CU359" s="1051"/>
      <c r="CV359" s="1051"/>
      <c r="CW359" s="1051"/>
      <c r="CX359" s="1051"/>
      <c r="CY359" s="1051"/>
      <c r="CZ359" s="1051"/>
      <c r="DA359" s="1051"/>
      <c r="DB359" s="1051"/>
      <c r="DC359" s="1051"/>
      <c r="DD359" s="1051"/>
      <c r="DE359" s="1051"/>
      <c r="DF359" s="1051"/>
      <c r="DG359" s="1051"/>
      <c r="DH359" s="1051"/>
      <c r="DI359" s="1051"/>
      <c r="DJ359" s="1051"/>
      <c r="DK359" s="1051"/>
      <c r="DL359" s="1051"/>
      <c r="DM359" s="1051"/>
      <c r="DN359" s="1051"/>
      <c r="DO359" s="1051"/>
      <c r="DP359" s="1051"/>
      <c r="DQ359" s="1051"/>
      <c r="DR359" s="1051"/>
      <c r="DS359" s="1051"/>
      <c r="DT359" s="1051"/>
      <c r="DU359" s="1051"/>
      <c r="DV359" s="1051"/>
      <c r="DW359" s="1051"/>
      <c r="DX359" s="1051"/>
      <c r="DY359" s="1051"/>
      <c r="DZ359" s="1051"/>
      <c r="EA359" s="1051"/>
      <c r="EB359" s="1051"/>
      <c r="EC359" s="1051"/>
      <c r="ED359" s="1051"/>
      <c r="EE359" s="1051"/>
      <c r="EF359" s="1051"/>
      <c r="EG359" s="1051"/>
      <c r="EH359" s="1051"/>
      <c r="EI359" s="1051"/>
      <c r="EJ359" s="1051"/>
      <c r="EK359" s="1051"/>
      <c r="EL359" s="1051"/>
      <c r="EM359" s="1051"/>
      <c r="EN359" s="1051"/>
      <c r="EO359" s="1051"/>
      <c r="EP359" s="1051"/>
      <c r="EQ359" s="1051"/>
      <c r="ER359" s="1051"/>
      <c r="ES359" s="1051"/>
      <c r="ET359" s="1051"/>
      <c r="EU359" s="1051"/>
      <c r="EV359" s="1051"/>
      <c r="EW359" s="1051"/>
      <c r="EX359" s="1051"/>
      <c r="EY359" s="1051"/>
      <c r="EZ359" s="1051"/>
      <c r="FA359" s="1051"/>
      <c r="FB359" s="1051"/>
      <c r="FC359" s="1051"/>
      <c r="FD359" s="1051"/>
      <c r="FE359" s="1051"/>
      <c r="FF359" s="1051"/>
      <c r="FG359" s="1051"/>
      <c r="FH359" s="1051"/>
      <c r="FI359" s="1051"/>
      <c r="FJ359" s="1051"/>
      <c r="FK359" s="1051"/>
      <c r="FL359" s="1051"/>
      <c r="FM359" s="1051"/>
      <c r="FN359" s="1051"/>
      <c r="FO359" s="1051"/>
      <c r="FP359" s="1051"/>
      <c r="FQ359" s="1051"/>
      <c r="FR359" s="1051"/>
      <c r="FS359" s="1051"/>
      <c r="FT359" s="1051"/>
      <c r="FU359" s="1051"/>
      <c r="FV359" s="1051"/>
      <c r="FW359" s="1051"/>
      <c r="FX359" s="1051"/>
      <c r="FY359" s="1051"/>
      <c r="FZ359" s="1051"/>
      <c r="GA359" s="1051"/>
      <c r="GB359" s="1051"/>
      <c r="GC359" s="1051"/>
      <c r="GD359" s="1051"/>
      <c r="GE359" s="1051"/>
      <c r="GF359" s="1051"/>
      <c r="GG359" s="1051"/>
      <c r="GH359" s="1051"/>
      <c r="GI359" s="1051"/>
      <c r="GJ359" s="1051"/>
      <c r="GK359" s="1051"/>
      <c r="GL359" s="1051"/>
      <c r="GM359" s="1051"/>
      <c r="GN359" s="1051"/>
      <c r="GO359" s="1051"/>
      <c r="GP359" s="1051"/>
      <c r="GQ359" s="1051"/>
      <c r="GR359" s="1051"/>
      <c r="GS359" s="1051"/>
      <c r="GT359" s="1051"/>
      <c r="GU359" s="1051"/>
      <c r="GV359" s="1051"/>
      <c r="GW359" s="1051"/>
      <c r="GX359" s="1051"/>
      <c r="GY359" s="1051"/>
      <c r="GZ359" s="1051"/>
      <c r="HA359" s="1051"/>
      <c r="HB359" s="1051"/>
      <c r="HC359" s="1051"/>
      <c r="HD359" s="1051"/>
      <c r="HE359" s="1051"/>
      <c r="HF359" s="1051"/>
      <c r="HG359" s="1051"/>
      <c r="HH359" s="1051"/>
      <c r="HI359" s="1051"/>
      <c r="HJ359" s="1051"/>
      <c r="HK359" s="1051"/>
      <c r="HL359" s="1051"/>
      <c r="HM359" s="1051"/>
      <c r="HN359" s="1051"/>
      <c r="HO359" s="1051"/>
      <c r="HP359" s="1051"/>
      <c r="HQ359" s="1051"/>
      <c r="HR359" s="1051"/>
      <c r="HS359" s="1051"/>
      <c r="HT359" s="1051"/>
      <c r="HU359" s="1051"/>
      <c r="HV359" s="1051"/>
      <c r="HW359" s="1051"/>
      <c r="HX359" s="1051"/>
      <c r="HY359" s="1051"/>
      <c r="HZ359" s="1051"/>
      <c r="IA359" s="1051"/>
      <c r="IB359" s="1051"/>
      <c r="IC359" s="1051"/>
      <c r="ID359" s="1051"/>
      <c r="IE359" s="1051"/>
      <c r="IF359" s="1051"/>
      <c r="IG359" s="1051"/>
      <c r="IH359" s="1051"/>
      <c r="II359" s="1051"/>
      <c r="IJ359" s="1051"/>
      <c r="IK359" s="1051"/>
      <c r="IL359" s="1051"/>
      <c r="IM359" s="1051"/>
      <c r="IN359" s="1051"/>
      <c r="IO359" s="1051"/>
      <c r="IP359" s="1051"/>
      <c r="IQ359" s="1051"/>
      <c r="IR359" s="1051"/>
      <c r="IS359" s="1051"/>
      <c r="IT359" s="1051"/>
      <c r="IU359" s="1051"/>
      <c r="IV359" s="1051"/>
    </row>
    <row r="360" spans="1:256" x14ac:dyDescent="0.2">
      <c r="A360" s="1041" t="s">
        <v>615</v>
      </c>
      <c r="B360" s="1092" t="s">
        <v>808</v>
      </c>
      <c r="C360" s="1070">
        <v>1022000</v>
      </c>
      <c r="D360" s="1078">
        <v>0</v>
      </c>
      <c r="E360" s="1052">
        <v>0</v>
      </c>
      <c r="F360" s="1045" t="s">
        <v>446</v>
      </c>
      <c r="G360" s="1051"/>
      <c r="H360" s="1051"/>
      <c r="I360" s="1051"/>
      <c r="J360" s="1051"/>
      <c r="K360" s="1051"/>
      <c r="L360" s="1051"/>
      <c r="M360" s="1051"/>
      <c r="N360" s="1051"/>
      <c r="O360" s="1051"/>
      <c r="P360" s="1051"/>
      <c r="Q360" s="1051"/>
      <c r="R360" s="1051"/>
      <c r="S360" s="1051"/>
      <c r="T360" s="1051"/>
      <c r="U360" s="1051"/>
      <c r="V360" s="1051"/>
      <c r="W360" s="1051"/>
      <c r="X360" s="1051"/>
      <c r="Y360" s="1051"/>
      <c r="Z360" s="1051"/>
      <c r="AA360" s="1051"/>
      <c r="AB360" s="1051"/>
      <c r="AC360" s="1051"/>
      <c r="AD360" s="1051"/>
      <c r="AE360" s="1051"/>
      <c r="AF360" s="1051"/>
      <c r="AG360" s="1051"/>
      <c r="AH360" s="1051"/>
      <c r="AI360" s="1051"/>
      <c r="AJ360" s="1051"/>
      <c r="AK360" s="1051"/>
      <c r="AL360" s="1051"/>
      <c r="AM360" s="1051"/>
      <c r="AN360" s="1051"/>
      <c r="AO360" s="1051"/>
      <c r="AP360" s="1051"/>
      <c r="AQ360" s="1051"/>
      <c r="AR360" s="1051"/>
      <c r="AS360" s="1051"/>
      <c r="AT360" s="1051"/>
      <c r="AU360" s="1051"/>
      <c r="AV360" s="1051"/>
      <c r="AW360" s="1051"/>
      <c r="AX360" s="1051"/>
      <c r="AY360" s="1051"/>
      <c r="AZ360" s="1051"/>
      <c r="BA360" s="1051"/>
      <c r="BB360" s="1051"/>
      <c r="BC360" s="1051"/>
      <c r="BD360" s="1051"/>
      <c r="BE360" s="1051"/>
      <c r="BF360" s="1051"/>
      <c r="BG360" s="1051"/>
      <c r="BH360" s="1051"/>
      <c r="BI360" s="1051"/>
      <c r="BJ360" s="1051"/>
      <c r="BK360" s="1051"/>
      <c r="BL360" s="1051"/>
      <c r="BM360" s="1051"/>
      <c r="BN360" s="1051"/>
      <c r="BO360" s="1051"/>
      <c r="BP360" s="1051"/>
      <c r="BQ360" s="1051"/>
      <c r="BR360" s="1051"/>
      <c r="BS360" s="1051"/>
      <c r="BT360" s="1051"/>
      <c r="BU360" s="1051"/>
      <c r="BV360" s="1051"/>
      <c r="BW360" s="1051"/>
      <c r="BX360" s="1051"/>
      <c r="BY360" s="1051"/>
      <c r="BZ360" s="1051"/>
      <c r="CA360" s="1051"/>
      <c r="CB360" s="1051"/>
      <c r="CC360" s="1051"/>
      <c r="CD360" s="1051"/>
      <c r="CE360" s="1051"/>
      <c r="CF360" s="1051"/>
      <c r="CG360" s="1051"/>
      <c r="CH360" s="1051"/>
      <c r="CI360" s="1051"/>
      <c r="CJ360" s="1051"/>
      <c r="CK360" s="1051"/>
      <c r="CL360" s="1051"/>
      <c r="CM360" s="1051"/>
      <c r="CN360" s="1051"/>
      <c r="CO360" s="1051"/>
      <c r="CP360" s="1051"/>
      <c r="CQ360" s="1051"/>
      <c r="CR360" s="1051"/>
      <c r="CS360" s="1051"/>
      <c r="CT360" s="1051"/>
      <c r="CU360" s="1051"/>
      <c r="CV360" s="1051"/>
      <c r="CW360" s="1051"/>
      <c r="CX360" s="1051"/>
      <c r="CY360" s="1051"/>
      <c r="CZ360" s="1051"/>
      <c r="DA360" s="1051"/>
      <c r="DB360" s="1051"/>
      <c r="DC360" s="1051"/>
      <c r="DD360" s="1051"/>
      <c r="DE360" s="1051"/>
      <c r="DF360" s="1051"/>
      <c r="DG360" s="1051"/>
      <c r="DH360" s="1051"/>
      <c r="DI360" s="1051"/>
      <c r="DJ360" s="1051"/>
      <c r="DK360" s="1051"/>
      <c r="DL360" s="1051"/>
      <c r="DM360" s="1051"/>
      <c r="DN360" s="1051"/>
      <c r="DO360" s="1051"/>
      <c r="DP360" s="1051"/>
      <c r="DQ360" s="1051"/>
      <c r="DR360" s="1051"/>
      <c r="DS360" s="1051"/>
      <c r="DT360" s="1051"/>
      <c r="DU360" s="1051"/>
      <c r="DV360" s="1051"/>
      <c r="DW360" s="1051"/>
      <c r="DX360" s="1051"/>
      <c r="DY360" s="1051"/>
      <c r="DZ360" s="1051"/>
      <c r="EA360" s="1051"/>
      <c r="EB360" s="1051"/>
      <c r="EC360" s="1051"/>
      <c r="ED360" s="1051"/>
      <c r="EE360" s="1051"/>
      <c r="EF360" s="1051"/>
      <c r="EG360" s="1051"/>
      <c r="EH360" s="1051"/>
      <c r="EI360" s="1051"/>
      <c r="EJ360" s="1051"/>
      <c r="EK360" s="1051"/>
      <c r="EL360" s="1051"/>
      <c r="EM360" s="1051"/>
      <c r="EN360" s="1051"/>
      <c r="EO360" s="1051"/>
      <c r="EP360" s="1051"/>
      <c r="EQ360" s="1051"/>
      <c r="ER360" s="1051"/>
      <c r="ES360" s="1051"/>
      <c r="ET360" s="1051"/>
      <c r="EU360" s="1051"/>
      <c r="EV360" s="1051"/>
      <c r="EW360" s="1051"/>
      <c r="EX360" s="1051"/>
      <c r="EY360" s="1051"/>
      <c r="EZ360" s="1051"/>
      <c r="FA360" s="1051"/>
      <c r="FB360" s="1051"/>
      <c r="FC360" s="1051"/>
      <c r="FD360" s="1051"/>
      <c r="FE360" s="1051"/>
      <c r="FF360" s="1051"/>
      <c r="FG360" s="1051"/>
      <c r="FH360" s="1051"/>
      <c r="FI360" s="1051"/>
      <c r="FJ360" s="1051"/>
      <c r="FK360" s="1051"/>
      <c r="FL360" s="1051"/>
      <c r="FM360" s="1051"/>
      <c r="FN360" s="1051"/>
      <c r="FO360" s="1051"/>
      <c r="FP360" s="1051"/>
      <c r="FQ360" s="1051"/>
      <c r="FR360" s="1051"/>
      <c r="FS360" s="1051"/>
      <c r="FT360" s="1051"/>
      <c r="FU360" s="1051"/>
      <c r="FV360" s="1051"/>
      <c r="FW360" s="1051"/>
      <c r="FX360" s="1051"/>
      <c r="FY360" s="1051"/>
      <c r="FZ360" s="1051"/>
      <c r="GA360" s="1051"/>
      <c r="GB360" s="1051"/>
      <c r="GC360" s="1051"/>
      <c r="GD360" s="1051"/>
      <c r="GE360" s="1051"/>
      <c r="GF360" s="1051"/>
      <c r="GG360" s="1051"/>
      <c r="GH360" s="1051"/>
      <c r="GI360" s="1051"/>
      <c r="GJ360" s="1051"/>
      <c r="GK360" s="1051"/>
      <c r="GL360" s="1051"/>
      <c r="GM360" s="1051"/>
      <c r="GN360" s="1051"/>
      <c r="GO360" s="1051"/>
      <c r="GP360" s="1051"/>
      <c r="GQ360" s="1051"/>
      <c r="GR360" s="1051"/>
      <c r="GS360" s="1051"/>
      <c r="GT360" s="1051"/>
      <c r="GU360" s="1051"/>
      <c r="GV360" s="1051"/>
      <c r="GW360" s="1051"/>
      <c r="GX360" s="1051"/>
      <c r="GY360" s="1051"/>
      <c r="GZ360" s="1051"/>
      <c r="HA360" s="1051"/>
      <c r="HB360" s="1051"/>
      <c r="HC360" s="1051"/>
      <c r="HD360" s="1051"/>
      <c r="HE360" s="1051"/>
      <c r="HF360" s="1051"/>
      <c r="HG360" s="1051"/>
      <c r="HH360" s="1051"/>
      <c r="HI360" s="1051"/>
      <c r="HJ360" s="1051"/>
      <c r="HK360" s="1051"/>
      <c r="HL360" s="1051"/>
      <c r="HM360" s="1051"/>
      <c r="HN360" s="1051"/>
      <c r="HO360" s="1051"/>
      <c r="HP360" s="1051"/>
      <c r="HQ360" s="1051"/>
      <c r="HR360" s="1051"/>
      <c r="HS360" s="1051"/>
      <c r="HT360" s="1051"/>
      <c r="HU360" s="1051"/>
      <c r="HV360" s="1051"/>
      <c r="HW360" s="1051"/>
      <c r="HX360" s="1051"/>
      <c r="HY360" s="1051"/>
      <c r="HZ360" s="1051"/>
      <c r="IA360" s="1051"/>
      <c r="IB360" s="1051"/>
      <c r="IC360" s="1051"/>
      <c r="ID360" s="1051"/>
      <c r="IE360" s="1051"/>
      <c r="IF360" s="1051"/>
      <c r="IG360" s="1051"/>
      <c r="IH360" s="1051"/>
      <c r="II360" s="1051"/>
      <c r="IJ360" s="1051"/>
      <c r="IK360" s="1051"/>
      <c r="IL360" s="1051"/>
      <c r="IM360" s="1051"/>
      <c r="IN360" s="1051"/>
      <c r="IO360" s="1051"/>
      <c r="IP360" s="1051"/>
      <c r="IQ360" s="1051"/>
      <c r="IR360" s="1051"/>
      <c r="IS360" s="1051"/>
      <c r="IT360" s="1051"/>
      <c r="IU360" s="1051"/>
      <c r="IV360" s="1051"/>
    </row>
    <row r="361" spans="1:256" x14ac:dyDescent="0.2">
      <c r="A361" s="1548" t="s">
        <v>11</v>
      </c>
      <c r="B361" s="1559"/>
      <c r="C361" s="1043">
        <f>SUM(C359:C360)</f>
        <v>4806000</v>
      </c>
      <c r="D361" s="1043">
        <f>SUM(D359:D360)</f>
        <v>0</v>
      </c>
      <c r="E361" s="1043">
        <f>SUM(E359:E360)</f>
        <v>0</v>
      </c>
      <c r="F361" s="1045" t="s">
        <v>446</v>
      </c>
      <c r="G361" s="1051"/>
      <c r="H361" s="1051"/>
      <c r="I361" s="1051"/>
      <c r="J361" s="1051"/>
      <c r="K361" s="1051"/>
      <c r="L361" s="1051"/>
      <c r="M361" s="1051"/>
      <c r="N361" s="1051"/>
      <c r="O361" s="1051"/>
      <c r="P361" s="1051"/>
      <c r="Q361" s="1051"/>
      <c r="R361" s="1051"/>
      <c r="S361" s="1051"/>
      <c r="T361" s="1051"/>
      <c r="U361" s="1051"/>
      <c r="V361" s="1051"/>
      <c r="W361" s="1051"/>
      <c r="X361" s="1051"/>
      <c r="Y361" s="1051"/>
      <c r="Z361" s="1051"/>
      <c r="AA361" s="1051"/>
      <c r="AB361" s="1051"/>
      <c r="AC361" s="1051"/>
      <c r="AD361" s="1051"/>
      <c r="AE361" s="1051"/>
      <c r="AF361" s="1051"/>
      <c r="AG361" s="1051"/>
      <c r="AH361" s="1051"/>
      <c r="AI361" s="1051"/>
      <c r="AJ361" s="1051"/>
      <c r="AK361" s="1051"/>
      <c r="AL361" s="1051"/>
      <c r="AM361" s="1051"/>
      <c r="AN361" s="1051"/>
      <c r="AO361" s="1051"/>
      <c r="AP361" s="1051"/>
      <c r="AQ361" s="1051"/>
      <c r="AR361" s="1051"/>
      <c r="AS361" s="1051"/>
      <c r="AT361" s="1051"/>
      <c r="AU361" s="1051"/>
      <c r="AV361" s="1051"/>
      <c r="AW361" s="1051"/>
      <c r="AX361" s="1051"/>
      <c r="AY361" s="1051"/>
      <c r="AZ361" s="1051"/>
      <c r="BA361" s="1051"/>
      <c r="BB361" s="1051"/>
      <c r="BC361" s="1051"/>
      <c r="BD361" s="1051"/>
      <c r="BE361" s="1051"/>
      <c r="BF361" s="1051"/>
      <c r="BG361" s="1051"/>
      <c r="BH361" s="1051"/>
      <c r="BI361" s="1051"/>
      <c r="BJ361" s="1051"/>
      <c r="BK361" s="1051"/>
      <c r="BL361" s="1051"/>
      <c r="BM361" s="1051"/>
      <c r="BN361" s="1051"/>
      <c r="BO361" s="1051"/>
      <c r="BP361" s="1051"/>
      <c r="BQ361" s="1051"/>
      <c r="BR361" s="1051"/>
      <c r="BS361" s="1051"/>
      <c r="BT361" s="1051"/>
      <c r="BU361" s="1051"/>
      <c r="BV361" s="1051"/>
      <c r="BW361" s="1051"/>
      <c r="BX361" s="1051"/>
      <c r="BY361" s="1051"/>
      <c r="BZ361" s="1051"/>
      <c r="CA361" s="1051"/>
      <c r="CB361" s="1051"/>
      <c r="CC361" s="1051"/>
      <c r="CD361" s="1051"/>
      <c r="CE361" s="1051"/>
      <c r="CF361" s="1051"/>
      <c r="CG361" s="1051"/>
      <c r="CH361" s="1051"/>
      <c r="CI361" s="1051"/>
      <c r="CJ361" s="1051"/>
      <c r="CK361" s="1051"/>
      <c r="CL361" s="1051"/>
      <c r="CM361" s="1051"/>
      <c r="CN361" s="1051"/>
      <c r="CO361" s="1051"/>
      <c r="CP361" s="1051"/>
      <c r="CQ361" s="1051"/>
      <c r="CR361" s="1051"/>
      <c r="CS361" s="1051"/>
      <c r="CT361" s="1051"/>
      <c r="CU361" s="1051"/>
      <c r="CV361" s="1051"/>
      <c r="CW361" s="1051"/>
      <c r="CX361" s="1051"/>
      <c r="CY361" s="1051"/>
      <c r="CZ361" s="1051"/>
      <c r="DA361" s="1051"/>
      <c r="DB361" s="1051"/>
      <c r="DC361" s="1051"/>
      <c r="DD361" s="1051"/>
      <c r="DE361" s="1051"/>
      <c r="DF361" s="1051"/>
      <c r="DG361" s="1051"/>
      <c r="DH361" s="1051"/>
      <c r="DI361" s="1051"/>
      <c r="DJ361" s="1051"/>
      <c r="DK361" s="1051"/>
      <c r="DL361" s="1051"/>
      <c r="DM361" s="1051"/>
      <c r="DN361" s="1051"/>
      <c r="DO361" s="1051"/>
      <c r="DP361" s="1051"/>
      <c r="DQ361" s="1051"/>
      <c r="DR361" s="1051"/>
      <c r="DS361" s="1051"/>
      <c r="DT361" s="1051"/>
      <c r="DU361" s="1051"/>
      <c r="DV361" s="1051"/>
      <c r="DW361" s="1051"/>
      <c r="DX361" s="1051"/>
      <c r="DY361" s="1051"/>
      <c r="DZ361" s="1051"/>
      <c r="EA361" s="1051"/>
      <c r="EB361" s="1051"/>
      <c r="EC361" s="1051"/>
      <c r="ED361" s="1051"/>
      <c r="EE361" s="1051"/>
      <c r="EF361" s="1051"/>
      <c r="EG361" s="1051"/>
      <c r="EH361" s="1051"/>
      <c r="EI361" s="1051"/>
      <c r="EJ361" s="1051"/>
      <c r="EK361" s="1051"/>
      <c r="EL361" s="1051"/>
      <c r="EM361" s="1051"/>
      <c r="EN361" s="1051"/>
      <c r="EO361" s="1051"/>
      <c r="EP361" s="1051"/>
      <c r="EQ361" s="1051"/>
      <c r="ER361" s="1051"/>
      <c r="ES361" s="1051"/>
      <c r="ET361" s="1051"/>
      <c r="EU361" s="1051"/>
      <c r="EV361" s="1051"/>
      <c r="EW361" s="1051"/>
      <c r="EX361" s="1051"/>
      <c r="EY361" s="1051"/>
      <c r="EZ361" s="1051"/>
      <c r="FA361" s="1051"/>
      <c r="FB361" s="1051"/>
      <c r="FC361" s="1051"/>
      <c r="FD361" s="1051"/>
      <c r="FE361" s="1051"/>
      <c r="FF361" s="1051"/>
      <c r="FG361" s="1051"/>
      <c r="FH361" s="1051"/>
      <c r="FI361" s="1051"/>
      <c r="FJ361" s="1051"/>
      <c r="FK361" s="1051"/>
      <c r="FL361" s="1051"/>
      <c r="FM361" s="1051"/>
      <c r="FN361" s="1051"/>
      <c r="FO361" s="1051"/>
      <c r="FP361" s="1051"/>
      <c r="FQ361" s="1051"/>
      <c r="FR361" s="1051"/>
      <c r="FS361" s="1051"/>
      <c r="FT361" s="1051"/>
      <c r="FU361" s="1051"/>
      <c r="FV361" s="1051"/>
      <c r="FW361" s="1051"/>
      <c r="FX361" s="1051"/>
      <c r="FY361" s="1051"/>
      <c r="FZ361" s="1051"/>
      <c r="GA361" s="1051"/>
      <c r="GB361" s="1051"/>
      <c r="GC361" s="1051"/>
      <c r="GD361" s="1051"/>
      <c r="GE361" s="1051"/>
      <c r="GF361" s="1051"/>
      <c r="GG361" s="1051"/>
      <c r="GH361" s="1051"/>
      <c r="GI361" s="1051"/>
      <c r="GJ361" s="1051"/>
      <c r="GK361" s="1051"/>
      <c r="GL361" s="1051"/>
      <c r="GM361" s="1051"/>
      <c r="GN361" s="1051"/>
      <c r="GO361" s="1051"/>
      <c r="GP361" s="1051"/>
      <c r="GQ361" s="1051"/>
      <c r="GR361" s="1051"/>
      <c r="GS361" s="1051"/>
      <c r="GT361" s="1051"/>
      <c r="GU361" s="1051"/>
      <c r="GV361" s="1051"/>
      <c r="GW361" s="1051"/>
      <c r="GX361" s="1051"/>
      <c r="GY361" s="1051"/>
      <c r="GZ361" s="1051"/>
      <c r="HA361" s="1051"/>
      <c r="HB361" s="1051"/>
      <c r="HC361" s="1051"/>
      <c r="HD361" s="1051"/>
      <c r="HE361" s="1051"/>
      <c r="HF361" s="1051"/>
      <c r="HG361" s="1051"/>
      <c r="HH361" s="1051"/>
      <c r="HI361" s="1051"/>
      <c r="HJ361" s="1051"/>
      <c r="HK361" s="1051"/>
      <c r="HL361" s="1051"/>
      <c r="HM361" s="1051"/>
      <c r="HN361" s="1051"/>
      <c r="HO361" s="1051"/>
      <c r="HP361" s="1051"/>
      <c r="HQ361" s="1051"/>
      <c r="HR361" s="1051"/>
      <c r="HS361" s="1051"/>
      <c r="HT361" s="1051"/>
      <c r="HU361" s="1051"/>
      <c r="HV361" s="1051"/>
      <c r="HW361" s="1051"/>
      <c r="HX361" s="1051"/>
      <c r="HY361" s="1051"/>
      <c r="HZ361" s="1051"/>
      <c r="IA361" s="1051"/>
      <c r="IB361" s="1051"/>
      <c r="IC361" s="1051"/>
      <c r="ID361" s="1051"/>
      <c r="IE361" s="1051"/>
      <c r="IF361" s="1051"/>
      <c r="IG361" s="1051"/>
      <c r="IH361" s="1051"/>
      <c r="II361" s="1051"/>
      <c r="IJ361" s="1051"/>
      <c r="IK361" s="1051"/>
      <c r="IL361" s="1051"/>
      <c r="IM361" s="1051"/>
      <c r="IN361" s="1051"/>
      <c r="IO361" s="1051"/>
      <c r="IP361" s="1051"/>
      <c r="IQ361" s="1051"/>
      <c r="IR361" s="1051"/>
      <c r="IS361" s="1051"/>
      <c r="IT361" s="1051"/>
      <c r="IU361" s="1051"/>
      <c r="IV361" s="1051"/>
    </row>
    <row r="362" spans="1:256" x14ac:dyDescent="0.2">
      <c r="A362" s="1549" t="s">
        <v>73</v>
      </c>
      <c r="B362" s="1549"/>
      <c r="C362" s="1046">
        <f>SUM(C358+C361)</f>
        <v>7551000</v>
      </c>
      <c r="D362" s="1046">
        <f>SUM(D358+D361)</f>
        <v>3645000</v>
      </c>
      <c r="E362" s="1046">
        <f>SUM(E358+E361)</f>
        <v>2373866</v>
      </c>
      <c r="F362" s="1047">
        <f t="shared" si="20"/>
        <v>0.65126639231824413</v>
      </c>
    </row>
    <row r="363" spans="1:256" x14ac:dyDescent="0.2">
      <c r="A363" s="1552" t="s">
        <v>4</v>
      </c>
      <c r="B363" s="1553"/>
      <c r="C363" s="1553"/>
      <c r="D363" s="1553"/>
      <c r="E363" s="1553"/>
      <c r="F363" s="1554"/>
    </row>
    <row r="364" spans="1:256" x14ac:dyDescent="0.2">
      <c r="A364" s="1065" t="s">
        <v>70</v>
      </c>
      <c r="B364" s="1066" t="s">
        <v>71</v>
      </c>
      <c r="C364" s="1038" t="s">
        <v>687</v>
      </c>
      <c r="D364" s="1038" t="s">
        <v>688</v>
      </c>
      <c r="E364" s="1039" t="s">
        <v>689</v>
      </c>
      <c r="F364" s="1040" t="s">
        <v>690</v>
      </c>
    </row>
    <row r="365" spans="1:256" x14ac:dyDescent="0.2">
      <c r="A365" s="1079" t="s">
        <v>809</v>
      </c>
      <c r="B365" s="1054" t="s">
        <v>810</v>
      </c>
      <c r="C365" s="1105">
        <v>200000</v>
      </c>
      <c r="D365" s="1105">
        <v>205000</v>
      </c>
      <c r="E365" s="1052">
        <v>205000</v>
      </c>
      <c r="F365" s="1045">
        <f>E365/D365</f>
        <v>1</v>
      </c>
    </row>
    <row r="366" spans="1:256" x14ac:dyDescent="0.2">
      <c r="A366" s="1561" t="s">
        <v>96</v>
      </c>
      <c r="B366" s="1561"/>
      <c r="C366" s="1105">
        <f t="shared" ref="C366:E367" si="21">SUM(C365)</f>
        <v>200000</v>
      </c>
      <c r="D366" s="1105">
        <f t="shared" si="21"/>
        <v>205000</v>
      </c>
      <c r="E366" s="1105">
        <f t="shared" si="21"/>
        <v>205000</v>
      </c>
      <c r="F366" s="1045">
        <f t="shared" ref="F366:F391" si="22">E366/D366</f>
        <v>1</v>
      </c>
      <c r="G366" s="1051"/>
      <c r="H366" s="1051"/>
      <c r="I366" s="1051"/>
      <c r="J366" s="1051"/>
      <c r="K366" s="1051"/>
      <c r="L366" s="1051"/>
      <c r="M366" s="1051"/>
      <c r="N366" s="1051"/>
      <c r="O366" s="1051"/>
      <c r="P366" s="1051"/>
      <c r="Q366" s="1051"/>
      <c r="R366" s="1051"/>
      <c r="S366" s="1051"/>
      <c r="T366" s="1051"/>
      <c r="U366" s="1051"/>
      <c r="V366" s="1051"/>
      <c r="W366" s="1051"/>
      <c r="X366" s="1051"/>
      <c r="Y366" s="1051"/>
      <c r="Z366" s="1051"/>
      <c r="AA366" s="1051"/>
      <c r="AB366" s="1051"/>
      <c r="AC366" s="1051"/>
      <c r="AD366" s="1051"/>
      <c r="AE366" s="1051"/>
      <c r="AF366" s="1051"/>
      <c r="AG366" s="1051"/>
      <c r="AH366" s="1051"/>
      <c r="AI366" s="1051"/>
      <c r="AJ366" s="1051"/>
      <c r="AK366" s="1051"/>
      <c r="AL366" s="1051"/>
      <c r="AM366" s="1051"/>
      <c r="AN366" s="1051"/>
      <c r="AO366" s="1051"/>
      <c r="AP366" s="1051"/>
      <c r="AQ366" s="1051"/>
      <c r="AR366" s="1051"/>
      <c r="AS366" s="1051"/>
      <c r="AT366" s="1051"/>
      <c r="AU366" s="1051"/>
      <c r="AV366" s="1051"/>
      <c r="AW366" s="1051"/>
      <c r="AX366" s="1051"/>
      <c r="AY366" s="1051"/>
      <c r="AZ366" s="1051"/>
      <c r="BA366" s="1051"/>
      <c r="BB366" s="1051"/>
      <c r="BC366" s="1051"/>
      <c r="BD366" s="1051"/>
      <c r="BE366" s="1051"/>
      <c r="BF366" s="1051"/>
      <c r="BG366" s="1051"/>
      <c r="BH366" s="1051"/>
      <c r="BI366" s="1051"/>
      <c r="BJ366" s="1051"/>
      <c r="BK366" s="1051"/>
      <c r="BL366" s="1051"/>
      <c r="BM366" s="1051"/>
      <c r="BN366" s="1051"/>
      <c r="BO366" s="1051"/>
      <c r="BP366" s="1051"/>
      <c r="BQ366" s="1051"/>
      <c r="BR366" s="1051"/>
      <c r="BS366" s="1051"/>
      <c r="BT366" s="1051"/>
      <c r="BU366" s="1051"/>
      <c r="BV366" s="1051"/>
      <c r="BW366" s="1051"/>
      <c r="BX366" s="1051"/>
      <c r="BY366" s="1051"/>
      <c r="BZ366" s="1051"/>
      <c r="CA366" s="1051"/>
      <c r="CB366" s="1051"/>
      <c r="CC366" s="1051"/>
      <c r="CD366" s="1051"/>
      <c r="CE366" s="1051"/>
      <c r="CF366" s="1051"/>
      <c r="CG366" s="1051"/>
      <c r="CH366" s="1051"/>
      <c r="CI366" s="1051"/>
      <c r="CJ366" s="1051"/>
      <c r="CK366" s="1051"/>
      <c r="CL366" s="1051"/>
      <c r="CM366" s="1051"/>
      <c r="CN366" s="1051"/>
      <c r="CO366" s="1051"/>
      <c r="CP366" s="1051"/>
      <c r="CQ366" s="1051"/>
      <c r="CR366" s="1051"/>
      <c r="CS366" s="1051"/>
      <c r="CT366" s="1051"/>
      <c r="CU366" s="1051"/>
      <c r="CV366" s="1051"/>
      <c r="CW366" s="1051"/>
      <c r="CX366" s="1051"/>
      <c r="CY366" s="1051"/>
      <c r="CZ366" s="1051"/>
      <c r="DA366" s="1051"/>
      <c r="DB366" s="1051"/>
      <c r="DC366" s="1051"/>
      <c r="DD366" s="1051"/>
      <c r="DE366" s="1051"/>
      <c r="DF366" s="1051"/>
      <c r="DG366" s="1051"/>
      <c r="DH366" s="1051"/>
      <c r="DI366" s="1051"/>
      <c r="DJ366" s="1051"/>
      <c r="DK366" s="1051"/>
      <c r="DL366" s="1051"/>
      <c r="DM366" s="1051"/>
      <c r="DN366" s="1051"/>
      <c r="DO366" s="1051"/>
      <c r="DP366" s="1051"/>
      <c r="DQ366" s="1051"/>
      <c r="DR366" s="1051"/>
      <c r="DS366" s="1051"/>
      <c r="DT366" s="1051"/>
      <c r="DU366" s="1051"/>
      <c r="DV366" s="1051"/>
      <c r="DW366" s="1051"/>
      <c r="DX366" s="1051"/>
      <c r="DY366" s="1051"/>
      <c r="DZ366" s="1051"/>
      <c r="EA366" s="1051"/>
      <c r="EB366" s="1051"/>
      <c r="EC366" s="1051"/>
      <c r="ED366" s="1051"/>
      <c r="EE366" s="1051"/>
      <c r="EF366" s="1051"/>
      <c r="EG366" s="1051"/>
      <c r="EH366" s="1051"/>
      <c r="EI366" s="1051"/>
      <c r="EJ366" s="1051"/>
      <c r="EK366" s="1051"/>
      <c r="EL366" s="1051"/>
      <c r="EM366" s="1051"/>
      <c r="EN366" s="1051"/>
      <c r="EO366" s="1051"/>
      <c r="EP366" s="1051"/>
      <c r="EQ366" s="1051"/>
      <c r="ER366" s="1051"/>
      <c r="ES366" s="1051"/>
      <c r="ET366" s="1051"/>
      <c r="EU366" s="1051"/>
      <c r="EV366" s="1051"/>
      <c r="EW366" s="1051"/>
      <c r="EX366" s="1051"/>
      <c r="EY366" s="1051"/>
      <c r="EZ366" s="1051"/>
      <c r="FA366" s="1051"/>
      <c r="FB366" s="1051"/>
      <c r="FC366" s="1051"/>
      <c r="FD366" s="1051"/>
      <c r="FE366" s="1051"/>
      <c r="FF366" s="1051"/>
      <c r="FG366" s="1051"/>
      <c r="FH366" s="1051"/>
      <c r="FI366" s="1051"/>
      <c r="FJ366" s="1051"/>
      <c r="FK366" s="1051"/>
      <c r="FL366" s="1051"/>
      <c r="FM366" s="1051"/>
      <c r="FN366" s="1051"/>
      <c r="FO366" s="1051"/>
      <c r="FP366" s="1051"/>
      <c r="FQ366" s="1051"/>
      <c r="FR366" s="1051"/>
      <c r="FS366" s="1051"/>
      <c r="FT366" s="1051"/>
      <c r="FU366" s="1051"/>
      <c r="FV366" s="1051"/>
      <c r="FW366" s="1051"/>
      <c r="FX366" s="1051"/>
      <c r="FY366" s="1051"/>
      <c r="FZ366" s="1051"/>
      <c r="GA366" s="1051"/>
      <c r="GB366" s="1051"/>
      <c r="GC366" s="1051"/>
      <c r="GD366" s="1051"/>
      <c r="GE366" s="1051"/>
      <c r="GF366" s="1051"/>
      <c r="GG366" s="1051"/>
      <c r="GH366" s="1051"/>
      <c r="GI366" s="1051"/>
      <c r="GJ366" s="1051"/>
      <c r="GK366" s="1051"/>
      <c r="GL366" s="1051"/>
      <c r="GM366" s="1051"/>
      <c r="GN366" s="1051"/>
      <c r="GO366" s="1051"/>
      <c r="GP366" s="1051"/>
      <c r="GQ366" s="1051"/>
      <c r="GR366" s="1051"/>
      <c r="GS366" s="1051"/>
      <c r="GT366" s="1051"/>
      <c r="GU366" s="1051"/>
      <c r="GV366" s="1051"/>
      <c r="GW366" s="1051"/>
      <c r="GX366" s="1051"/>
      <c r="GY366" s="1051"/>
      <c r="GZ366" s="1051"/>
      <c r="HA366" s="1051"/>
      <c r="HB366" s="1051"/>
      <c r="HC366" s="1051"/>
      <c r="HD366" s="1051"/>
      <c r="HE366" s="1051"/>
      <c r="HF366" s="1051"/>
      <c r="HG366" s="1051"/>
      <c r="HH366" s="1051"/>
      <c r="HI366" s="1051"/>
      <c r="HJ366" s="1051"/>
      <c r="HK366" s="1051"/>
      <c r="HL366" s="1051"/>
      <c r="HM366" s="1051"/>
      <c r="HN366" s="1051"/>
      <c r="HO366" s="1051"/>
      <c r="HP366" s="1051"/>
      <c r="HQ366" s="1051"/>
      <c r="HR366" s="1051"/>
      <c r="HS366" s="1051"/>
      <c r="HT366" s="1051"/>
      <c r="HU366" s="1051"/>
      <c r="HV366" s="1051"/>
      <c r="HW366" s="1051"/>
      <c r="HX366" s="1051"/>
      <c r="HY366" s="1051"/>
      <c r="HZ366" s="1051"/>
      <c r="IA366" s="1051"/>
      <c r="IB366" s="1051"/>
      <c r="IC366" s="1051"/>
      <c r="ID366" s="1051"/>
      <c r="IE366" s="1051"/>
      <c r="IF366" s="1051"/>
      <c r="IG366" s="1051"/>
      <c r="IH366" s="1051"/>
      <c r="II366" s="1051"/>
      <c r="IJ366" s="1051"/>
      <c r="IK366" s="1051"/>
      <c r="IL366" s="1051"/>
      <c r="IM366" s="1051"/>
      <c r="IN366" s="1051"/>
      <c r="IO366" s="1051"/>
      <c r="IP366" s="1051"/>
      <c r="IQ366" s="1051"/>
      <c r="IR366" s="1051"/>
      <c r="IS366" s="1051"/>
      <c r="IT366" s="1051"/>
      <c r="IU366" s="1051"/>
      <c r="IV366" s="1051"/>
    </row>
    <row r="367" spans="1:256" x14ac:dyDescent="0.2">
      <c r="A367" s="1549" t="s">
        <v>74</v>
      </c>
      <c r="B367" s="1549"/>
      <c r="C367" s="1046">
        <f t="shared" si="21"/>
        <v>200000</v>
      </c>
      <c r="D367" s="1046">
        <f t="shared" si="21"/>
        <v>205000</v>
      </c>
      <c r="E367" s="1046">
        <f t="shared" si="21"/>
        <v>205000</v>
      </c>
      <c r="F367" s="1047">
        <f t="shared" si="22"/>
        <v>1</v>
      </c>
    </row>
    <row r="368" spans="1:256" x14ac:dyDescent="0.2">
      <c r="A368" s="1041" t="s">
        <v>520</v>
      </c>
      <c r="B368" s="1041" t="s">
        <v>521</v>
      </c>
      <c r="C368" s="1043">
        <v>2528000</v>
      </c>
      <c r="D368" s="1078">
        <v>2428000</v>
      </c>
      <c r="E368" s="1052">
        <v>2511600</v>
      </c>
      <c r="F368" s="1045">
        <f t="shared" si="22"/>
        <v>1.0344316309719934</v>
      </c>
    </row>
    <row r="369" spans="1:256" x14ac:dyDescent="0.2">
      <c r="A369" s="1114" t="s">
        <v>669</v>
      </c>
      <c r="B369" s="1106" t="s">
        <v>522</v>
      </c>
      <c r="C369" s="1043">
        <v>0</v>
      </c>
      <c r="D369" s="1078">
        <v>26600</v>
      </c>
      <c r="E369" s="1052">
        <v>26600</v>
      </c>
      <c r="F369" s="1045">
        <f t="shared" si="22"/>
        <v>1</v>
      </c>
    </row>
    <row r="370" spans="1:256" x14ac:dyDescent="0.2">
      <c r="A370" s="1041" t="s">
        <v>527</v>
      </c>
      <c r="B370" s="1041" t="s">
        <v>85</v>
      </c>
      <c r="C370" s="1043">
        <v>116000</v>
      </c>
      <c r="D370" s="1078">
        <v>116000</v>
      </c>
      <c r="E370" s="1052">
        <v>130430</v>
      </c>
      <c r="F370" s="1045">
        <f t="shared" si="22"/>
        <v>1.1243965517241379</v>
      </c>
    </row>
    <row r="371" spans="1:256" x14ac:dyDescent="0.2">
      <c r="A371" s="1041" t="s">
        <v>531</v>
      </c>
      <c r="B371" s="1041" t="s">
        <v>79</v>
      </c>
      <c r="C371" s="1043">
        <v>15000</v>
      </c>
      <c r="D371" s="1078">
        <v>15000</v>
      </c>
      <c r="E371" s="1052">
        <v>12000</v>
      </c>
      <c r="F371" s="1045">
        <f t="shared" si="22"/>
        <v>0.8</v>
      </c>
    </row>
    <row r="372" spans="1:256" x14ac:dyDescent="0.2">
      <c r="A372" s="1041" t="s">
        <v>684</v>
      </c>
      <c r="B372" s="1041" t="s">
        <v>789</v>
      </c>
      <c r="C372" s="1043">
        <v>0</v>
      </c>
      <c r="D372" s="1078">
        <v>100000</v>
      </c>
      <c r="E372" s="1052">
        <v>17875</v>
      </c>
      <c r="F372" s="1045">
        <f t="shared" si="22"/>
        <v>0.17874999999999999</v>
      </c>
    </row>
    <row r="373" spans="1:256" x14ac:dyDescent="0.2">
      <c r="A373" s="1041" t="s">
        <v>801</v>
      </c>
      <c r="B373" s="1041" t="s">
        <v>802</v>
      </c>
      <c r="C373" s="1043">
        <v>825000</v>
      </c>
      <c r="D373" s="1078">
        <v>825000</v>
      </c>
      <c r="E373" s="1052">
        <v>838500</v>
      </c>
      <c r="F373" s="1045">
        <f t="shared" si="22"/>
        <v>1.0163636363636364</v>
      </c>
    </row>
    <row r="374" spans="1:256" x14ac:dyDescent="0.2">
      <c r="A374" s="1564" t="s">
        <v>166</v>
      </c>
      <c r="B374" s="1564"/>
      <c r="C374" s="1043">
        <f>SUM(C368:C373)</f>
        <v>3484000</v>
      </c>
      <c r="D374" s="1043">
        <f>SUM(D368:D373)</f>
        <v>3510600</v>
      </c>
      <c r="E374" s="1043">
        <f>SUM(E368:E373)</f>
        <v>3537005</v>
      </c>
      <c r="F374" s="1045">
        <f t="shared" si="22"/>
        <v>1.0075215062952201</v>
      </c>
      <c r="G374" s="1051"/>
      <c r="H374" s="1051"/>
      <c r="I374" s="1051"/>
      <c r="J374" s="1051"/>
      <c r="K374" s="1051"/>
      <c r="L374" s="1051"/>
      <c r="M374" s="1051"/>
      <c r="N374" s="1051"/>
      <c r="O374" s="1051"/>
      <c r="P374" s="1051"/>
      <c r="Q374" s="1051"/>
      <c r="R374" s="1051"/>
      <c r="S374" s="1051"/>
      <c r="T374" s="1051"/>
      <c r="U374" s="1051"/>
      <c r="V374" s="1051"/>
      <c r="W374" s="1051"/>
      <c r="X374" s="1051"/>
      <c r="Y374" s="1051"/>
      <c r="Z374" s="1051"/>
      <c r="AA374" s="1051"/>
      <c r="AB374" s="1051"/>
      <c r="AC374" s="1051"/>
      <c r="AD374" s="1051"/>
      <c r="AE374" s="1051"/>
      <c r="AF374" s="1051"/>
      <c r="AG374" s="1051"/>
      <c r="AH374" s="1051"/>
      <c r="AI374" s="1051"/>
      <c r="AJ374" s="1051"/>
      <c r="AK374" s="1051"/>
      <c r="AL374" s="1051"/>
      <c r="AM374" s="1051"/>
      <c r="AN374" s="1051"/>
      <c r="AO374" s="1051"/>
      <c r="AP374" s="1051"/>
      <c r="AQ374" s="1051"/>
      <c r="AR374" s="1051"/>
      <c r="AS374" s="1051"/>
      <c r="AT374" s="1051"/>
      <c r="AU374" s="1051"/>
      <c r="AV374" s="1051"/>
      <c r="AW374" s="1051"/>
      <c r="AX374" s="1051"/>
      <c r="AY374" s="1051"/>
      <c r="AZ374" s="1051"/>
      <c r="BA374" s="1051"/>
      <c r="BB374" s="1051"/>
      <c r="BC374" s="1051"/>
      <c r="BD374" s="1051"/>
      <c r="BE374" s="1051"/>
      <c r="BF374" s="1051"/>
      <c r="BG374" s="1051"/>
      <c r="BH374" s="1051"/>
      <c r="BI374" s="1051"/>
      <c r="BJ374" s="1051"/>
      <c r="BK374" s="1051"/>
      <c r="BL374" s="1051"/>
      <c r="BM374" s="1051"/>
      <c r="BN374" s="1051"/>
      <c r="BO374" s="1051"/>
      <c r="BP374" s="1051"/>
      <c r="BQ374" s="1051"/>
      <c r="BR374" s="1051"/>
      <c r="BS374" s="1051"/>
      <c r="BT374" s="1051"/>
      <c r="BU374" s="1051"/>
      <c r="BV374" s="1051"/>
      <c r="BW374" s="1051"/>
      <c r="BX374" s="1051"/>
      <c r="BY374" s="1051"/>
      <c r="BZ374" s="1051"/>
      <c r="CA374" s="1051"/>
      <c r="CB374" s="1051"/>
      <c r="CC374" s="1051"/>
      <c r="CD374" s="1051"/>
      <c r="CE374" s="1051"/>
      <c r="CF374" s="1051"/>
      <c r="CG374" s="1051"/>
      <c r="CH374" s="1051"/>
      <c r="CI374" s="1051"/>
      <c r="CJ374" s="1051"/>
      <c r="CK374" s="1051"/>
      <c r="CL374" s="1051"/>
      <c r="CM374" s="1051"/>
      <c r="CN374" s="1051"/>
      <c r="CO374" s="1051"/>
      <c r="CP374" s="1051"/>
      <c r="CQ374" s="1051"/>
      <c r="CR374" s="1051"/>
      <c r="CS374" s="1051"/>
      <c r="CT374" s="1051"/>
      <c r="CU374" s="1051"/>
      <c r="CV374" s="1051"/>
      <c r="CW374" s="1051"/>
      <c r="CX374" s="1051"/>
      <c r="CY374" s="1051"/>
      <c r="CZ374" s="1051"/>
      <c r="DA374" s="1051"/>
      <c r="DB374" s="1051"/>
      <c r="DC374" s="1051"/>
      <c r="DD374" s="1051"/>
      <c r="DE374" s="1051"/>
      <c r="DF374" s="1051"/>
      <c r="DG374" s="1051"/>
      <c r="DH374" s="1051"/>
      <c r="DI374" s="1051"/>
      <c r="DJ374" s="1051"/>
      <c r="DK374" s="1051"/>
      <c r="DL374" s="1051"/>
      <c r="DM374" s="1051"/>
      <c r="DN374" s="1051"/>
      <c r="DO374" s="1051"/>
      <c r="DP374" s="1051"/>
      <c r="DQ374" s="1051"/>
      <c r="DR374" s="1051"/>
      <c r="DS374" s="1051"/>
      <c r="DT374" s="1051"/>
      <c r="DU374" s="1051"/>
      <c r="DV374" s="1051"/>
      <c r="DW374" s="1051"/>
      <c r="DX374" s="1051"/>
      <c r="DY374" s="1051"/>
      <c r="DZ374" s="1051"/>
      <c r="EA374" s="1051"/>
      <c r="EB374" s="1051"/>
      <c r="EC374" s="1051"/>
      <c r="ED374" s="1051"/>
      <c r="EE374" s="1051"/>
      <c r="EF374" s="1051"/>
      <c r="EG374" s="1051"/>
      <c r="EH374" s="1051"/>
      <c r="EI374" s="1051"/>
      <c r="EJ374" s="1051"/>
      <c r="EK374" s="1051"/>
      <c r="EL374" s="1051"/>
      <c r="EM374" s="1051"/>
      <c r="EN374" s="1051"/>
      <c r="EO374" s="1051"/>
      <c r="EP374" s="1051"/>
      <c r="EQ374" s="1051"/>
      <c r="ER374" s="1051"/>
      <c r="ES374" s="1051"/>
      <c r="ET374" s="1051"/>
      <c r="EU374" s="1051"/>
      <c r="EV374" s="1051"/>
      <c r="EW374" s="1051"/>
      <c r="EX374" s="1051"/>
      <c r="EY374" s="1051"/>
      <c r="EZ374" s="1051"/>
      <c r="FA374" s="1051"/>
      <c r="FB374" s="1051"/>
      <c r="FC374" s="1051"/>
      <c r="FD374" s="1051"/>
      <c r="FE374" s="1051"/>
      <c r="FF374" s="1051"/>
      <c r="FG374" s="1051"/>
      <c r="FH374" s="1051"/>
      <c r="FI374" s="1051"/>
      <c r="FJ374" s="1051"/>
      <c r="FK374" s="1051"/>
      <c r="FL374" s="1051"/>
      <c r="FM374" s="1051"/>
      <c r="FN374" s="1051"/>
      <c r="FO374" s="1051"/>
      <c r="FP374" s="1051"/>
      <c r="FQ374" s="1051"/>
      <c r="FR374" s="1051"/>
      <c r="FS374" s="1051"/>
      <c r="FT374" s="1051"/>
      <c r="FU374" s="1051"/>
      <c r="FV374" s="1051"/>
      <c r="FW374" s="1051"/>
      <c r="FX374" s="1051"/>
      <c r="FY374" s="1051"/>
      <c r="FZ374" s="1051"/>
      <c r="GA374" s="1051"/>
      <c r="GB374" s="1051"/>
      <c r="GC374" s="1051"/>
      <c r="GD374" s="1051"/>
      <c r="GE374" s="1051"/>
      <c r="GF374" s="1051"/>
      <c r="GG374" s="1051"/>
      <c r="GH374" s="1051"/>
      <c r="GI374" s="1051"/>
      <c r="GJ374" s="1051"/>
      <c r="GK374" s="1051"/>
      <c r="GL374" s="1051"/>
      <c r="GM374" s="1051"/>
      <c r="GN374" s="1051"/>
      <c r="GO374" s="1051"/>
      <c r="GP374" s="1051"/>
      <c r="GQ374" s="1051"/>
      <c r="GR374" s="1051"/>
      <c r="GS374" s="1051"/>
      <c r="GT374" s="1051"/>
      <c r="GU374" s="1051"/>
      <c r="GV374" s="1051"/>
      <c r="GW374" s="1051"/>
      <c r="GX374" s="1051"/>
      <c r="GY374" s="1051"/>
      <c r="GZ374" s="1051"/>
      <c r="HA374" s="1051"/>
      <c r="HB374" s="1051"/>
      <c r="HC374" s="1051"/>
      <c r="HD374" s="1051"/>
      <c r="HE374" s="1051"/>
      <c r="HF374" s="1051"/>
      <c r="HG374" s="1051"/>
      <c r="HH374" s="1051"/>
      <c r="HI374" s="1051"/>
      <c r="HJ374" s="1051"/>
      <c r="HK374" s="1051"/>
      <c r="HL374" s="1051"/>
      <c r="HM374" s="1051"/>
      <c r="HN374" s="1051"/>
      <c r="HO374" s="1051"/>
      <c r="HP374" s="1051"/>
      <c r="HQ374" s="1051"/>
      <c r="HR374" s="1051"/>
      <c r="HS374" s="1051"/>
      <c r="HT374" s="1051"/>
      <c r="HU374" s="1051"/>
      <c r="HV374" s="1051"/>
      <c r="HW374" s="1051"/>
      <c r="HX374" s="1051"/>
      <c r="HY374" s="1051"/>
      <c r="HZ374" s="1051"/>
      <c r="IA374" s="1051"/>
      <c r="IB374" s="1051"/>
      <c r="IC374" s="1051"/>
      <c r="ID374" s="1051"/>
      <c r="IE374" s="1051"/>
      <c r="IF374" s="1051"/>
      <c r="IG374" s="1051"/>
      <c r="IH374" s="1051"/>
      <c r="II374" s="1051"/>
      <c r="IJ374" s="1051"/>
      <c r="IK374" s="1051"/>
      <c r="IL374" s="1051"/>
      <c r="IM374" s="1051"/>
      <c r="IN374" s="1051"/>
      <c r="IO374" s="1051"/>
      <c r="IP374" s="1051"/>
      <c r="IQ374" s="1051"/>
      <c r="IR374" s="1051"/>
      <c r="IS374" s="1051"/>
      <c r="IT374" s="1051"/>
      <c r="IU374" s="1051"/>
      <c r="IV374" s="1051"/>
    </row>
    <row r="375" spans="1:256" x14ac:dyDescent="0.2">
      <c r="A375" s="1041" t="s">
        <v>694</v>
      </c>
      <c r="B375" s="1041" t="s">
        <v>764</v>
      </c>
      <c r="C375" s="1043">
        <v>628000</v>
      </c>
      <c r="D375" s="1078">
        <v>628000</v>
      </c>
      <c r="E375" s="1052">
        <f>19564+13755+526984</f>
        <v>560303</v>
      </c>
      <c r="F375" s="1045">
        <f t="shared" si="22"/>
        <v>0.8922022292993631</v>
      </c>
    </row>
    <row r="376" spans="1:256" x14ac:dyDescent="0.2">
      <c r="A376" s="1564" t="s">
        <v>94</v>
      </c>
      <c r="B376" s="1564"/>
      <c r="C376" s="1043">
        <f>SUM(C375:C375)</f>
        <v>628000</v>
      </c>
      <c r="D376" s="1043">
        <f>SUM(D375:D375)</f>
        <v>628000</v>
      </c>
      <c r="E376" s="1043">
        <f>SUM(E375:E375)</f>
        <v>560303</v>
      </c>
      <c r="F376" s="1045">
        <f t="shared" si="22"/>
        <v>0.8922022292993631</v>
      </c>
      <c r="G376" s="1051"/>
      <c r="H376" s="1051"/>
      <c r="I376" s="1051"/>
      <c r="J376" s="1051"/>
      <c r="K376" s="1051"/>
      <c r="L376" s="1051"/>
      <c r="M376" s="1051"/>
      <c r="N376" s="1051"/>
      <c r="O376" s="1051"/>
      <c r="P376" s="1051"/>
      <c r="Q376" s="1051"/>
      <c r="R376" s="1051"/>
      <c r="S376" s="1051"/>
      <c r="T376" s="1051"/>
      <c r="U376" s="1051"/>
      <c r="V376" s="1051"/>
      <c r="W376" s="1051"/>
      <c r="X376" s="1051"/>
      <c r="Y376" s="1051"/>
      <c r="Z376" s="1051"/>
      <c r="AA376" s="1051"/>
      <c r="AB376" s="1051"/>
      <c r="AC376" s="1051"/>
      <c r="AD376" s="1051"/>
      <c r="AE376" s="1051"/>
      <c r="AF376" s="1051"/>
      <c r="AG376" s="1051"/>
      <c r="AH376" s="1051"/>
      <c r="AI376" s="1051"/>
      <c r="AJ376" s="1051"/>
      <c r="AK376" s="1051"/>
      <c r="AL376" s="1051"/>
      <c r="AM376" s="1051"/>
      <c r="AN376" s="1051"/>
      <c r="AO376" s="1051"/>
      <c r="AP376" s="1051"/>
      <c r="AQ376" s="1051"/>
      <c r="AR376" s="1051"/>
      <c r="AS376" s="1051"/>
      <c r="AT376" s="1051"/>
      <c r="AU376" s="1051"/>
      <c r="AV376" s="1051"/>
      <c r="AW376" s="1051"/>
      <c r="AX376" s="1051"/>
      <c r="AY376" s="1051"/>
      <c r="AZ376" s="1051"/>
      <c r="BA376" s="1051"/>
      <c r="BB376" s="1051"/>
      <c r="BC376" s="1051"/>
      <c r="BD376" s="1051"/>
      <c r="BE376" s="1051"/>
      <c r="BF376" s="1051"/>
      <c r="BG376" s="1051"/>
      <c r="BH376" s="1051"/>
      <c r="BI376" s="1051"/>
      <c r="BJ376" s="1051"/>
      <c r="BK376" s="1051"/>
      <c r="BL376" s="1051"/>
      <c r="BM376" s="1051"/>
      <c r="BN376" s="1051"/>
      <c r="BO376" s="1051"/>
      <c r="BP376" s="1051"/>
      <c r="BQ376" s="1051"/>
      <c r="BR376" s="1051"/>
      <c r="BS376" s="1051"/>
      <c r="BT376" s="1051"/>
      <c r="BU376" s="1051"/>
      <c r="BV376" s="1051"/>
      <c r="BW376" s="1051"/>
      <c r="BX376" s="1051"/>
      <c r="BY376" s="1051"/>
      <c r="BZ376" s="1051"/>
      <c r="CA376" s="1051"/>
      <c r="CB376" s="1051"/>
      <c r="CC376" s="1051"/>
      <c r="CD376" s="1051"/>
      <c r="CE376" s="1051"/>
      <c r="CF376" s="1051"/>
      <c r="CG376" s="1051"/>
      <c r="CH376" s="1051"/>
      <c r="CI376" s="1051"/>
      <c r="CJ376" s="1051"/>
      <c r="CK376" s="1051"/>
      <c r="CL376" s="1051"/>
      <c r="CM376" s="1051"/>
      <c r="CN376" s="1051"/>
      <c r="CO376" s="1051"/>
      <c r="CP376" s="1051"/>
      <c r="CQ376" s="1051"/>
      <c r="CR376" s="1051"/>
      <c r="CS376" s="1051"/>
      <c r="CT376" s="1051"/>
      <c r="CU376" s="1051"/>
      <c r="CV376" s="1051"/>
      <c r="CW376" s="1051"/>
      <c r="CX376" s="1051"/>
      <c r="CY376" s="1051"/>
      <c r="CZ376" s="1051"/>
      <c r="DA376" s="1051"/>
      <c r="DB376" s="1051"/>
      <c r="DC376" s="1051"/>
      <c r="DD376" s="1051"/>
      <c r="DE376" s="1051"/>
      <c r="DF376" s="1051"/>
      <c r="DG376" s="1051"/>
      <c r="DH376" s="1051"/>
      <c r="DI376" s="1051"/>
      <c r="DJ376" s="1051"/>
      <c r="DK376" s="1051"/>
      <c r="DL376" s="1051"/>
      <c r="DM376" s="1051"/>
      <c r="DN376" s="1051"/>
      <c r="DO376" s="1051"/>
      <c r="DP376" s="1051"/>
      <c r="DQ376" s="1051"/>
      <c r="DR376" s="1051"/>
      <c r="DS376" s="1051"/>
      <c r="DT376" s="1051"/>
      <c r="DU376" s="1051"/>
      <c r="DV376" s="1051"/>
      <c r="DW376" s="1051"/>
      <c r="DX376" s="1051"/>
      <c r="DY376" s="1051"/>
      <c r="DZ376" s="1051"/>
      <c r="EA376" s="1051"/>
      <c r="EB376" s="1051"/>
      <c r="EC376" s="1051"/>
      <c r="ED376" s="1051"/>
      <c r="EE376" s="1051"/>
      <c r="EF376" s="1051"/>
      <c r="EG376" s="1051"/>
      <c r="EH376" s="1051"/>
      <c r="EI376" s="1051"/>
      <c r="EJ376" s="1051"/>
      <c r="EK376" s="1051"/>
      <c r="EL376" s="1051"/>
      <c r="EM376" s="1051"/>
      <c r="EN376" s="1051"/>
      <c r="EO376" s="1051"/>
      <c r="EP376" s="1051"/>
      <c r="EQ376" s="1051"/>
      <c r="ER376" s="1051"/>
      <c r="ES376" s="1051"/>
      <c r="ET376" s="1051"/>
      <c r="EU376" s="1051"/>
      <c r="EV376" s="1051"/>
      <c r="EW376" s="1051"/>
      <c r="EX376" s="1051"/>
      <c r="EY376" s="1051"/>
      <c r="EZ376" s="1051"/>
      <c r="FA376" s="1051"/>
      <c r="FB376" s="1051"/>
      <c r="FC376" s="1051"/>
      <c r="FD376" s="1051"/>
      <c r="FE376" s="1051"/>
      <c r="FF376" s="1051"/>
      <c r="FG376" s="1051"/>
      <c r="FH376" s="1051"/>
      <c r="FI376" s="1051"/>
      <c r="FJ376" s="1051"/>
      <c r="FK376" s="1051"/>
      <c r="FL376" s="1051"/>
      <c r="FM376" s="1051"/>
      <c r="FN376" s="1051"/>
      <c r="FO376" s="1051"/>
      <c r="FP376" s="1051"/>
      <c r="FQ376" s="1051"/>
      <c r="FR376" s="1051"/>
      <c r="FS376" s="1051"/>
      <c r="FT376" s="1051"/>
      <c r="FU376" s="1051"/>
      <c r="FV376" s="1051"/>
      <c r="FW376" s="1051"/>
      <c r="FX376" s="1051"/>
      <c r="FY376" s="1051"/>
      <c r="FZ376" s="1051"/>
      <c r="GA376" s="1051"/>
      <c r="GB376" s="1051"/>
      <c r="GC376" s="1051"/>
      <c r="GD376" s="1051"/>
      <c r="GE376" s="1051"/>
      <c r="GF376" s="1051"/>
      <c r="GG376" s="1051"/>
      <c r="GH376" s="1051"/>
      <c r="GI376" s="1051"/>
      <c r="GJ376" s="1051"/>
      <c r="GK376" s="1051"/>
      <c r="GL376" s="1051"/>
      <c r="GM376" s="1051"/>
      <c r="GN376" s="1051"/>
      <c r="GO376" s="1051"/>
      <c r="GP376" s="1051"/>
      <c r="GQ376" s="1051"/>
      <c r="GR376" s="1051"/>
      <c r="GS376" s="1051"/>
      <c r="GT376" s="1051"/>
      <c r="GU376" s="1051"/>
      <c r="GV376" s="1051"/>
      <c r="GW376" s="1051"/>
      <c r="GX376" s="1051"/>
      <c r="GY376" s="1051"/>
      <c r="GZ376" s="1051"/>
      <c r="HA376" s="1051"/>
      <c r="HB376" s="1051"/>
      <c r="HC376" s="1051"/>
      <c r="HD376" s="1051"/>
      <c r="HE376" s="1051"/>
      <c r="HF376" s="1051"/>
      <c r="HG376" s="1051"/>
      <c r="HH376" s="1051"/>
      <c r="HI376" s="1051"/>
      <c r="HJ376" s="1051"/>
      <c r="HK376" s="1051"/>
      <c r="HL376" s="1051"/>
      <c r="HM376" s="1051"/>
      <c r="HN376" s="1051"/>
      <c r="HO376" s="1051"/>
      <c r="HP376" s="1051"/>
      <c r="HQ376" s="1051"/>
      <c r="HR376" s="1051"/>
      <c r="HS376" s="1051"/>
      <c r="HT376" s="1051"/>
      <c r="HU376" s="1051"/>
      <c r="HV376" s="1051"/>
      <c r="HW376" s="1051"/>
      <c r="HX376" s="1051"/>
      <c r="HY376" s="1051"/>
      <c r="HZ376" s="1051"/>
      <c r="IA376" s="1051"/>
      <c r="IB376" s="1051"/>
      <c r="IC376" s="1051"/>
      <c r="ID376" s="1051"/>
      <c r="IE376" s="1051"/>
      <c r="IF376" s="1051"/>
      <c r="IG376" s="1051"/>
      <c r="IH376" s="1051"/>
      <c r="II376" s="1051"/>
      <c r="IJ376" s="1051"/>
      <c r="IK376" s="1051"/>
      <c r="IL376" s="1051"/>
      <c r="IM376" s="1051"/>
      <c r="IN376" s="1051"/>
      <c r="IO376" s="1051"/>
      <c r="IP376" s="1051"/>
      <c r="IQ376" s="1051"/>
      <c r="IR376" s="1051"/>
      <c r="IS376" s="1051"/>
      <c r="IT376" s="1051"/>
      <c r="IU376" s="1051"/>
      <c r="IV376" s="1051"/>
    </row>
    <row r="377" spans="1:256" x14ac:dyDescent="0.2">
      <c r="A377" s="1041" t="s">
        <v>695</v>
      </c>
      <c r="B377" s="1041" t="s">
        <v>806</v>
      </c>
      <c r="C377" s="1105">
        <v>900000</v>
      </c>
      <c r="D377" s="1052">
        <v>753000</v>
      </c>
      <c r="E377" s="1052">
        <v>663924</v>
      </c>
      <c r="F377" s="1045">
        <f t="shared" si="22"/>
        <v>0.88170517928286851</v>
      </c>
    </row>
    <row r="378" spans="1:256" x14ac:dyDescent="0.2">
      <c r="A378" s="1041" t="s">
        <v>706</v>
      </c>
      <c r="B378" s="1041" t="s">
        <v>707</v>
      </c>
      <c r="C378" s="1105">
        <v>500000</v>
      </c>
      <c r="D378" s="1115">
        <v>500000</v>
      </c>
      <c r="E378" s="1052">
        <v>322957</v>
      </c>
      <c r="F378" s="1045">
        <f t="shared" si="22"/>
        <v>0.64591399999999999</v>
      </c>
    </row>
    <row r="379" spans="1:256" x14ac:dyDescent="0.2">
      <c r="A379" s="1041" t="s">
        <v>696</v>
      </c>
      <c r="B379" s="1041" t="s">
        <v>184</v>
      </c>
      <c r="C379" s="1105">
        <v>30000</v>
      </c>
      <c r="D379" s="1115">
        <v>55000</v>
      </c>
      <c r="E379" s="1052">
        <v>35633</v>
      </c>
      <c r="F379" s="1045">
        <f t="shared" si="22"/>
        <v>0.64787272727272727</v>
      </c>
    </row>
    <row r="380" spans="1:256" x14ac:dyDescent="0.2">
      <c r="A380" s="1041" t="s">
        <v>811</v>
      </c>
      <c r="B380" s="1041" t="s">
        <v>89</v>
      </c>
      <c r="C380" s="1105">
        <v>200000</v>
      </c>
      <c r="D380" s="1115">
        <v>200000</v>
      </c>
      <c r="E380" s="1052">
        <v>179661</v>
      </c>
      <c r="F380" s="1045">
        <f t="shared" si="22"/>
        <v>0.89830500000000002</v>
      </c>
    </row>
    <row r="381" spans="1:256" x14ac:dyDescent="0.2">
      <c r="A381" s="1041" t="s">
        <v>708</v>
      </c>
      <c r="B381" s="1041" t="s">
        <v>264</v>
      </c>
      <c r="C381" s="1105">
        <v>1400000</v>
      </c>
      <c r="D381" s="1115">
        <v>1400000</v>
      </c>
      <c r="E381" s="1052">
        <v>1018612</v>
      </c>
      <c r="F381" s="1045">
        <f t="shared" si="22"/>
        <v>0.72758</v>
      </c>
    </row>
    <row r="382" spans="1:256" x14ac:dyDescent="0.2">
      <c r="A382" s="1041" t="s">
        <v>709</v>
      </c>
      <c r="B382" s="1041" t="s">
        <v>90</v>
      </c>
      <c r="C382" s="1105">
        <v>150000</v>
      </c>
      <c r="D382" s="1115">
        <v>150000</v>
      </c>
      <c r="E382" s="1052">
        <v>36400</v>
      </c>
      <c r="F382" s="1045">
        <f t="shared" si="22"/>
        <v>0.24266666666666667</v>
      </c>
    </row>
    <row r="383" spans="1:256" x14ac:dyDescent="0.2">
      <c r="A383" s="1041" t="s">
        <v>697</v>
      </c>
      <c r="B383" s="1041" t="s">
        <v>603</v>
      </c>
      <c r="C383" s="1105">
        <v>3100000</v>
      </c>
      <c r="D383" s="1101">
        <v>2334098</v>
      </c>
      <c r="E383" s="1101">
        <v>2149035</v>
      </c>
      <c r="F383" s="1045">
        <f t="shared" si="22"/>
        <v>0.92071326910866635</v>
      </c>
    </row>
    <row r="384" spans="1:256" x14ac:dyDescent="0.2">
      <c r="A384" s="1041" t="s">
        <v>698</v>
      </c>
      <c r="B384" s="1041" t="s">
        <v>699</v>
      </c>
      <c r="C384" s="1105">
        <v>1050000</v>
      </c>
      <c r="D384" s="1052">
        <v>750000</v>
      </c>
      <c r="E384" s="1052">
        <v>89540</v>
      </c>
      <c r="F384" s="1045">
        <f t="shared" si="22"/>
        <v>0.11938666666666667</v>
      </c>
    </row>
    <row r="385" spans="1:256" x14ac:dyDescent="0.2">
      <c r="A385" s="1041" t="s">
        <v>703</v>
      </c>
      <c r="B385" s="1041" t="s">
        <v>557</v>
      </c>
      <c r="C385" s="1105">
        <v>1947000</v>
      </c>
      <c r="D385" s="1115">
        <v>1947000</v>
      </c>
      <c r="E385" s="1052">
        <v>617417</v>
      </c>
      <c r="F385" s="1045">
        <f t="shared" si="22"/>
        <v>0.31711196712891626</v>
      </c>
    </row>
    <row r="386" spans="1:256" x14ac:dyDescent="0.2">
      <c r="A386" s="1041" t="s">
        <v>720</v>
      </c>
      <c r="B386" s="1041" t="s">
        <v>782</v>
      </c>
      <c r="C386" s="1105">
        <v>1000000</v>
      </c>
      <c r="D386" s="1052">
        <v>1000000</v>
      </c>
      <c r="E386" s="1052">
        <v>332247</v>
      </c>
      <c r="F386" s="1045">
        <f t="shared" si="22"/>
        <v>0.33224700000000001</v>
      </c>
    </row>
    <row r="387" spans="1:256" x14ac:dyDescent="0.2">
      <c r="A387" s="1548" t="s">
        <v>168</v>
      </c>
      <c r="B387" s="1548"/>
      <c r="C387" s="1043">
        <f>SUM(C377:C386)</f>
        <v>10277000</v>
      </c>
      <c r="D387" s="1043">
        <f>SUM(D377:D386)</f>
        <v>9089098</v>
      </c>
      <c r="E387" s="1043">
        <f>SUM(E377:E386)</f>
        <v>5445426</v>
      </c>
      <c r="F387" s="1045">
        <f t="shared" si="22"/>
        <v>0.59911621593253805</v>
      </c>
      <c r="G387" s="1051"/>
      <c r="H387" s="1051"/>
      <c r="I387" s="1051"/>
      <c r="J387" s="1051"/>
      <c r="K387" s="1051"/>
      <c r="L387" s="1051"/>
      <c r="M387" s="1051"/>
      <c r="N387" s="1051"/>
      <c r="O387" s="1051"/>
      <c r="P387" s="1051"/>
      <c r="Q387" s="1051"/>
      <c r="R387" s="1051"/>
      <c r="S387" s="1051"/>
      <c r="T387" s="1051"/>
      <c r="U387" s="1051"/>
      <c r="V387" s="1051"/>
      <c r="W387" s="1051"/>
      <c r="X387" s="1051"/>
      <c r="Y387" s="1051"/>
      <c r="Z387" s="1051"/>
      <c r="AA387" s="1051"/>
      <c r="AB387" s="1051"/>
      <c r="AC387" s="1051"/>
      <c r="AD387" s="1051"/>
      <c r="AE387" s="1051"/>
      <c r="AF387" s="1051"/>
      <c r="AG387" s="1051"/>
      <c r="AH387" s="1051"/>
      <c r="AI387" s="1051"/>
      <c r="AJ387" s="1051"/>
      <c r="AK387" s="1051"/>
      <c r="AL387" s="1051"/>
      <c r="AM387" s="1051"/>
      <c r="AN387" s="1051"/>
      <c r="AO387" s="1051"/>
      <c r="AP387" s="1051"/>
      <c r="AQ387" s="1051"/>
      <c r="AR387" s="1051"/>
      <c r="AS387" s="1051"/>
      <c r="AT387" s="1051"/>
      <c r="AU387" s="1051"/>
      <c r="AV387" s="1051"/>
      <c r="AW387" s="1051"/>
      <c r="AX387" s="1051"/>
      <c r="AY387" s="1051"/>
      <c r="AZ387" s="1051"/>
      <c r="BA387" s="1051"/>
      <c r="BB387" s="1051"/>
      <c r="BC387" s="1051"/>
      <c r="BD387" s="1051"/>
      <c r="BE387" s="1051"/>
      <c r="BF387" s="1051"/>
      <c r="BG387" s="1051"/>
      <c r="BH387" s="1051"/>
      <c r="BI387" s="1051"/>
      <c r="BJ387" s="1051"/>
      <c r="BK387" s="1051"/>
      <c r="BL387" s="1051"/>
      <c r="BM387" s="1051"/>
      <c r="BN387" s="1051"/>
      <c r="BO387" s="1051"/>
      <c r="BP387" s="1051"/>
      <c r="BQ387" s="1051"/>
      <c r="BR387" s="1051"/>
      <c r="BS387" s="1051"/>
      <c r="BT387" s="1051"/>
      <c r="BU387" s="1051"/>
      <c r="BV387" s="1051"/>
      <c r="BW387" s="1051"/>
      <c r="BX387" s="1051"/>
      <c r="BY387" s="1051"/>
      <c r="BZ387" s="1051"/>
      <c r="CA387" s="1051"/>
      <c r="CB387" s="1051"/>
      <c r="CC387" s="1051"/>
      <c r="CD387" s="1051"/>
      <c r="CE387" s="1051"/>
      <c r="CF387" s="1051"/>
      <c r="CG387" s="1051"/>
      <c r="CH387" s="1051"/>
      <c r="CI387" s="1051"/>
      <c r="CJ387" s="1051"/>
      <c r="CK387" s="1051"/>
      <c r="CL387" s="1051"/>
      <c r="CM387" s="1051"/>
      <c r="CN387" s="1051"/>
      <c r="CO387" s="1051"/>
      <c r="CP387" s="1051"/>
      <c r="CQ387" s="1051"/>
      <c r="CR387" s="1051"/>
      <c r="CS387" s="1051"/>
      <c r="CT387" s="1051"/>
      <c r="CU387" s="1051"/>
      <c r="CV387" s="1051"/>
      <c r="CW387" s="1051"/>
      <c r="CX387" s="1051"/>
      <c r="CY387" s="1051"/>
      <c r="CZ387" s="1051"/>
      <c r="DA387" s="1051"/>
      <c r="DB387" s="1051"/>
      <c r="DC387" s="1051"/>
      <c r="DD387" s="1051"/>
      <c r="DE387" s="1051"/>
      <c r="DF387" s="1051"/>
      <c r="DG387" s="1051"/>
      <c r="DH387" s="1051"/>
      <c r="DI387" s="1051"/>
      <c r="DJ387" s="1051"/>
      <c r="DK387" s="1051"/>
      <c r="DL387" s="1051"/>
      <c r="DM387" s="1051"/>
      <c r="DN387" s="1051"/>
      <c r="DO387" s="1051"/>
      <c r="DP387" s="1051"/>
      <c r="DQ387" s="1051"/>
      <c r="DR387" s="1051"/>
      <c r="DS387" s="1051"/>
      <c r="DT387" s="1051"/>
      <c r="DU387" s="1051"/>
      <c r="DV387" s="1051"/>
      <c r="DW387" s="1051"/>
      <c r="DX387" s="1051"/>
      <c r="DY387" s="1051"/>
      <c r="DZ387" s="1051"/>
      <c r="EA387" s="1051"/>
      <c r="EB387" s="1051"/>
      <c r="EC387" s="1051"/>
      <c r="ED387" s="1051"/>
      <c r="EE387" s="1051"/>
      <c r="EF387" s="1051"/>
      <c r="EG387" s="1051"/>
      <c r="EH387" s="1051"/>
      <c r="EI387" s="1051"/>
      <c r="EJ387" s="1051"/>
      <c r="EK387" s="1051"/>
      <c r="EL387" s="1051"/>
      <c r="EM387" s="1051"/>
      <c r="EN387" s="1051"/>
      <c r="EO387" s="1051"/>
      <c r="EP387" s="1051"/>
      <c r="EQ387" s="1051"/>
      <c r="ER387" s="1051"/>
      <c r="ES387" s="1051"/>
      <c r="ET387" s="1051"/>
      <c r="EU387" s="1051"/>
      <c r="EV387" s="1051"/>
      <c r="EW387" s="1051"/>
      <c r="EX387" s="1051"/>
      <c r="EY387" s="1051"/>
      <c r="EZ387" s="1051"/>
      <c r="FA387" s="1051"/>
      <c r="FB387" s="1051"/>
      <c r="FC387" s="1051"/>
      <c r="FD387" s="1051"/>
      <c r="FE387" s="1051"/>
      <c r="FF387" s="1051"/>
      <c r="FG387" s="1051"/>
      <c r="FH387" s="1051"/>
      <c r="FI387" s="1051"/>
      <c r="FJ387" s="1051"/>
      <c r="FK387" s="1051"/>
      <c r="FL387" s="1051"/>
      <c r="FM387" s="1051"/>
      <c r="FN387" s="1051"/>
      <c r="FO387" s="1051"/>
      <c r="FP387" s="1051"/>
      <c r="FQ387" s="1051"/>
      <c r="FR387" s="1051"/>
      <c r="FS387" s="1051"/>
      <c r="FT387" s="1051"/>
      <c r="FU387" s="1051"/>
      <c r="FV387" s="1051"/>
      <c r="FW387" s="1051"/>
      <c r="FX387" s="1051"/>
      <c r="FY387" s="1051"/>
      <c r="FZ387" s="1051"/>
      <c r="GA387" s="1051"/>
      <c r="GB387" s="1051"/>
      <c r="GC387" s="1051"/>
      <c r="GD387" s="1051"/>
      <c r="GE387" s="1051"/>
      <c r="GF387" s="1051"/>
      <c r="GG387" s="1051"/>
      <c r="GH387" s="1051"/>
      <c r="GI387" s="1051"/>
      <c r="GJ387" s="1051"/>
      <c r="GK387" s="1051"/>
      <c r="GL387" s="1051"/>
      <c r="GM387" s="1051"/>
      <c r="GN387" s="1051"/>
      <c r="GO387" s="1051"/>
      <c r="GP387" s="1051"/>
      <c r="GQ387" s="1051"/>
      <c r="GR387" s="1051"/>
      <c r="GS387" s="1051"/>
      <c r="GT387" s="1051"/>
      <c r="GU387" s="1051"/>
      <c r="GV387" s="1051"/>
      <c r="GW387" s="1051"/>
      <c r="GX387" s="1051"/>
      <c r="GY387" s="1051"/>
      <c r="GZ387" s="1051"/>
      <c r="HA387" s="1051"/>
      <c r="HB387" s="1051"/>
      <c r="HC387" s="1051"/>
      <c r="HD387" s="1051"/>
      <c r="HE387" s="1051"/>
      <c r="HF387" s="1051"/>
      <c r="HG387" s="1051"/>
      <c r="HH387" s="1051"/>
      <c r="HI387" s="1051"/>
      <c r="HJ387" s="1051"/>
      <c r="HK387" s="1051"/>
      <c r="HL387" s="1051"/>
      <c r="HM387" s="1051"/>
      <c r="HN387" s="1051"/>
      <c r="HO387" s="1051"/>
      <c r="HP387" s="1051"/>
      <c r="HQ387" s="1051"/>
      <c r="HR387" s="1051"/>
      <c r="HS387" s="1051"/>
      <c r="HT387" s="1051"/>
      <c r="HU387" s="1051"/>
      <c r="HV387" s="1051"/>
      <c r="HW387" s="1051"/>
      <c r="HX387" s="1051"/>
      <c r="HY387" s="1051"/>
      <c r="HZ387" s="1051"/>
      <c r="IA387" s="1051"/>
      <c r="IB387" s="1051"/>
      <c r="IC387" s="1051"/>
      <c r="ID387" s="1051"/>
      <c r="IE387" s="1051"/>
      <c r="IF387" s="1051"/>
      <c r="IG387" s="1051"/>
      <c r="IH387" s="1051"/>
      <c r="II387" s="1051"/>
      <c r="IJ387" s="1051"/>
      <c r="IK387" s="1051"/>
      <c r="IL387" s="1051"/>
      <c r="IM387" s="1051"/>
      <c r="IN387" s="1051"/>
      <c r="IO387" s="1051"/>
      <c r="IP387" s="1051"/>
      <c r="IQ387" s="1051"/>
      <c r="IR387" s="1051"/>
      <c r="IS387" s="1051"/>
      <c r="IT387" s="1051"/>
      <c r="IU387" s="1051"/>
      <c r="IV387" s="1051"/>
    </row>
    <row r="388" spans="1:256" x14ac:dyDescent="0.2">
      <c r="A388" s="1041" t="s">
        <v>611</v>
      </c>
      <c r="B388" s="1103" t="s">
        <v>783</v>
      </c>
      <c r="C388" s="1043">
        <v>0</v>
      </c>
      <c r="D388" s="1043">
        <v>100000</v>
      </c>
      <c r="E388" s="1043">
        <v>98347</v>
      </c>
      <c r="F388" s="1045">
        <f t="shared" si="22"/>
        <v>0.98346999999999996</v>
      </c>
      <c r="G388" s="1051"/>
      <c r="H388" s="1051"/>
      <c r="I388" s="1051"/>
      <c r="J388" s="1051"/>
      <c r="K388" s="1051"/>
      <c r="L388" s="1051"/>
      <c r="M388" s="1051"/>
      <c r="N388" s="1051"/>
      <c r="O388" s="1051"/>
      <c r="P388" s="1051"/>
      <c r="Q388" s="1051"/>
      <c r="R388" s="1051"/>
      <c r="S388" s="1051"/>
      <c r="T388" s="1051"/>
      <c r="U388" s="1051"/>
      <c r="V388" s="1051"/>
      <c r="W388" s="1051"/>
      <c r="X388" s="1051"/>
      <c r="Y388" s="1051"/>
      <c r="Z388" s="1051"/>
      <c r="AA388" s="1051"/>
      <c r="AB388" s="1051"/>
      <c r="AC388" s="1051"/>
      <c r="AD388" s="1051"/>
      <c r="AE388" s="1051"/>
      <c r="AF388" s="1051"/>
      <c r="AG388" s="1051"/>
      <c r="AH388" s="1051"/>
      <c r="AI388" s="1051"/>
      <c r="AJ388" s="1051"/>
      <c r="AK388" s="1051"/>
      <c r="AL388" s="1051"/>
      <c r="AM388" s="1051"/>
      <c r="AN388" s="1051"/>
      <c r="AO388" s="1051"/>
      <c r="AP388" s="1051"/>
      <c r="AQ388" s="1051"/>
      <c r="AR388" s="1051"/>
      <c r="AS388" s="1051"/>
      <c r="AT388" s="1051"/>
      <c r="AU388" s="1051"/>
      <c r="AV388" s="1051"/>
      <c r="AW388" s="1051"/>
      <c r="AX388" s="1051"/>
      <c r="AY388" s="1051"/>
      <c r="AZ388" s="1051"/>
      <c r="BA388" s="1051"/>
      <c r="BB388" s="1051"/>
      <c r="BC388" s="1051"/>
      <c r="BD388" s="1051"/>
      <c r="BE388" s="1051"/>
      <c r="BF388" s="1051"/>
      <c r="BG388" s="1051"/>
      <c r="BH388" s="1051"/>
      <c r="BI388" s="1051"/>
      <c r="BJ388" s="1051"/>
      <c r="BK388" s="1051"/>
      <c r="BL388" s="1051"/>
      <c r="BM388" s="1051"/>
      <c r="BN388" s="1051"/>
      <c r="BO388" s="1051"/>
      <c r="BP388" s="1051"/>
      <c r="BQ388" s="1051"/>
      <c r="BR388" s="1051"/>
      <c r="BS388" s="1051"/>
      <c r="BT388" s="1051"/>
      <c r="BU388" s="1051"/>
      <c r="BV388" s="1051"/>
      <c r="BW388" s="1051"/>
      <c r="BX388" s="1051"/>
      <c r="BY388" s="1051"/>
      <c r="BZ388" s="1051"/>
      <c r="CA388" s="1051"/>
      <c r="CB388" s="1051"/>
      <c r="CC388" s="1051"/>
      <c r="CD388" s="1051"/>
      <c r="CE388" s="1051"/>
      <c r="CF388" s="1051"/>
      <c r="CG388" s="1051"/>
      <c r="CH388" s="1051"/>
      <c r="CI388" s="1051"/>
      <c r="CJ388" s="1051"/>
      <c r="CK388" s="1051"/>
      <c r="CL388" s="1051"/>
      <c r="CM388" s="1051"/>
      <c r="CN388" s="1051"/>
      <c r="CO388" s="1051"/>
      <c r="CP388" s="1051"/>
      <c r="CQ388" s="1051"/>
      <c r="CR388" s="1051"/>
      <c r="CS388" s="1051"/>
      <c r="CT388" s="1051"/>
      <c r="CU388" s="1051"/>
      <c r="CV388" s="1051"/>
      <c r="CW388" s="1051"/>
      <c r="CX388" s="1051"/>
      <c r="CY388" s="1051"/>
      <c r="CZ388" s="1051"/>
      <c r="DA388" s="1051"/>
      <c r="DB388" s="1051"/>
      <c r="DC388" s="1051"/>
      <c r="DD388" s="1051"/>
      <c r="DE388" s="1051"/>
      <c r="DF388" s="1051"/>
      <c r="DG388" s="1051"/>
      <c r="DH388" s="1051"/>
      <c r="DI388" s="1051"/>
      <c r="DJ388" s="1051"/>
      <c r="DK388" s="1051"/>
      <c r="DL388" s="1051"/>
      <c r="DM388" s="1051"/>
      <c r="DN388" s="1051"/>
      <c r="DO388" s="1051"/>
      <c r="DP388" s="1051"/>
      <c r="DQ388" s="1051"/>
      <c r="DR388" s="1051"/>
      <c r="DS388" s="1051"/>
      <c r="DT388" s="1051"/>
      <c r="DU388" s="1051"/>
      <c r="DV388" s="1051"/>
      <c r="DW388" s="1051"/>
      <c r="DX388" s="1051"/>
      <c r="DY388" s="1051"/>
      <c r="DZ388" s="1051"/>
      <c r="EA388" s="1051"/>
      <c r="EB388" s="1051"/>
      <c r="EC388" s="1051"/>
      <c r="ED388" s="1051"/>
      <c r="EE388" s="1051"/>
      <c r="EF388" s="1051"/>
      <c r="EG388" s="1051"/>
      <c r="EH388" s="1051"/>
      <c r="EI388" s="1051"/>
      <c r="EJ388" s="1051"/>
      <c r="EK388" s="1051"/>
      <c r="EL388" s="1051"/>
      <c r="EM388" s="1051"/>
      <c r="EN388" s="1051"/>
      <c r="EO388" s="1051"/>
      <c r="EP388" s="1051"/>
      <c r="EQ388" s="1051"/>
      <c r="ER388" s="1051"/>
      <c r="ES388" s="1051"/>
      <c r="ET388" s="1051"/>
      <c r="EU388" s="1051"/>
      <c r="EV388" s="1051"/>
      <c r="EW388" s="1051"/>
      <c r="EX388" s="1051"/>
      <c r="EY388" s="1051"/>
      <c r="EZ388" s="1051"/>
      <c r="FA388" s="1051"/>
      <c r="FB388" s="1051"/>
      <c r="FC388" s="1051"/>
      <c r="FD388" s="1051"/>
      <c r="FE388" s="1051"/>
      <c r="FF388" s="1051"/>
      <c r="FG388" s="1051"/>
      <c r="FH388" s="1051"/>
      <c r="FI388" s="1051"/>
      <c r="FJ388" s="1051"/>
      <c r="FK388" s="1051"/>
      <c r="FL388" s="1051"/>
      <c r="FM388" s="1051"/>
      <c r="FN388" s="1051"/>
      <c r="FO388" s="1051"/>
      <c r="FP388" s="1051"/>
      <c r="FQ388" s="1051"/>
      <c r="FR388" s="1051"/>
      <c r="FS388" s="1051"/>
      <c r="FT388" s="1051"/>
      <c r="FU388" s="1051"/>
      <c r="FV388" s="1051"/>
      <c r="FW388" s="1051"/>
      <c r="FX388" s="1051"/>
      <c r="FY388" s="1051"/>
      <c r="FZ388" s="1051"/>
      <c r="GA388" s="1051"/>
      <c r="GB388" s="1051"/>
      <c r="GC388" s="1051"/>
      <c r="GD388" s="1051"/>
      <c r="GE388" s="1051"/>
      <c r="GF388" s="1051"/>
      <c r="GG388" s="1051"/>
      <c r="GH388" s="1051"/>
      <c r="GI388" s="1051"/>
      <c r="GJ388" s="1051"/>
      <c r="GK388" s="1051"/>
      <c r="GL388" s="1051"/>
      <c r="GM388" s="1051"/>
      <c r="GN388" s="1051"/>
      <c r="GO388" s="1051"/>
      <c r="GP388" s="1051"/>
      <c r="GQ388" s="1051"/>
      <c r="GR388" s="1051"/>
      <c r="GS388" s="1051"/>
      <c r="GT388" s="1051"/>
      <c r="GU388" s="1051"/>
      <c r="GV388" s="1051"/>
      <c r="GW388" s="1051"/>
      <c r="GX388" s="1051"/>
      <c r="GY388" s="1051"/>
      <c r="GZ388" s="1051"/>
      <c r="HA388" s="1051"/>
      <c r="HB388" s="1051"/>
      <c r="HC388" s="1051"/>
      <c r="HD388" s="1051"/>
      <c r="HE388" s="1051"/>
      <c r="HF388" s="1051"/>
      <c r="HG388" s="1051"/>
      <c r="HH388" s="1051"/>
      <c r="HI388" s="1051"/>
      <c r="HJ388" s="1051"/>
      <c r="HK388" s="1051"/>
      <c r="HL388" s="1051"/>
      <c r="HM388" s="1051"/>
      <c r="HN388" s="1051"/>
      <c r="HO388" s="1051"/>
      <c r="HP388" s="1051"/>
      <c r="HQ388" s="1051"/>
      <c r="HR388" s="1051"/>
      <c r="HS388" s="1051"/>
      <c r="HT388" s="1051"/>
      <c r="HU388" s="1051"/>
      <c r="HV388" s="1051"/>
      <c r="HW388" s="1051"/>
      <c r="HX388" s="1051"/>
      <c r="HY388" s="1051"/>
      <c r="HZ388" s="1051"/>
      <c r="IA388" s="1051"/>
      <c r="IB388" s="1051"/>
      <c r="IC388" s="1051"/>
      <c r="ID388" s="1051"/>
      <c r="IE388" s="1051"/>
      <c r="IF388" s="1051"/>
      <c r="IG388" s="1051"/>
      <c r="IH388" s="1051"/>
      <c r="II388" s="1051"/>
      <c r="IJ388" s="1051"/>
      <c r="IK388" s="1051"/>
      <c r="IL388" s="1051"/>
      <c r="IM388" s="1051"/>
      <c r="IN388" s="1051"/>
      <c r="IO388" s="1051"/>
      <c r="IP388" s="1051"/>
      <c r="IQ388" s="1051"/>
      <c r="IR388" s="1051"/>
      <c r="IS388" s="1051"/>
      <c r="IT388" s="1051"/>
      <c r="IU388" s="1051"/>
      <c r="IV388" s="1051"/>
    </row>
    <row r="389" spans="1:256" x14ac:dyDescent="0.2">
      <c r="A389" s="1041" t="s">
        <v>613</v>
      </c>
      <c r="B389" s="1103" t="s">
        <v>768</v>
      </c>
      <c r="C389" s="1043">
        <v>0</v>
      </c>
      <c r="D389" s="1043">
        <v>27000</v>
      </c>
      <c r="E389" s="1043">
        <v>26554</v>
      </c>
      <c r="F389" s="1045">
        <f t="shared" si="22"/>
        <v>0.98348148148148151</v>
      </c>
      <c r="G389" s="1051"/>
      <c r="H389" s="1051"/>
      <c r="I389" s="1051"/>
      <c r="J389" s="1051"/>
      <c r="K389" s="1051"/>
      <c r="L389" s="1051"/>
      <c r="M389" s="1051"/>
      <c r="N389" s="1051"/>
      <c r="O389" s="1051"/>
      <c r="P389" s="1051"/>
      <c r="Q389" s="1051"/>
      <c r="R389" s="1051"/>
      <c r="S389" s="1051"/>
      <c r="T389" s="1051"/>
      <c r="U389" s="1051"/>
      <c r="V389" s="1051"/>
      <c r="W389" s="1051"/>
      <c r="X389" s="1051"/>
      <c r="Y389" s="1051"/>
      <c r="Z389" s="1051"/>
      <c r="AA389" s="1051"/>
      <c r="AB389" s="1051"/>
      <c r="AC389" s="1051"/>
      <c r="AD389" s="1051"/>
      <c r="AE389" s="1051"/>
      <c r="AF389" s="1051"/>
      <c r="AG389" s="1051"/>
      <c r="AH389" s="1051"/>
      <c r="AI389" s="1051"/>
      <c r="AJ389" s="1051"/>
      <c r="AK389" s="1051"/>
      <c r="AL389" s="1051"/>
      <c r="AM389" s="1051"/>
      <c r="AN389" s="1051"/>
      <c r="AO389" s="1051"/>
      <c r="AP389" s="1051"/>
      <c r="AQ389" s="1051"/>
      <c r="AR389" s="1051"/>
      <c r="AS389" s="1051"/>
      <c r="AT389" s="1051"/>
      <c r="AU389" s="1051"/>
      <c r="AV389" s="1051"/>
      <c r="AW389" s="1051"/>
      <c r="AX389" s="1051"/>
      <c r="AY389" s="1051"/>
      <c r="AZ389" s="1051"/>
      <c r="BA389" s="1051"/>
      <c r="BB389" s="1051"/>
      <c r="BC389" s="1051"/>
      <c r="BD389" s="1051"/>
      <c r="BE389" s="1051"/>
      <c r="BF389" s="1051"/>
      <c r="BG389" s="1051"/>
      <c r="BH389" s="1051"/>
      <c r="BI389" s="1051"/>
      <c r="BJ389" s="1051"/>
      <c r="BK389" s="1051"/>
      <c r="BL389" s="1051"/>
      <c r="BM389" s="1051"/>
      <c r="BN389" s="1051"/>
      <c r="BO389" s="1051"/>
      <c r="BP389" s="1051"/>
      <c r="BQ389" s="1051"/>
      <c r="BR389" s="1051"/>
      <c r="BS389" s="1051"/>
      <c r="BT389" s="1051"/>
      <c r="BU389" s="1051"/>
      <c r="BV389" s="1051"/>
      <c r="BW389" s="1051"/>
      <c r="BX389" s="1051"/>
      <c r="BY389" s="1051"/>
      <c r="BZ389" s="1051"/>
      <c r="CA389" s="1051"/>
      <c r="CB389" s="1051"/>
      <c r="CC389" s="1051"/>
      <c r="CD389" s="1051"/>
      <c r="CE389" s="1051"/>
      <c r="CF389" s="1051"/>
      <c r="CG389" s="1051"/>
      <c r="CH389" s="1051"/>
      <c r="CI389" s="1051"/>
      <c r="CJ389" s="1051"/>
      <c r="CK389" s="1051"/>
      <c r="CL389" s="1051"/>
      <c r="CM389" s="1051"/>
      <c r="CN389" s="1051"/>
      <c r="CO389" s="1051"/>
      <c r="CP389" s="1051"/>
      <c r="CQ389" s="1051"/>
      <c r="CR389" s="1051"/>
      <c r="CS389" s="1051"/>
      <c r="CT389" s="1051"/>
      <c r="CU389" s="1051"/>
      <c r="CV389" s="1051"/>
      <c r="CW389" s="1051"/>
      <c r="CX389" s="1051"/>
      <c r="CY389" s="1051"/>
      <c r="CZ389" s="1051"/>
      <c r="DA389" s="1051"/>
      <c r="DB389" s="1051"/>
      <c r="DC389" s="1051"/>
      <c r="DD389" s="1051"/>
      <c r="DE389" s="1051"/>
      <c r="DF389" s="1051"/>
      <c r="DG389" s="1051"/>
      <c r="DH389" s="1051"/>
      <c r="DI389" s="1051"/>
      <c r="DJ389" s="1051"/>
      <c r="DK389" s="1051"/>
      <c r="DL389" s="1051"/>
      <c r="DM389" s="1051"/>
      <c r="DN389" s="1051"/>
      <c r="DO389" s="1051"/>
      <c r="DP389" s="1051"/>
      <c r="DQ389" s="1051"/>
      <c r="DR389" s="1051"/>
      <c r="DS389" s="1051"/>
      <c r="DT389" s="1051"/>
      <c r="DU389" s="1051"/>
      <c r="DV389" s="1051"/>
      <c r="DW389" s="1051"/>
      <c r="DX389" s="1051"/>
      <c r="DY389" s="1051"/>
      <c r="DZ389" s="1051"/>
      <c r="EA389" s="1051"/>
      <c r="EB389" s="1051"/>
      <c r="EC389" s="1051"/>
      <c r="ED389" s="1051"/>
      <c r="EE389" s="1051"/>
      <c r="EF389" s="1051"/>
      <c r="EG389" s="1051"/>
      <c r="EH389" s="1051"/>
      <c r="EI389" s="1051"/>
      <c r="EJ389" s="1051"/>
      <c r="EK389" s="1051"/>
      <c r="EL389" s="1051"/>
      <c r="EM389" s="1051"/>
      <c r="EN389" s="1051"/>
      <c r="EO389" s="1051"/>
      <c r="EP389" s="1051"/>
      <c r="EQ389" s="1051"/>
      <c r="ER389" s="1051"/>
      <c r="ES389" s="1051"/>
      <c r="ET389" s="1051"/>
      <c r="EU389" s="1051"/>
      <c r="EV389" s="1051"/>
      <c r="EW389" s="1051"/>
      <c r="EX389" s="1051"/>
      <c r="EY389" s="1051"/>
      <c r="EZ389" s="1051"/>
      <c r="FA389" s="1051"/>
      <c r="FB389" s="1051"/>
      <c r="FC389" s="1051"/>
      <c r="FD389" s="1051"/>
      <c r="FE389" s="1051"/>
      <c r="FF389" s="1051"/>
      <c r="FG389" s="1051"/>
      <c r="FH389" s="1051"/>
      <c r="FI389" s="1051"/>
      <c r="FJ389" s="1051"/>
      <c r="FK389" s="1051"/>
      <c r="FL389" s="1051"/>
      <c r="FM389" s="1051"/>
      <c r="FN389" s="1051"/>
      <c r="FO389" s="1051"/>
      <c r="FP389" s="1051"/>
      <c r="FQ389" s="1051"/>
      <c r="FR389" s="1051"/>
      <c r="FS389" s="1051"/>
      <c r="FT389" s="1051"/>
      <c r="FU389" s="1051"/>
      <c r="FV389" s="1051"/>
      <c r="FW389" s="1051"/>
      <c r="FX389" s="1051"/>
      <c r="FY389" s="1051"/>
      <c r="FZ389" s="1051"/>
      <c r="GA389" s="1051"/>
      <c r="GB389" s="1051"/>
      <c r="GC389" s="1051"/>
      <c r="GD389" s="1051"/>
      <c r="GE389" s="1051"/>
      <c r="GF389" s="1051"/>
      <c r="GG389" s="1051"/>
      <c r="GH389" s="1051"/>
      <c r="GI389" s="1051"/>
      <c r="GJ389" s="1051"/>
      <c r="GK389" s="1051"/>
      <c r="GL389" s="1051"/>
      <c r="GM389" s="1051"/>
      <c r="GN389" s="1051"/>
      <c r="GO389" s="1051"/>
      <c r="GP389" s="1051"/>
      <c r="GQ389" s="1051"/>
      <c r="GR389" s="1051"/>
      <c r="GS389" s="1051"/>
      <c r="GT389" s="1051"/>
      <c r="GU389" s="1051"/>
      <c r="GV389" s="1051"/>
      <c r="GW389" s="1051"/>
      <c r="GX389" s="1051"/>
      <c r="GY389" s="1051"/>
      <c r="GZ389" s="1051"/>
      <c r="HA389" s="1051"/>
      <c r="HB389" s="1051"/>
      <c r="HC389" s="1051"/>
      <c r="HD389" s="1051"/>
      <c r="HE389" s="1051"/>
      <c r="HF389" s="1051"/>
      <c r="HG389" s="1051"/>
      <c r="HH389" s="1051"/>
      <c r="HI389" s="1051"/>
      <c r="HJ389" s="1051"/>
      <c r="HK389" s="1051"/>
      <c r="HL389" s="1051"/>
      <c r="HM389" s="1051"/>
      <c r="HN389" s="1051"/>
      <c r="HO389" s="1051"/>
      <c r="HP389" s="1051"/>
      <c r="HQ389" s="1051"/>
      <c r="HR389" s="1051"/>
      <c r="HS389" s="1051"/>
      <c r="HT389" s="1051"/>
      <c r="HU389" s="1051"/>
      <c r="HV389" s="1051"/>
      <c r="HW389" s="1051"/>
      <c r="HX389" s="1051"/>
      <c r="HY389" s="1051"/>
      <c r="HZ389" s="1051"/>
      <c r="IA389" s="1051"/>
      <c r="IB389" s="1051"/>
      <c r="IC389" s="1051"/>
      <c r="ID389" s="1051"/>
      <c r="IE389" s="1051"/>
      <c r="IF389" s="1051"/>
      <c r="IG389" s="1051"/>
      <c r="IH389" s="1051"/>
      <c r="II389" s="1051"/>
      <c r="IJ389" s="1051"/>
      <c r="IK389" s="1051"/>
      <c r="IL389" s="1051"/>
      <c r="IM389" s="1051"/>
      <c r="IN389" s="1051"/>
      <c r="IO389" s="1051"/>
      <c r="IP389" s="1051"/>
      <c r="IQ389" s="1051"/>
      <c r="IR389" s="1051"/>
      <c r="IS389" s="1051"/>
      <c r="IT389" s="1051"/>
      <c r="IU389" s="1051"/>
      <c r="IV389" s="1051"/>
    </row>
    <row r="390" spans="1:256" x14ac:dyDescent="0.2">
      <c r="A390" s="1548" t="s">
        <v>12</v>
      </c>
      <c r="B390" s="1548"/>
      <c r="C390" s="1043">
        <f>SUM(C388:C389)</f>
        <v>0</v>
      </c>
      <c r="D390" s="1043">
        <f>SUM(D388:D389)</f>
        <v>127000</v>
      </c>
      <c r="E390" s="1043">
        <f>SUM(E388:E389)</f>
        <v>124901</v>
      </c>
      <c r="F390" s="1045">
        <f t="shared" si="22"/>
        <v>0.98347244094488184</v>
      </c>
      <c r="G390" s="1051"/>
      <c r="H390" s="1051"/>
      <c r="I390" s="1051"/>
      <c r="J390" s="1051"/>
      <c r="K390" s="1051"/>
      <c r="L390" s="1051"/>
      <c r="M390" s="1051"/>
      <c r="N390" s="1051"/>
      <c r="O390" s="1051"/>
      <c r="P390" s="1051"/>
      <c r="Q390" s="1051"/>
      <c r="R390" s="1051"/>
      <c r="S390" s="1051"/>
      <c r="T390" s="1051"/>
      <c r="U390" s="1051"/>
      <c r="V390" s="1051"/>
      <c r="W390" s="1051"/>
      <c r="X390" s="1051"/>
      <c r="Y390" s="1051"/>
      <c r="Z390" s="1051"/>
      <c r="AA390" s="1051"/>
      <c r="AB390" s="1051"/>
      <c r="AC390" s="1051"/>
      <c r="AD390" s="1051"/>
      <c r="AE390" s="1051"/>
      <c r="AF390" s="1051"/>
      <c r="AG390" s="1051"/>
      <c r="AH390" s="1051"/>
      <c r="AI390" s="1051"/>
      <c r="AJ390" s="1051"/>
      <c r="AK390" s="1051"/>
      <c r="AL390" s="1051"/>
      <c r="AM390" s="1051"/>
      <c r="AN390" s="1051"/>
      <c r="AO390" s="1051"/>
      <c r="AP390" s="1051"/>
      <c r="AQ390" s="1051"/>
      <c r="AR390" s="1051"/>
      <c r="AS390" s="1051"/>
      <c r="AT390" s="1051"/>
      <c r="AU390" s="1051"/>
      <c r="AV390" s="1051"/>
      <c r="AW390" s="1051"/>
      <c r="AX390" s="1051"/>
      <c r="AY390" s="1051"/>
      <c r="AZ390" s="1051"/>
      <c r="BA390" s="1051"/>
      <c r="BB390" s="1051"/>
      <c r="BC390" s="1051"/>
      <c r="BD390" s="1051"/>
      <c r="BE390" s="1051"/>
      <c r="BF390" s="1051"/>
      <c r="BG390" s="1051"/>
      <c r="BH390" s="1051"/>
      <c r="BI390" s="1051"/>
      <c r="BJ390" s="1051"/>
      <c r="BK390" s="1051"/>
      <c r="BL390" s="1051"/>
      <c r="BM390" s="1051"/>
      <c r="BN390" s="1051"/>
      <c r="BO390" s="1051"/>
      <c r="BP390" s="1051"/>
      <c r="BQ390" s="1051"/>
      <c r="BR390" s="1051"/>
      <c r="BS390" s="1051"/>
      <c r="BT390" s="1051"/>
      <c r="BU390" s="1051"/>
      <c r="BV390" s="1051"/>
      <c r="BW390" s="1051"/>
      <c r="BX390" s="1051"/>
      <c r="BY390" s="1051"/>
      <c r="BZ390" s="1051"/>
      <c r="CA390" s="1051"/>
      <c r="CB390" s="1051"/>
      <c r="CC390" s="1051"/>
      <c r="CD390" s="1051"/>
      <c r="CE390" s="1051"/>
      <c r="CF390" s="1051"/>
      <c r="CG390" s="1051"/>
      <c r="CH390" s="1051"/>
      <c r="CI390" s="1051"/>
      <c r="CJ390" s="1051"/>
      <c r="CK390" s="1051"/>
      <c r="CL390" s="1051"/>
      <c r="CM390" s="1051"/>
      <c r="CN390" s="1051"/>
      <c r="CO390" s="1051"/>
      <c r="CP390" s="1051"/>
      <c r="CQ390" s="1051"/>
      <c r="CR390" s="1051"/>
      <c r="CS390" s="1051"/>
      <c r="CT390" s="1051"/>
      <c r="CU390" s="1051"/>
      <c r="CV390" s="1051"/>
      <c r="CW390" s="1051"/>
      <c r="CX390" s="1051"/>
      <c r="CY390" s="1051"/>
      <c r="CZ390" s="1051"/>
      <c r="DA390" s="1051"/>
      <c r="DB390" s="1051"/>
      <c r="DC390" s="1051"/>
      <c r="DD390" s="1051"/>
      <c r="DE390" s="1051"/>
      <c r="DF390" s="1051"/>
      <c r="DG390" s="1051"/>
      <c r="DH390" s="1051"/>
      <c r="DI390" s="1051"/>
      <c r="DJ390" s="1051"/>
      <c r="DK390" s="1051"/>
      <c r="DL390" s="1051"/>
      <c r="DM390" s="1051"/>
      <c r="DN390" s="1051"/>
      <c r="DO390" s="1051"/>
      <c r="DP390" s="1051"/>
      <c r="DQ390" s="1051"/>
      <c r="DR390" s="1051"/>
      <c r="DS390" s="1051"/>
      <c r="DT390" s="1051"/>
      <c r="DU390" s="1051"/>
      <c r="DV390" s="1051"/>
      <c r="DW390" s="1051"/>
      <c r="DX390" s="1051"/>
      <c r="DY390" s="1051"/>
      <c r="DZ390" s="1051"/>
      <c r="EA390" s="1051"/>
      <c r="EB390" s="1051"/>
      <c r="EC390" s="1051"/>
      <c r="ED390" s="1051"/>
      <c r="EE390" s="1051"/>
      <c r="EF390" s="1051"/>
      <c r="EG390" s="1051"/>
      <c r="EH390" s="1051"/>
      <c r="EI390" s="1051"/>
      <c r="EJ390" s="1051"/>
      <c r="EK390" s="1051"/>
      <c r="EL390" s="1051"/>
      <c r="EM390" s="1051"/>
      <c r="EN390" s="1051"/>
      <c r="EO390" s="1051"/>
      <c r="EP390" s="1051"/>
      <c r="EQ390" s="1051"/>
      <c r="ER390" s="1051"/>
      <c r="ES390" s="1051"/>
      <c r="ET390" s="1051"/>
      <c r="EU390" s="1051"/>
      <c r="EV390" s="1051"/>
      <c r="EW390" s="1051"/>
      <c r="EX390" s="1051"/>
      <c r="EY390" s="1051"/>
      <c r="EZ390" s="1051"/>
      <c r="FA390" s="1051"/>
      <c r="FB390" s="1051"/>
      <c r="FC390" s="1051"/>
      <c r="FD390" s="1051"/>
      <c r="FE390" s="1051"/>
      <c r="FF390" s="1051"/>
      <c r="FG390" s="1051"/>
      <c r="FH390" s="1051"/>
      <c r="FI390" s="1051"/>
      <c r="FJ390" s="1051"/>
      <c r="FK390" s="1051"/>
      <c r="FL390" s="1051"/>
      <c r="FM390" s="1051"/>
      <c r="FN390" s="1051"/>
      <c r="FO390" s="1051"/>
      <c r="FP390" s="1051"/>
      <c r="FQ390" s="1051"/>
      <c r="FR390" s="1051"/>
      <c r="FS390" s="1051"/>
      <c r="FT390" s="1051"/>
      <c r="FU390" s="1051"/>
      <c r="FV390" s="1051"/>
      <c r="FW390" s="1051"/>
      <c r="FX390" s="1051"/>
      <c r="FY390" s="1051"/>
      <c r="FZ390" s="1051"/>
      <c r="GA390" s="1051"/>
      <c r="GB390" s="1051"/>
      <c r="GC390" s="1051"/>
      <c r="GD390" s="1051"/>
      <c r="GE390" s="1051"/>
      <c r="GF390" s="1051"/>
      <c r="GG390" s="1051"/>
      <c r="GH390" s="1051"/>
      <c r="GI390" s="1051"/>
      <c r="GJ390" s="1051"/>
      <c r="GK390" s="1051"/>
      <c r="GL390" s="1051"/>
      <c r="GM390" s="1051"/>
      <c r="GN390" s="1051"/>
      <c r="GO390" s="1051"/>
      <c r="GP390" s="1051"/>
      <c r="GQ390" s="1051"/>
      <c r="GR390" s="1051"/>
      <c r="GS390" s="1051"/>
      <c r="GT390" s="1051"/>
      <c r="GU390" s="1051"/>
      <c r="GV390" s="1051"/>
      <c r="GW390" s="1051"/>
      <c r="GX390" s="1051"/>
      <c r="GY390" s="1051"/>
      <c r="GZ390" s="1051"/>
      <c r="HA390" s="1051"/>
      <c r="HB390" s="1051"/>
      <c r="HC390" s="1051"/>
      <c r="HD390" s="1051"/>
      <c r="HE390" s="1051"/>
      <c r="HF390" s="1051"/>
      <c r="HG390" s="1051"/>
      <c r="HH390" s="1051"/>
      <c r="HI390" s="1051"/>
      <c r="HJ390" s="1051"/>
      <c r="HK390" s="1051"/>
      <c r="HL390" s="1051"/>
      <c r="HM390" s="1051"/>
      <c r="HN390" s="1051"/>
      <c r="HO390" s="1051"/>
      <c r="HP390" s="1051"/>
      <c r="HQ390" s="1051"/>
      <c r="HR390" s="1051"/>
      <c r="HS390" s="1051"/>
      <c r="HT390" s="1051"/>
      <c r="HU390" s="1051"/>
      <c r="HV390" s="1051"/>
      <c r="HW390" s="1051"/>
      <c r="HX390" s="1051"/>
      <c r="HY390" s="1051"/>
      <c r="HZ390" s="1051"/>
      <c r="IA390" s="1051"/>
      <c r="IB390" s="1051"/>
      <c r="IC390" s="1051"/>
      <c r="ID390" s="1051"/>
      <c r="IE390" s="1051"/>
      <c r="IF390" s="1051"/>
      <c r="IG390" s="1051"/>
      <c r="IH390" s="1051"/>
      <c r="II390" s="1051"/>
      <c r="IJ390" s="1051"/>
      <c r="IK390" s="1051"/>
      <c r="IL390" s="1051"/>
      <c r="IM390" s="1051"/>
      <c r="IN390" s="1051"/>
      <c r="IO390" s="1051"/>
      <c r="IP390" s="1051"/>
      <c r="IQ390" s="1051"/>
      <c r="IR390" s="1051"/>
      <c r="IS390" s="1051"/>
      <c r="IT390" s="1051"/>
      <c r="IU390" s="1051"/>
      <c r="IV390" s="1051"/>
    </row>
    <row r="391" spans="1:256" x14ac:dyDescent="0.2">
      <c r="A391" s="1549" t="s">
        <v>73</v>
      </c>
      <c r="B391" s="1549"/>
      <c r="C391" s="1116">
        <f>C387+C376+C374+C390</f>
        <v>14389000</v>
      </c>
      <c r="D391" s="1116">
        <f>D387+D376+D374+D390</f>
        <v>13354698</v>
      </c>
      <c r="E391" s="1116">
        <f>E387+E376+E374+E390</f>
        <v>9667635</v>
      </c>
      <c r="F391" s="1047">
        <f t="shared" si="22"/>
        <v>0.72391266354357098</v>
      </c>
    </row>
    <row r="392" spans="1:256" x14ac:dyDescent="0.2">
      <c r="A392" s="1552" t="s">
        <v>241</v>
      </c>
      <c r="B392" s="1553"/>
      <c r="C392" s="1553"/>
      <c r="D392" s="1553"/>
      <c r="E392" s="1553"/>
      <c r="F392" s="1554"/>
    </row>
    <row r="393" spans="1:256" x14ac:dyDescent="0.2">
      <c r="A393" s="1065" t="s">
        <v>70</v>
      </c>
      <c r="B393" s="1066" t="s">
        <v>71</v>
      </c>
      <c r="C393" s="1038" t="s">
        <v>687</v>
      </c>
      <c r="D393" s="1038" t="s">
        <v>688</v>
      </c>
      <c r="E393" s="1039" t="s">
        <v>689</v>
      </c>
      <c r="F393" s="1040" t="s">
        <v>690</v>
      </c>
    </row>
    <row r="394" spans="1:256" x14ac:dyDescent="0.2">
      <c r="A394" s="1041" t="s">
        <v>740</v>
      </c>
      <c r="B394" s="1042" t="s">
        <v>812</v>
      </c>
      <c r="C394" s="1043">
        <v>850000</v>
      </c>
      <c r="D394" s="1052">
        <v>230000</v>
      </c>
      <c r="E394" s="1052">
        <v>230000</v>
      </c>
      <c r="F394" s="1045">
        <f>E394/D394</f>
        <v>1</v>
      </c>
    </row>
    <row r="395" spans="1:256" x14ac:dyDescent="0.2">
      <c r="A395" s="1561" t="s">
        <v>24</v>
      </c>
      <c r="B395" s="1562"/>
      <c r="C395" s="1043">
        <f>SUM(C394:C394)</f>
        <v>850000</v>
      </c>
      <c r="D395" s="1043">
        <f>SUM(D394:D394)</f>
        <v>230000</v>
      </c>
      <c r="E395" s="1043">
        <f>SUM(E394:E394)</f>
        <v>230000</v>
      </c>
      <c r="F395" s="1045">
        <f>E395/D395</f>
        <v>1</v>
      </c>
    </row>
    <row r="396" spans="1:256" x14ac:dyDescent="0.2">
      <c r="A396" s="1549" t="s">
        <v>73</v>
      </c>
      <c r="B396" s="1549"/>
      <c r="C396" s="1046">
        <f>SUM(C395)</f>
        <v>850000</v>
      </c>
      <c r="D396" s="1046">
        <f>SUM(D395)</f>
        <v>230000</v>
      </c>
      <c r="E396" s="1046">
        <f>SUM(E395)</f>
        <v>230000</v>
      </c>
      <c r="F396" s="1047">
        <f>E396/D396</f>
        <v>1</v>
      </c>
    </row>
    <row r="397" spans="1:256" x14ac:dyDescent="0.2">
      <c r="A397" s="1552" t="s">
        <v>231</v>
      </c>
      <c r="B397" s="1553"/>
      <c r="C397" s="1553"/>
      <c r="D397" s="1553"/>
      <c r="E397" s="1553"/>
      <c r="F397" s="1554"/>
    </row>
    <row r="398" spans="1:256" x14ac:dyDescent="0.2">
      <c r="A398" s="1065" t="s">
        <v>70</v>
      </c>
      <c r="B398" s="1066" t="s">
        <v>71</v>
      </c>
      <c r="C398" s="1038" t="s">
        <v>687</v>
      </c>
      <c r="D398" s="1038" t="s">
        <v>688</v>
      </c>
      <c r="E398" s="1039" t="s">
        <v>689</v>
      </c>
      <c r="F398" s="1040" t="s">
        <v>690</v>
      </c>
    </row>
    <row r="399" spans="1:256" ht="25.5" x14ac:dyDescent="0.2">
      <c r="A399" s="1041" t="s">
        <v>734</v>
      </c>
      <c r="B399" s="1057" t="s">
        <v>813</v>
      </c>
      <c r="C399" s="1104">
        <v>0</v>
      </c>
      <c r="D399" s="1104">
        <v>1969067</v>
      </c>
      <c r="E399" s="1059">
        <v>1969067</v>
      </c>
      <c r="F399" s="1045">
        <f>E399/D399</f>
        <v>1</v>
      </c>
    </row>
    <row r="400" spans="1:256" x14ac:dyDescent="0.2">
      <c r="A400" s="1557" t="s">
        <v>18</v>
      </c>
      <c r="B400" s="1563"/>
      <c r="C400" s="1104">
        <f t="shared" ref="C400:E401" si="23">SUM(C399)</f>
        <v>0</v>
      </c>
      <c r="D400" s="1104">
        <f t="shared" si="23"/>
        <v>1969067</v>
      </c>
      <c r="E400" s="1104">
        <f t="shared" si="23"/>
        <v>1969067</v>
      </c>
      <c r="F400" s="1045">
        <f t="shared" ref="F400:F409" si="24">E400/D400</f>
        <v>1</v>
      </c>
    </row>
    <row r="401" spans="1:6" x14ac:dyDescent="0.2">
      <c r="A401" s="1549" t="s">
        <v>74</v>
      </c>
      <c r="B401" s="1549"/>
      <c r="C401" s="1117">
        <f t="shared" si="23"/>
        <v>0</v>
      </c>
      <c r="D401" s="1117">
        <f t="shared" si="23"/>
        <v>1969067</v>
      </c>
      <c r="E401" s="1117">
        <f t="shared" si="23"/>
        <v>1969067</v>
      </c>
      <c r="F401" s="1047">
        <f t="shared" si="24"/>
        <v>1</v>
      </c>
    </row>
    <row r="402" spans="1:6" x14ac:dyDescent="0.2">
      <c r="A402" s="1041" t="s">
        <v>695</v>
      </c>
      <c r="B402" s="1057" t="s">
        <v>806</v>
      </c>
      <c r="C402" s="1104">
        <v>18000</v>
      </c>
      <c r="D402" s="1104">
        <v>18000</v>
      </c>
      <c r="E402" s="1059">
        <v>0</v>
      </c>
      <c r="F402" s="1045">
        <f t="shared" si="24"/>
        <v>0</v>
      </c>
    </row>
    <row r="403" spans="1:6" x14ac:dyDescent="0.2">
      <c r="A403" s="1041" t="s">
        <v>697</v>
      </c>
      <c r="B403" s="1042" t="s">
        <v>603</v>
      </c>
      <c r="C403" s="1105">
        <v>1036000</v>
      </c>
      <c r="D403" s="1104">
        <v>2586067</v>
      </c>
      <c r="E403" s="1059">
        <v>2871000</v>
      </c>
      <c r="F403" s="1045">
        <f t="shared" si="24"/>
        <v>1.1101800533396853</v>
      </c>
    </row>
    <row r="404" spans="1:6" x14ac:dyDescent="0.2">
      <c r="A404" s="1041" t="s">
        <v>703</v>
      </c>
      <c r="B404" s="1042" t="s">
        <v>557</v>
      </c>
      <c r="C404" s="1105">
        <v>360000</v>
      </c>
      <c r="D404" s="1104">
        <v>779000</v>
      </c>
      <c r="E404" s="1059">
        <v>663390</v>
      </c>
      <c r="F404" s="1045">
        <f t="shared" si="24"/>
        <v>0.85159178433889604</v>
      </c>
    </row>
    <row r="405" spans="1:6" x14ac:dyDescent="0.2">
      <c r="A405" s="1548" t="s">
        <v>168</v>
      </c>
      <c r="B405" s="1548"/>
      <c r="C405" s="1043">
        <f>SUM(C402:C404)</f>
        <v>1414000</v>
      </c>
      <c r="D405" s="1043">
        <f>SUM(D402:D404)</f>
        <v>3383067</v>
      </c>
      <c r="E405" s="1043">
        <f>SUM(E402:E404)</f>
        <v>3534390</v>
      </c>
      <c r="F405" s="1045">
        <f t="shared" si="24"/>
        <v>1.0447295309256364</v>
      </c>
    </row>
    <row r="406" spans="1:6" x14ac:dyDescent="0.2">
      <c r="A406" s="1041" t="s">
        <v>611</v>
      </c>
      <c r="B406" s="1103" t="s">
        <v>783</v>
      </c>
      <c r="C406" s="1104">
        <v>225000</v>
      </c>
      <c r="D406" s="1104">
        <v>225000</v>
      </c>
      <c r="E406" s="1059">
        <v>0</v>
      </c>
      <c r="F406" s="1045">
        <f t="shared" si="24"/>
        <v>0</v>
      </c>
    </row>
    <row r="407" spans="1:6" x14ac:dyDescent="0.2">
      <c r="A407" s="1041" t="s">
        <v>613</v>
      </c>
      <c r="B407" s="1103" t="s">
        <v>768</v>
      </c>
      <c r="C407" s="1104">
        <v>61000</v>
      </c>
      <c r="D407" s="1104">
        <v>61000</v>
      </c>
      <c r="E407" s="1059">
        <v>0</v>
      </c>
      <c r="F407" s="1045">
        <f t="shared" si="24"/>
        <v>0</v>
      </c>
    </row>
    <row r="408" spans="1:6" x14ac:dyDescent="0.2">
      <c r="A408" s="1548" t="s">
        <v>12</v>
      </c>
      <c r="B408" s="1548"/>
      <c r="C408" s="1104">
        <f>SUM(C406:C407)</f>
        <v>286000</v>
      </c>
      <c r="D408" s="1104">
        <f>SUM(D406:D407)</f>
        <v>286000</v>
      </c>
      <c r="E408" s="1104">
        <f>SUM(E406:E407)</f>
        <v>0</v>
      </c>
      <c r="F408" s="1045">
        <f t="shared" si="24"/>
        <v>0</v>
      </c>
    </row>
    <row r="409" spans="1:6" x14ac:dyDescent="0.2">
      <c r="A409" s="1560" t="s">
        <v>73</v>
      </c>
      <c r="B409" s="1560"/>
      <c r="C409" s="1046">
        <f>C405+C408</f>
        <v>1700000</v>
      </c>
      <c r="D409" s="1046">
        <f>D405+D408</f>
        <v>3669067</v>
      </c>
      <c r="E409" s="1046">
        <f>E405+E408</f>
        <v>3534390</v>
      </c>
      <c r="F409" s="1047">
        <f t="shared" si="24"/>
        <v>0.96329393821372022</v>
      </c>
    </row>
    <row r="410" spans="1:6" x14ac:dyDescent="0.2">
      <c r="A410" s="1552" t="s">
        <v>814</v>
      </c>
      <c r="B410" s="1553"/>
      <c r="C410" s="1553"/>
      <c r="D410" s="1553"/>
      <c r="E410" s="1553"/>
      <c r="F410" s="1554"/>
    </row>
    <row r="411" spans="1:6" x14ac:dyDescent="0.2">
      <c r="A411" s="1041" t="s">
        <v>805</v>
      </c>
      <c r="B411" s="1042" t="s">
        <v>230</v>
      </c>
      <c r="C411" s="1043">
        <v>700000</v>
      </c>
      <c r="D411" s="1043">
        <v>0</v>
      </c>
      <c r="E411" s="1043">
        <v>0</v>
      </c>
      <c r="F411" s="1083" t="s">
        <v>446</v>
      </c>
    </row>
    <row r="412" spans="1:6" x14ac:dyDescent="0.2">
      <c r="A412" s="1548" t="s">
        <v>20</v>
      </c>
      <c r="B412" s="1548"/>
      <c r="C412" s="1043">
        <f t="shared" ref="C412:E413" si="25">SUM(C411)</f>
        <v>700000</v>
      </c>
      <c r="D412" s="1043">
        <f t="shared" si="25"/>
        <v>0</v>
      </c>
      <c r="E412" s="1043">
        <f t="shared" si="25"/>
        <v>0</v>
      </c>
      <c r="F412" s="1083" t="s">
        <v>446</v>
      </c>
    </row>
    <row r="413" spans="1:6" x14ac:dyDescent="0.2">
      <c r="A413" s="1549" t="s">
        <v>74</v>
      </c>
      <c r="B413" s="1549"/>
      <c r="C413" s="1046">
        <f t="shared" si="25"/>
        <v>700000</v>
      </c>
      <c r="D413" s="1046">
        <f t="shared" si="25"/>
        <v>0</v>
      </c>
      <c r="E413" s="1046">
        <f t="shared" si="25"/>
        <v>0</v>
      </c>
      <c r="F413" s="1047" t="s">
        <v>446</v>
      </c>
    </row>
    <row r="414" spans="1:6" x14ac:dyDescent="0.2">
      <c r="A414" s="1041" t="s">
        <v>815</v>
      </c>
      <c r="B414" s="1042" t="s">
        <v>816</v>
      </c>
      <c r="C414" s="1043">
        <v>1300000</v>
      </c>
      <c r="D414" s="1043">
        <v>0</v>
      </c>
      <c r="E414" s="1043">
        <v>0</v>
      </c>
      <c r="F414" s="1083" t="s">
        <v>446</v>
      </c>
    </row>
    <row r="415" spans="1:6" x14ac:dyDescent="0.2">
      <c r="A415" s="1548" t="s">
        <v>23</v>
      </c>
      <c r="B415" s="1548"/>
      <c r="C415" s="1043">
        <f t="shared" ref="C415:E416" si="26">SUM(C414)</f>
        <v>1300000</v>
      </c>
      <c r="D415" s="1043">
        <f t="shared" si="26"/>
        <v>0</v>
      </c>
      <c r="E415" s="1043">
        <f t="shared" si="26"/>
        <v>0</v>
      </c>
      <c r="F415" s="1083" t="s">
        <v>446</v>
      </c>
    </row>
    <row r="416" spans="1:6" x14ac:dyDescent="0.2">
      <c r="A416" s="1549" t="s">
        <v>73</v>
      </c>
      <c r="B416" s="1549"/>
      <c r="C416" s="1046">
        <f t="shared" si="26"/>
        <v>1300000</v>
      </c>
      <c r="D416" s="1046">
        <f t="shared" si="26"/>
        <v>0</v>
      </c>
      <c r="E416" s="1046">
        <f t="shared" si="26"/>
        <v>0</v>
      </c>
      <c r="F416" s="1047" t="s">
        <v>446</v>
      </c>
    </row>
    <row r="417" spans="1:6" x14ac:dyDescent="0.2">
      <c r="A417" s="1552" t="s">
        <v>196</v>
      </c>
      <c r="B417" s="1553"/>
      <c r="C417" s="1553"/>
      <c r="D417" s="1553"/>
      <c r="E417" s="1553"/>
      <c r="F417" s="1554"/>
    </row>
    <row r="418" spans="1:6" x14ac:dyDescent="0.2">
      <c r="A418" s="1065" t="s">
        <v>70</v>
      </c>
      <c r="B418" s="1066" t="s">
        <v>71</v>
      </c>
      <c r="C418" s="1038" t="s">
        <v>687</v>
      </c>
      <c r="D418" s="1038" t="s">
        <v>688</v>
      </c>
      <c r="E418" s="1039" t="s">
        <v>689</v>
      </c>
      <c r="F418" s="1040" t="s">
        <v>690</v>
      </c>
    </row>
    <row r="419" spans="1:6" x14ac:dyDescent="0.2">
      <c r="A419" s="1041" t="s">
        <v>817</v>
      </c>
      <c r="B419" s="1042" t="s">
        <v>186</v>
      </c>
      <c r="C419" s="1118">
        <f>710*64+560</f>
        <v>46000</v>
      </c>
      <c r="D419" s="1118">
        <v>46000</v>
      </c>
      <c r="E419" s="1044">
        <v>3142</v>
      </c>
      <c r="F419" s="1045">
        <f>E419/D419</f>
        <v>6.830434782608695E-2</v>
      </c>
    </row>
    <row r="420" spans="1:6" x14ac:dyDescent="0.2">
      <c r="A420" s="1041" t="s">
        <v>703</v>
      </c>
      <c r="B420" s="1042" t="s">
        <v>557</v>
      </c>
      <c r="C420" s="1118">
        <f>SUM(C419*0.27)+580</f>
        <v>13000</v>
      </c>
      <c r="D420" s="1118">
        <v>13000</v>
      </c>
      <c r="E420" s="1044">
        <v>848</v>
      </c>
      <c r="F420" s="1045">
        <f>E420/D420</f>
        <v>6.5230769230769231E-2</v>
      </c>
    </row>
    <row r="421" spans="1:6" x14ac:dyDescent="0.2">
      <c r="A421" s="1548" t="s">
        <v>168</v>
      </c>
      <c r="B421" s="1548"/>
      <c r="C421" s="1118">
        <f>SUM(C419:C420)</f>
        <v>59000</v>
      </c>
      <c r="D421" s="1118">
        <f>SUM(D419:D420)</f>
        <v>59000</v>
      </c>
      <c r="E421" s="1118">
        <f>SUM(E419:E420)</f>
        <v>3990</v>
      </c>
      <c r="F421" s="1045">
        <f>E421/D421</f>
        <v>6.7627118644067799E-2</v>
      </c>
    </row>
    <row r="422" spans="1:6" x14ac:dyDescent="0.2">
      <c r="A422" s="1549" t="s">
        <v>73</v>
      </c>
      <c r="B422" s="1549"/>
      <c r="C422" s="1119">
        <f>C421</f>
        <v>59000</v>
      </c>
      <c r="D422" s="1119">
        <f>D421</f>
        <v>59000</v>
      </c>
      <c r="E422" s="1119">
        <f>E421</f>
        <v>3990</v>
      </c>
      <c r="F422" s="1047">
        <f>E422/D422</f>
        <v>6.7627118644067799E-2</v>
      </c>
    </row>
    <row r="423" spans="1:6" x14ac:dyDescent="0.2">
      <c r="A423" s="1552" t="s">
        <v>818</v>
      </c>
      <c r="B423" s="1553"/>
      <c r="C423" s="1553"/>
      <c r="D423" s="1553"/>
      <c r="E423" s="1553"/>
      <c r="F423" s="1554"/>
    </row>
    <row r="424" spans="1:6" x14ac:dyDescent="0.2">
      <c r="A424" s="1065" t="s">
        <v>70</v>
      </c>
      <c r="B424" s="1066" t="s">
        <v>71</v>
      </c>
      <c r="C424" s="1038" t="s">
        <v>687</v>
      </c>
      <c r="D424" s="1038" t="s">
        <v>688</v>
      </c>
      <c r="E424" s="1039" t="s">
        <v>689</v>
      </c>
      <c r="F424" s="1040" t="s">
        <v>690</v>
      </c>
    </row>
    <row r="425" spans="1:6" x14ac:dyDescent="0.2">
      <c r="A425" s="1041" t="s">
        <v>683</v>
      </c>
      <c r="B425" s="1042" t="s">
        <v>819</v>
      </c>
      <c r="C425" s="1043">
        <v>150000</v>
      </c>
      <c r="D425" s="1043">
        <v>60000</v>
      </c>
      <c r="E425" s="1052">
        <v>60000</v>
      </c>
      <c r="F425" s="1045">
        <f>E425/D425</f>
        <v>1</v>
      </c>
    </row>
    <row r="426" spans="1:6" x14ac:dyDescent="0.2">
      <c r="A426" s="1041" t="s">
        <v>805</v>
      </c>
      <c r="B426" s="1042" t="s">
        <v>820</v>
      </c>
      <c r="C426" s="1043">
        <v>0</v>
      </c>
      <c r="D426" s="1043">
        <v>240000</v>
      </c>
      <c r="E426" s="1052">
        <v>240000</v>
      </c>
      <c r="F426" s="1045">
        <f t="shared" ref="F426:F438" si="27">E426/D426</f>
        <v>1</v>
      </c>
    </row>
    <row r="427" spans="1:6" x14ac:dyDescent="0.2">
      <c r="A427" s="1548" t="s">
        <v>20</v>
      </c>
      <c r="B427" s="1548"/>
      <c r="C427" s="1043">
        <f>SUM(C425:C426)</f>
        <v>150000</v>
      </c>
      <c r="D427" s="1043">
        <f>SUM(D425:D426)</f>
        <v>300000</v>
      </c>
      <c r="E427" s="1043">
        <f>SUM(E425:E426)</f>
        <v>300000</v>
      </c>
      <c r="F427" s="1045">
        <f t="shared" si="27"/>
        <v>1</v>
      </c>
    </row>
    <row r="428" spans="1:6" x14ac:dyDescent="0.2">
      <c r="A428" s="1549" t="s">
        <v>74</v>
      </c>
      <c r="B428" s="1549"/>
      <c r="C428" s="1046">
        <f>C427</f>
        <v>150000</v>
      </c>
      <c r="D428" s="1046">
        <f>D427</f>
        <v>300000</v>
      </c>
      <c r="E428" s="1046">
        <f>E427</f>
        <v>300000</v>
      </c>
      <c r="F428" s="1047">
        <f t="shared" si="27"/>
        <v>1</v>
      </c>
    </row>
    <row r="429" spans="1:6" x14ac:dyDescent="0.2">
      <c r="A429" s="1041" t="s">
        <v>706</v>
      </c>
      <c r="B429" s="1042" t="s">
        <v>780</v>
      </c>
      <c r="C429" s="1043">
        <v>60000</v>
      </c>
      <c r="D429" s="1043">
        <v>60000</v>
      </c>
      <c r="E429" s="1073">
        <v>57883</v>
      </c>
      <c r="F429" s="1045">
        <f t="shared" si="27"/>
        <v>0.96471666666666667</v>
      </c>
    </row>
    <row r="430" spans="1:6" x14ac:dyDescent="0.2">
      <c r="A430" s="1041" t="s">
        <v>708</v>
      </c>
      <c r="B430" s="1042" t="s">
        <v>786</v>
      </c>
      <c r="C430" s="1105">
        <v>290000</v>
      </c>
      <c r="D430" s="1105">
        <v>265000</v>
      </c>
      <c r="E430" s="1073">
        <v>191683</v>
      </c>
      <c r="F430" s="1045">
        <f t="shared" si="27"/>
        <v>0.72333207547169809</v>
      </c>
    </row>
    <row r="431" spans="1:6" x14ac:dyDescent="0.2">
      <c r="A431" s="1041" t="s">
        <v>709</v>
      </c>
      <c r="B431" s="1042" t="s">
        <v>90</v>
      </c>
      <c r="C431" s="1105">
        <v>120000</v>
      </c>
      <c r="D431" s="1105">
        <v>440000</v>
      </c>
      <c r="E431" s="1073">
        <v>438617</v>
      </c>
      <c r="F431" s="1045">
        <f t="shared" si="27"/>
        <v>0.99685681818181815</v>
      </c>
    </row>
    <row r="432" spans="1:6" x14ac:dyDescent="0.2">
      <c r="A432" s="1041" t="s">
        <v>698</v>
      </c>
      <c r="B432" s="1042" t="s">
        <v>719</v>
      </c>
      <c r="C432" s="1105">
        <v>130000</v>
      </c>
      <c r="D432" s="1105">
        <v>10000</v>
      </c>
      <c r="E432" s="1073">
        <v>0</v>
      </c>
      <c r="F432" s="1045">
        <f t="shared" si="27"/>
        <v>0</v>
      </c>
    </row>
    <row r="433" spans="1:6" x14ac:dyDescent="0.2">
      <c r="A433" s="1041" t="s">
        <v>703</v>
      </c>
      <c r="B433" s="1042" t="s">
        <v>557</v>
      </c>
      <c r="C433" s="1105">
        <v>146000</v>
      </c>
      <c r="D433" s="1105">
        <v>171000</v>
      </c>
      <c r="E433" s="1073">
        <v>171689</v>
      </c>
      <c r="F433" s="1045">
        <f t="shared" si="27"/>
        <v>1.0040292397660819</v>
      </c>
    </row>
    <row r="434" spans="1:6" x14ac:dyDescent="0.2">
      <c r="A434" s="1548" t="s">
        <v>168</v>
      </c>
      <c r="B434" s="1548"/>
      <c r="C434" s="1043">
        <f>SUM(C429:C433)</f>
        <v>746000</v>
      </c>
      <c r="D434" s="1043">
        <f>SUM(D429:D433)</f>
        <v>946000</v>
      </c>
      <c r="E434" s="1043">
        <f>SUM(E429:E433)</f>
        <v>859872</v>
      </c>
      <c r="F434" s="1045">
        <f t="shared" si="27"/>
        <v>0.90895560253699792</v>
      </c>
    </row>
    <row r="435" spans="1:6" x14ac:dyDescent="0.2">
      <c r="A435" s="1041" t="s">
        <v>614</v>
      </c>
      <c r="B435" s="1092" t="s">
        <v>711</v>
      </c>
      <c r="C435" s="1043">
        <v>600000</v>
      </c>
      <c r="D435" s="1043">
        <v>657000</v>
      </c>
      <c r="E435" s="1073">
        <v>655024</v>
      </c>
      <c r="F435" s="1045">
        <f t="shared" si="27"/>
        <v>0.99699238964992387</v>
      </c>
    </row>
    <row r="436" spans="1:6" x14ac:dyDescent="0.2">
      <c r="A436" s="1041" t="s">
        <v>615</v>
      </c>
      <c r="B436" s="1092" t="s">
        <v>808</v>
      </c>
      <c r="C436" s="1043">
        <v>162000</v>
      </c>
      <c r="D436" s="1043">
        <v>180000</v>
      </c>
      <c r="E436" s="1073">
        <v>176857</v>
      </c>
      <c r="F436" s="1045">
        <f t="shared" si="27"/>
        <v>0.98253888888888885</v>
      </c>
    </row>
    <row r="437" spans="1:6" x14ac:dyDescent="0.2">
      <c r="A437" s="1548" t="s">
        <v>11</v>
      </c>
      <c r="B437" s="1559"/>
      <c r="C437" s="1043">
        <f>SUM(C435:C436)</f>
        <v>762000</v>
      </c>
      <c r="D437" s="1043">
        <f>SUM(D435:D436)</f>
        <v>837000</v>
      </c>
      <c r="E437" s="1043">
        <f>SUM(E435:E436)</f>
        <v>831881</v>
      </c>
      <c r="F437" s="1045">
        <f t="shared" si="27"/>
        <v>0.993884109916368</v>
      </c>
    </row>
    <row r="438" spans="1:6" x14ac:dyDescent="0.2">
      <c r="A438" s="1549" t="s">
        <v>73</v>
      </c>
      <c r="B438" s="1549"/>
      <c r="C438" s="1046">
        <f>SUM(C434+C437)</f>
        <v>1508000</v>
      </c>
      <c r="D438" s="1046">
        <f>SUM(D434+D437)</f>
        <v>1783000</v>
      </c>
      <c r="E438" s="1046">
        <f>SUM(E434+E437)</f>
        <v>1691753</v>
      </c>
      <c r="F438" s="1047">
        <f t="shared" si="27"/>
        <v>0.9488238923163208</v>
      </c>
    </row>
    <row r="439" spans="1:6" x14ac:dyDescent="0.2">
      <c r="A439" s="1552" t="s">
        <v>821</v>
      </c>
      <c r="B439" s="1553"/>
      <c r="C439" s="1553"/>
      <c r="D439" s="1553"/>
      <c r="E439" s="1553"/>
      <c r="F439" s="1554"/>
    </row>
    <row r="440" spans="1:6" x14ac:dyDescent="0.2">
      <c r="A440" s="1065" t="s">
        <v>70</v>
      </c>
      <c r="B440" s="1066" t="s">
        <v>71</v>
      </c>
      <c r="C440" s="1038" t="s">
        <v>687</v>
      </c>
      <c r="D440" s="1038" t="s">
        <v>688</v>
      </c>
      <c r="E440" s="1039" t="s">
        <v>689</v>
      </c>
      <c r="F440" s="1040" t="s">
        <v>690</v>
      </c>
    </row>
    <row r="441" spans="1:6" x14ac:dyDescent="0.2">
      <c r="A441" s="1041" t="s">
        <v>698</v>
      </c>
      <c r="B441" s="1042" t="s">
        <v>719</v>
      </c>
      <c r="C441" s="1104">
        <v>600000</v>
      </c>
      <c r="D441" s="1104">
        <v>0</v>
      </c>
      <c r="E441" s="1059">
        <v>0</v>
      </c>
      <c r="F441" s="1120" t="s">
        <v>446</v>
      </c>
    </row>
    <row r="442" spans="1:6" x14ac:dyDescent="0.2">
      <c r="A442" s="1041" t="s">
        <v>703</v>
      </c>
      <c r="B442" s="1042" t="s">
        <v>557</v>
      </c>
      <c r="C442" s="1121">
        <v>162000</v>
      </c>
      <c r="D442" s="1043">
        <v>0</v>
      </c>
      <c r="E442" s="1052">
        <v>0</v>
      </c>
      <c r="F442" s="1122" t="s">
        <v>446</v>
      </c>
    </row>
    <row r="443" spans="1:6" x14ac:dyDescent="0.2">
      <c r="A443" s="1548" t="s">
        <v>168</v>
      </c>
      <c r="B443" s="1548"/>
      <c r="C443" s="1121">
        <f>SUM(C441:C442)</f>
        <v>762000</v>
      </c>
      <c r="D443" s="1121">
        <f>SUM(D441:D442)</f>
        <v>0</v>
      </c>
      <c r="E443" s="1121">
        <f>SUM(E441:E442)</f>
        <v>0</v>
      </c>
      <c r="F443" s="1122" t="s">
        <v>446</v>
      </c>
    </row>
    <row r="444" spans="1:6" x14ac:dyDescent="0.2">
      <c r="A444" s="1549" t="s">
        <v>73</v>
      </c>
      <c r="B444" s="1549"/>
      <c r="C444" s="1123">
        <f>SUM(C443)</f>
        <v>762000</v>
      </c>
      <c r="D444" s="1123">
        <f>SUM(D443)</f>
        <v>0</v>
      </c>
      <c r="E444" s="1123">
        <f>SUM(E443)</f>
        <v>0</v>
      </c>
      <c r="F444" s="1124" t="s">
        <v>446</v>
      </c>
    </row>
    <row r="445" spans="1:6" x14ac:dyDescent="0.2">
      <c r="A445" s="1552" t="s">
        <v>822</v>
      </c>
      <c r="B445" s="1553"/>
      <c r="C445" s="1553"/>
      <c r="D445" s="1553"/>
      <c r="E445" s="1553"/>
      <c r="F445" s="1554"/>
    </row>
    <row r="446" spans="1:6" x14ac:dyDescent="0.2">
      <c r="A446" s="1065" t="s">
        <v>70</v>
      </c>
      <c r="B446" s="1066" t="s">
        <v>71</v>
      </c>
      <c r="C446" s="1038" t="s">
        <v>687</v>
      </c>
      <c r="D446" s="1038" t="s">
        <v>688</v>
      </c>
      <c r="E446" s="1039" t="s">
        <v>689</v>
      </c>
      <c r="F446" s="1040" t="s">
        <v>690</v>
      </c>
    </row>
    <row r="447" spans="1:6" x14ac:dyDescent="0.2">
      <c r="A447" s="1097" t="s">
        <v>805</v>
      </c>
      <c r="B447" s="1098" t="s">
        <v>823</v>
      </c>
      <c r="C447" s="1121">
        <v>3190000</v>
      </c>
      <c r="D447" s="1043">
        <v>4162000</v>
      </c>
      <c r="E447" s="1073">
        <v>2974900</v>
      </c>
      <c r="F447" s="1045">
        <f>E447/D447</f>
        <v>0.71477654973570404</v>
      </c>
    </row>
    <row r="448" spans="1:6" x14ac:dyDescent="0.2">
      <c r="A448" s="1550" t="s">
        <v>20</v>
      </c>
      <c r="B448" s="1551"/>
      <c r="C448" s="1121">
        <f t="shared" ref="C448:E449" si="28">SUM(C447)</f>
        <v>3190000</v>
      </c>
      <c r="D448" s="1121">
        <f t="shared" si="28"/>
        <v>4162000</v>
      </c>
      <c r="E448" s="1121">
        <f t="shared" si="28"/>
        <v>2974900</v>
      </c>
      <c r="F448" s="1045">
        <f t="shared" ref="F448:F455" si="29">E448/D448</f>
        <v>0.71477654973570404</v>
      </c>
    </row>
    <row r="449" spans="1:6" x14ac:dyDescent="0.2">
      <c r="A449" s="1549" t="s">
        <v>74</v>
      </c>
      <c r="B449" s="1549"/>
      <c r="C449" s="1123">
        <f t="shared" si="28"/>
        <v>3190000</v>
      </c>
      <c r="D449" s="1123">
        <f t="shared" si="28"/>
        <v>4162000</v>
      </c>
      <c r="E449" s="1123">
        <f t="shared" si="28"/>
        <v>2974900</v>
      </c>
      <c r="F449" s="1047">
        <f t="shared" si="29"/>
        <v>0.71477654973570404</v>
      </c>
    </row>
    <row r="450" spans="1:6" x14ac:dyDescent="0.2">
      <c r="A450" s="1041" t="s">
        <v>706</v>
      </c>
      <c r="B450" s="1125" t="s">
        <v>780</v>
      </c>
      <c r="C450" s="1121">
        <v>100000</v>
      </c>
      <c r="D450" s="1121">
        <v>100000</v>
      </c>
      <c r="E450" s="1121">
        <v>0</v>
      </c>
      <c r="F450" s="1045">
        <f t="shared" si="29"/>
        <v>0</v>
      </c>
    </row>
    <row r="451" spans="1:6" x14ac:dyDescent="0.2">
      <c r="A451" s="1041" t="s">
        <v>817</v>
      </c>
      <c r="B451" s="1125" t="s">
        <v>186</v>
      </c>
      <c r="C451" s="1121">
        <v>3246000</v>
      </c>
      <c r="D451" s="1121">
        <v>5116354</v>
      </c>
      <c r="E451" s="1121">
        <v>5115657</v>
      </c>
      <c r="F451" s="1045">
        <f t="shared" si="29"/>
        <v>0.99986377017696582</v>
      </c>
    </row>
    <row r="452" spans="1:6" x14ac:dyDescent="0.2">
      <c r="A452" s="1041" t="s">
        <v>709</v>
      </c>
      <c r="B452" s="1125" t="s">
        <v>90</v>
      </c>
      <c r="C452" s="1121">
        <v>0</v>
      </c>
      <c r="D452" s="1121">
        <v>505000</v>
      </c>
      <c r="E452" s="1121">
        <v>505000</v>
      </c>
      <c r="F452" s="1045">
        <f t="shared" si="29"/>
        <v>1</v>
      </c>
    </row>
    <row r="453" spans="1:6" x14ac:dyDescent="0.2">
      <c r="A453" s="1041" t="s">
        <v>703</v>
      </c>
      <c r="B453" s="1125" t="s">
        <v>557</v>
      </c>
      <c r="C453" s="1121">
        <v>877000</v>
      </c>
      <c r="D453" s="1121">
        <v>1381646</v>
      </c>
      <c r="E453" s="1121">
        <v>1381227</v>
      </c>
      <c r="F453" s="1045">
        <f t="shared" si="29"/>
        <v>0.99969673852781393</v>
      </c>
    </row>
    <row r="454" spans="1:6" x14ac:dyDescent="0.2">
      <c r="A454" s="1557" t="s">
        <v>168</v>
      </c>
      <c r="B454" s="1558"/>
      <c r="C454" s="1121">
        <f>SUM(C450:C453)</f>
        <v>4223000</v>
      </c>
      <c r="D454" s="1121">
        <f>SUM(D450:D453)</f>
        <v>7103000</v>
      </c>
      <c r="E454" s="1121">
        <f>SUM(E450:E453)</f>
        <v>7001884</v>
      </c>
      <c r="F454" s="1083">
        <f t="shared" si="29"/>
        <v>0.98576432493312682</v>
      </c>
    </row>
    <row r="455" spans="1:6" x14ac:dyDescent="0.2">
      <c r="A455" s="1549" t="s">
        <v>73</v>
      </c>
      <c r="B455" s="1549"/>
      <c r="C455" s="1126">
        <f>SUM(C454)</f>
        <v>4223000</v>
      </c>
      <c r="D455" s="1126">
        <f>SUM(D454)</f>
        <v>7103000</v>
      </c>
      <c r="E455" s="1126">
        <f>SUM(E454)</f>
        <v>7001884</v>
      </c>
      <c r="F455" s="1047">
        <f t="shared" si="29"/>
        <v>0.98576432493312682</v>
      </c>
    </row>
    <row r="456" spans="1:6" x14ac:dyDescent="0.2">
      <c r="A456" s="1552" t="s">
        <v>188</v>
      </c>
      <c r="B456" s="1553"/>
      <c r="C456" s="1553"/>
      <c r="D456" s="1553"/>
      <c r="E456" s="1553"/>
      <c r="F456" s="1554"/>
    </row>
    <row r="457" spans="1:6" x14ac:dyDescent="0.2">
      <c r="A457" s="1065" t="s">
        <v>70</v>
      </c>
      <c r="B457" s="1066" t="s">
        <v>71</v>
      </c>
      <c r="C457" s="1038" t="s">
        <v>687</v>
      </c>
      <c r="D457" s="1038" t="s">
        <v>688</v>
      </c>
      <c r="E457" s="1039" t="s">
        <v>689</v>
      </c>
      <c r="F457" s="1040" t="s">
        <v>690</v>
      </c>
    </row>
    <row r="458" spans="1:6" x14ac:dyDescent="0.2">
      <c r="A458" s="1097" t="s">
        <v>805</v>
      </c>
      <c r="B458" s="1098" t="s">
        <v>823</v>
      </c>
      <c r="C458" s="1121">
        <v>0</v>
      </c>
      <c r="D458" s="1043">
        <v>700000</v>
      </c>
      <c r="E458" s="1073">
        <v>107646</v>
      </c>
      <c r="F458" s="1045">
        <f>E458/D458</f>
        <v>0.15378</v>
      </c>
    </row>
    <row r="459" spans="1:6" x14ac:dyDescent="0.2">
      <c r="A459" s="1550" t="s">
        <v>20</v>
      </c>
      <c r="B459" s="1551"/>
      <c r="C459" s="1121">
        <f t="shared" ref="C459:E460" si="30">SUM(C458)</f>
        <v>0</v>
      </c>
      <c r="D459" s="1121">
        <f t="shared" si="30"/>
        <v>700000</v>
      </c>
      <c r="E459" s="1121">
        <f t="shared" si="30"/>
        <v>107646</v>
      </c>
      <c r="F459" s="1045">
        <f t="shared" ref="F459:F471" si="31">E459/D459</f>
        <v>0.15378</v>
      </c>
    </row>
    <row r="460" spans="1:6" x14ac:dyDescent="0.2">
      <c r="A460" s="1549" t="s">
        <v>74</v>
      </c>
      <c r="B460" s="1549"/>
      <c r="C460" s="1123">
        <f t="shared" si="30"/>
        <v>0</v>
      </c>
      <c r="D460" s="1123">
        <f t="shared" si="30"/>
        <v>700000</v>
      </c>
      <c r="E460" s="1123">
        <f t="shared" si="30"/>
        <v>107646</v>
      </c>
      <c r="F460" s="1047">
        <f t="shared" si="31"/>
        <v>0.15378</v>
      </c>
    </row>
    <row r="461" spans="1:6" x14ac:dyDescent="0.2">
      <c r="A461" s="1041" t="s">
        <v>706</v>
      </c>
      <c r="B461" s="1125" t="s">
        <v>780</v>
      </c>
      <c r="C461" s="1121">
        <v>0</v>
      </c>
      <c r="D461" s="1121">
        <v>1485000</v>
      </c>
      <c r="E461" s="1121">
        <v>1584000</v>
      </c>
      <c r="F461" s="1045">
        <f t="shared" si="31"/>
        <v>1.0666666666666667</v>
      </c>
    </row>
    <row r="462" spans="1:6" x14ac:dyDescent="0.2">
      <c r="A462" s="1041" t="s">
        <v>698</v>
      </c>
      <c r="B462" s="1042" t="s">
        <v>719</v>
      </c>
      <c r="C462" s="1121">
        <v>0</v>
      </c>
      <c r="D462" s="1121">
        <v>600000</v>
      </c>
      <c r="E462" s="1121">
        <v>297000</v>
      </c>
      <c r="F462" s="1045">
        <f t="shared" si="31"/>
        <v>0.495</v>
      </c>
    </row>
    <row r="463" spans="1:6" x14ac:dyDescent="0.2">
      <c r="A463" s="1041" t="s">
        <v>703</v>
      </c>
      <c r="B463" s="1125" t="s">
        <v>557</v>
      </c>
      <c r="C463" s="1043">
        <v>0</v>
      </c>
      <c r="D463" s="1073">
        <v>562950</v>
      </c>
      <c r="E463" s="1073">
        <v>507870</v>
      </c>
      <c r="F463" s="1045">
        <f t="shared" si="31"/>
        <v>0.90215827338129495</v>
      </c>
    </row>
    <row r="464" spans="1:6" x14ac:dyDescent="0.2">
      <c r="A464" s="1555" t="s">
        <v>168</v>
      </c>
      <c r="B464" s="1556"/>
      <c r="C464" s="1043">
        <f>SUM(C461:C463)</f>
        <v>0</v>
      </c>
      <c r="D464" s="1043">
        <f>SUM(D461:D463)</f>
        <v>2647950</v>
      </c>
      <c r="E464" s="1043">
        <f>SUM(E461:E463)</f>
        <v>2388870</v>
      </c>
      <c r="F464" s="1045">
        <f t="shared" si="31"/>
        <v>0.90215827338129495</v>
      </c>
    </row>
    <row r="465" spans="1:256" x14ac:dyDescent="0.2">
      <c r="A465" s="1041" t="s">
        <v>815</v>
      </c>
      <c r="B465" s="1042" t="s">
        <v>824</v>
      </c>
      <c r="C465" s="1043">
        <v>0</v>
      </c>
      <c r="D465" s="1043">
        <v>0</v>
      </c>
      <c r="E465" s="1073">
        <v>556000</v>
      </c>
      <c r="F465" s="1045" t="s">
        <v>446</v>
      </c>
    </row>
    <row r="466" spans="1:256" x14ac:dyDescent="0.2">
      <c r="A466" s="1041" t="s">
        <v>815</v>
      </c>
      <c r="B466" s="1042" t="s">
        <v>825</v>
      </c>
      <c r="C466" s="1043">
        <v>1060000</v>
      </c>
      <c r="D466" s="1043">
        <v>2360000</v>
      </c>
      <c r="E466" s="1073">
        <v>490000</v>
      </c>
      <c r="F466" s="1045">
        <f t="shared" si="31"/>
        <v>0.2076271186440678</v>
      </c>
      <c r="G466" s="1051"/>
      <c r="H466" s="1051"/>
      <c r="I466" s="1051"/>
      <c r="J466" s="1051"/>
      <c r="K466" s="1051"/>
      <c r="L466" s="1051"/>
      <c r="M466" s="1051"/>
      <c r="N466" s="1051"/>
      <c r="O466" s="1051"/>
      <c r="P466" s="1051"/>
      <c r="Q466" s="1051"/>
      <c r="R466" s="1051"/>
      <c r="S466" s="1051"/>
      <c r="T466" s="1051"/>
      <c r="U466" s="1051"/>
      <c r="V466" s="1051"/>
      <c r="W466" s="1051"/>
      <c r="X466" s="1051"/>
      <c r="Y466" s="1051"/>
      <c r="Z466" s="1051"/>
      <c r="AA466" s="1051"/>
      <c r="AB466" s="1051"/>
      <c r="AC466" s="1051"/>
      <c r="AD466" s="1051"/>
      <c r="AE466" s="1051"/>
      <c r="AF466" s="1051"/>
      <c r="AG466" s="1051"/>
      <c r="AH466" s="1051"/>
      <c r="AI466" s="1051"/>
      <c r="AJ466" s="1051"/>
      <c r="AK466" s="1051"/>
      <c r="AL466" s="1051"/>
      <c r="AM466" s="1051"/>
      <c r="AN466" s="1051"/>
      <c r="AO466" s="1051"/>
      <c r="AP466" s="1051"/>
      <c r="AQ466" s="1051"/>
      <c r="AR466" s="1051"/>
      <c r="AS466" s="1051"/>
      <c r="AT466" s="1051"/>
      <c r="AU466" s="1051"/>
      <c r="AV466" s="1051"/>
      <c r="AW466" s="1051"/>
      <c r="AX466" s="1051"/>
      <c r="AY466" s="1051"/>
      <c r="AZ466" s="1051"/>
      <c r="BA466" s="1051"/>
      <c r="BB466" s="1051"/>
      <c r="BC466" s="1051"/>
      <c r="BD466" s="1051"/>
      <c r="BE466" s="1051"/>
      <c r="BF466" s="1051"/>
      <c r="BG466" s="1051"/>
      <c r="BH466" s="1051"/>
      <c r="BI466" s="1051"/>
      <c r="BJ466" s="1051"/>
      <c r="BK466" s="1051"/>
      <c r="BL466" s="1051"/>
      <c r="BM466" s="1051"/>
      <c r="BN466" s="1051"/>
      <c r="BO466" s="1051"/>
      <c r="BP466" s="1051"/>
      <c r="BQ466" s="1051"/>
      <c r="BR466" s="1051"/>
      <c r="BS466" s="1051"/>
      <c r="BT466" s="1051"/>
      <c r="BU466" s="1051"/>
      <c r="BV466" s="1051"/>
      <c r="BW466" s="1051"/>
      <c r="BX466" s="1051"/>
      <c r="BY466" s="1051"/>
      <c r="BZ466" s="1051"/>
      <c r="CA466" s="1051"/>
      <c r="CB466" s="1051"/>
      <c r="CC466" s="1051"/>
      <c r="CD466" s="1051"/>
      <c r="CE466" s="1051"/>
      <c r="CF466" s="1051"/>
      <c r="CG466" s="1051"/>
      <c r="CH466" s="1051"/>
      <c r="CI466" s="1051"/>
      <c r="CJ466" s="1051"/>
      <c r="CK466" s="1051"/>
      <c r="CL466" s="1051"/>
      <c r="CM466" s="1051"/>
      <c r="CN466" s="1051"/>
      <c r="CO466" s="1051"/>
      <c r="CP466" s="1051"/>
      <c r="CQ466" s="1051"/>
      <c r="CR466" s="1051"/>
      <c r="CS466" s="1051"/>
      <c r="CT466" s="1051"/>
      <c r="CU466" s="1051"/>
      <c r="CV466" s="1051"/>
      <c r="CW466" s="1051"/>
      <c r="CX466" s="1051"/>
      <c r="CY466" s="1051"/>
      <c r="CZ466" s="1051"/>
      <c r="DA466" s="1051"/>
      <c r="DB466" s="1051"/>
      <c r="DC466" s="1051"/>
      <c r="DD466" s="1051"/>
      <c r="DE466" s="1051"/>
      <c r="DF466" s="1051"/>
      <c r="DG466" s="1051"/>
      <c r="DH466" s="1051"/>
      <c r="DI466" s="1051"/>
      <c r="DJ466" s="1051"/>
      <c r="DK466" s="1051"/>
      <c r="DL466" s="1051"/>
      <c r="DM466" s="1051"/>
      <c r="DN466" s="1051"/>
      <c r="DO466" s="1051"/>
      <c r="DP466" s="1051"/>
      <c r="DQ466" s="1051"/>
      <c r="DR466" s="1051"/>
      <c r="DS466" s="1051"/>
      <c r="DT466" s="1051"/>
      <c r="DU466" s="1051"/>
      <c r="DV466" s="1051"/>
      <c r="DW466" s="1051"/>
      <c r="DX466" s="1051"/>
      <c r="DY466" s="1051"/>
      <c r="DZ466" s="1051"/>
      <c r="EA466" s="1051"/>
      <c r="EB466" s="1051"/>
      <c r="EC466" s="1051"/>
      <c r="ED466" s="1051"/>
      <c r="EE466" s="1051"/>
      <c r="EF466" s="1051"/>
      <c r="EG466" s="1051"/>
      <c r="EH466" s="1051"/>
      <c r="EI466" s="1051"/>
      <c r="EJ466" s="1051"/>
      <c r="EK466" s="1051"/>
      <c r="EL466" s="1051"/>
      <c r="EM466" s="1051"/>
      <c r="EN466" s="1051"/>
      <c r="EO466" s="1051"/>
      <c r="EP466" s="1051"/>
      <c r="EQ466" s="1051"/>
      <c r="ER466" s="1051"/>
      <c r="ES466" s="1051"/>
      <c r="ET466" s="1051"/>
      <c r="EU466" s="1051"/>
      <c r="EV466" s="1051"/>
      <c r="EW466" s="1051"/>
      <c r="EX466" s="1051"/>
      <c r="EY466" s="1051"/>
      <c r="EZ466" s="1051"/>
      <c r="FA466" s="1051"/>
      <c r="FB466" s="1051"/>
      <c r="FC466" s="1051"/>
      <c r="FD466" s="1051"/>
      <c r="FE466" s="1051"/>
      <c r="FF466" s="1051"/>
      <c r="FG466" s="1051"/>
      <c r="FH466" s="1051"/>
      <c r="FI466" s="1051"/>
      <c r="FJ466" s="1051"/>
      <c r="FK466" s="1051"/>
      <c r="FL466" s="1051"/>
      <c r="FM466" s="1051"/>
      <c r="FN466" s="1051"/>
      <c r="FO466" s="1051"/>
      <c r="FP466" s="1051"/>
      <c r="FQ466" s="1051"/>
      <c r="FR466" s="1051"/>
      <c r="FS466" s="1051"/>
      <c r="FT466" s="1051"/>
      <c r="FU466" s="1051"/>
      <c r="FV466" s="1051"/>
      <c r="FW466" s="1051"/>
      <c r="FX466" s="1051"/>
      <c r="FY466" s="1051"/>
      <c r="FZ466" s="1051"/>
      <c r="GA466" s="1051"/>
      <c r="GB466" s="1051"/>
      <c r="GC466" s="1051"/>
      <c r="GD466" s="1051"/>
      <c r="GE466" s="1051"/>
      <c r="GF466" s="1051"/>
      <c r="GG466" s="1051"/>
      <c r="GH466" s="1051"/>
      <c r="GI466" s="1051"/>
      <c r="GJ466" s="1051"/>
      <c r="GK466" s="1051"/>
      <c r="GL466" s="1051"/>
      <c r="GM466" s="1051"/>
      <c r="GN466" s="1051"/>
      <c r="GO466" s="1051"/>
      <c r="GP466" s="1051"/>
      <c r="GQ466" s="1051"/>
      <c r="GR466" s="1051"/>
      <c r="GS466" s="1051"/>
      <c r="GT466" s="1051"/>
      <c r="GU466" s="1051"/>
      <c r="GV466" s="1051"/>
      <c r="GW466" s="1051"/>
      <c r="GX466" s="1051"/>
      <c r="GY466" s="1051"/>
      <c r="GZ466" s="1051"/>
      <c r="HA466" s="1051"/>
      <c r="HB466" s="1051"/>
      <c r="HC466" s="1051"/>
      <c r="HD466" s="1051"/>
      <c r="HE466" s="1051"/>
      <c r="HF466" s="1051"/>
      <c r="HG466" s="1051"/>
      <c r="HH466" s="1051"/>
      <c r="HI466" s="1051"/>
      <c r="HJ466" s="1051"/>
      <c r="HK466" s="1051"/>
      <c r="HL466" s="1051"/>
      <c r="HM466" s="1051"/>
      <c r="HN466" s="1051"/>
      <c r="HO466" s="1051"/>
      <c r="HP466" s="1051"/>
      <c r="HQ466" s="1051"/>
      <c r="HR466" s="1051"/>
      <c r="HS466" s="1051"/>
      <c r="HT466" s="1051"/>
      <c r="HU466" s="1051"/>
      <c r="HV466" s="1051"/>
      <c r="HW466" s="1051"/>
      <c r="HX466" s="1051"/>
      <c r="HY466" s="1051"/>
      <c r="HZ466" s="1051"/>
      <c r="IA466" s="1051"/>
      <c r="IB466" s="1051"/>
      <c r="IC466" s="1051"/>
      <c r="ID466" s="1051"/>
      <c r="IE466" s="1051"/>
      <c r="IF466" s="1051"/>
      <c r="IG466" s="1051"/>
      <c r="IH466" s="1051"/>
      <c r="II466" s="1051"/>
      <c r="IJ466" s="1051"/>
      <c r="IK466" s="1051"/>
      <c r="IL466" s="1051"/>
      <c r="IM466" s="1051"/>
      <c r="IN466" s="1051"/>
      <c r="IO466" s="1051"/>
      <c r="IP466" s="1051"/>
      <c r="IQ466" s="1051"/>
      <c r="IR466" s="1051"/>
      <c r="IS466" s="1051"/>
      <c r="IT466" s="1051"/>
      <c r="IU466" s="1051"/>
      <c r="IV466" s="1051"/>
    </row>
    <row r="467" spans="1:256" x14ac:dyDescent="0.2">
      <c r="A467" s="1041" t="s">
        <v>815</v>
      </c>
      <c r="B467" s="1042" t="s">
        <v>826</v>
      </c>
      <c r="C467" s="1043">
        <v>0</v>
      </c>
      <c r="D467" s="1043">
        <v>0</v>
      </c>
      <c r="E467" s="1073">
        <v>379095</v>
      </c>
      <c r="F467" s="1045" t="s">
        <v>446</v>
      </c>
      <c r="G467" s="1051"/>
      <c r="H467" s="1051"/>
      <c r="I467" s="1051"/>
      <c r="J467" s="1051"/>
      <c r="K467" s="1051"/>
      <c r="L467" s="1051"/>
      <c r="M467" s="1051"/>
      <c r="N467" s="1051"/>
      <c r="O467" s="1051"/>
      <c r="P467" s="1051"/>
      <c r="Q467" s="1051"/>
      <c r="R467" s="1051"/>
      <c r="S467" s="1051"/>
      <c r="T467" s="1051"/>
      <c r="U467" s="1051"/>
      <c r="V467" s="1051"/>
      <c r="W467" s="1051"/>
      <c r="X467" s="1051"/>
      <c r="Y467" s="1051"/>
      <c r="Z467" s="1051"/>
      <c r="AA467" s="1051"/>
      <c r="AB467" s="1051"/>
      <c r="AC467" s="1051"/>
      <c r="AD467" s="1051"/>
      <c r="AE467" s="1051"/>
      <c r="AF467" s="1051"/>
      <c r="AG467" s="1051"/>
      <c r="AH467" s="1051"/>
      <c r="AI467" s="1051"/>
      <c r="AJ467" s="1051"/>
      <c r="AK467" s="1051"/>
      <c r="AL467" s="1051"/>
      <c r="AM467" s="1051"/>
      <c r="AN467" s="1051"/>
      <c r="AO467" s="1051"/>
      <c r="AP467" s="1051"/>
      <c r="AQ467" s="1051"/>
      <c r="AR467" s="1051"/>
      <c r="AS467" s="1051"/>
      <c r="AT467" s="1051"/>
      <c r="AU467" s="1051"/>
      <c r="AV467" s="1051"/>
      <c r="AW467" s="1051"/>
      <c r="AX467" s="1051"/>
      <c r="AY467" s="1051"/>
      <c r="AZ467" s="1051"/>
      <c r="BA467" s="1051"/>
      <c r="BB467" s="1051"/>
      <c r="BC467" s="1051"/>
      <c r="BD467" s="1051"/>
      <c r="BE467" s="1051"/>
      <c r="BF467" s="1051"/>
      <c r="BG467" s="1051"/>
      <c r="BH467" s="1051"/>
      <c r="BI467" s="1051"/>
      <c r="BJ467" s="1051"/>
      <c r="BK467" s="1051"/>
      <c r="BL467" s="1051"/>
      <c r="BM467" s="1051"/>
      <c r="BN467" s="1051"/>
      <c r="BO467" s="1051"/>
      <c r="BP467" s="1051"/>
      <c r="BQ467" s="1051"/>
      <c r="BR467" s="1051"/>
      <c r="BS467" s="1051"/>
      <c r="BT467" s="1051"/>
      <c r="BU467" s="1051"/>
      <c r="BV467" s="1051"/>
      <c r="BW467" s="1051"/>
      <c r="BX467" s="1051"/>
      <c r="BY467" s="1051"/>
      <c r="BZ467" s="1051"/>
      <c r="CA467" s="1051"/>
      <c r="CB467" s="1051"/>
      <c r="CC467" s="1051"/>
      <c r="CD467" s="1051"/>
      <c r="CE467" s="1051"/>
      <c r="CF467" s="1051"/>
      <c r="CG467" s="1051"/>
      <c r="CH467" s="1051"/>
      <c r="CI467" s="1051"/>
      <c r="CJ467" s="1051"/>
      <c r="CK467" s="1051"/>
      <c r="CL467" s="1051"/>
      <c r="CM467" s="1051"/>
      <c r="CN467" s="1051"/>
      <c r="CO467" s="1051"/>
      <c r="CP467" s="1051"/>
      <c r="CQ467" s="1051"/>
      <c r="CR467" s="1051"/>
      <c r="CS467" s="1051"/>
      <c r="CT467" s="1051"/>
      <c r="CU467" s="1051"/>
      <c r="CV467" s="1051"/>
      <c r="CW467" s="1051"/>
      <c r="CX467" s="1051"/>
      <c r="CY467" s="1051"/>
      <c r="CZ467" s="1051"/>
      <c r="DA467" s="1051"/>
      <c r="DB467" s="1051"/>
      <c r="DC467" s="1051"/>
      <c r="DD467" s="1051"/>
      <c r="DE467" s="1051"/>
      <c r="DF467" s="1051"/>
      <c r="DG467" s="1051"/>
      <c r="DH467" s="1051"/>
      <c r="DI467" s="1051"/>
      <c r="DJ467" s="1051"/>
      <c r="DK467" s="1051"/>
      <c r="DL467" s="1051"/>
      <c r="DM467" s="1051"/>
      <c r="DN467" s="1051"/>
      <c r="DO467" s="1051"/>
      <c r="DP467" s="1051"/>
      <c r="DQ467" s="1051"/>
      <c r="DR467" s="1051"/>
      <c r="DS467" s="1051"/>
      <c r="DT467" s="1051"/>
      <c r="DU467" s="1051"/>
      <c r="DV467" s="1051"/>
      <c r="DW467" s="1051"/>
      <c r="DX467" s="1051"/>
      <c r="DY467" s="1051"/>
      <c r="DZ467" s="1051"/>
      <c r="EA467" s="1051"/>
      <c r="EB467" s="1051"/>
      <c r="EC467" s="1051"/>
      <c r="ED467" s="1051"/>
      <c r="EE467" s="1051"/>
      <c r="EF467" s="1051"/>
      <c r="EG467" s="1051"/>
      <c r="EH467" s="1051"/>
      <c r="EI467" s="1051"/>
      <c r="EJ467" s="1051"/>
      <c r="EK467" s="1051"/>
      <c r="EL467" s="1051"/>
      <c r="EM467" s="1051"/>
      <c r="EN467" s="1051"/>
      <c r="EO467" s="1051"/>
      <c r="EP467" s="1051"/>
      <c r="EQ467" s="1051"/>
      <c r="ER467" s="1051"/>
      <c r="ES467" s="1051"/>
      <c r="ET467" s="1051"/>
      <c r="EU467" s="1051"/>
      <c r="EV467" s="1051"/>
      <c r="EW467" s="1051"/>
      <c r="EX467" s="1051"/>
      <c r="EY467" s="1051"/>
      <c r="EZ467" s="1051"/>
      <c r="FA467" s="1051"/>
      <c r="FB467" s="1051"/>
      <c r="FC467" s="1051"/>
      <c r="FD467" s="1051"/>
      <c r="FE467" s="1051"/>
      <c r="FF467" s="1051"/>
      <c r="FG467" s="1051"/>
      <c r="FH467" s="1051"/>
      <c r="FI467" s="1051"/>
      <c r="FJ467" s="1051"/>
      <c r="FK467" s="1051"/>
      <c r="FL467" s="1051"/>
      <c r="FM467" s="1051"/>
      <c r="FN467" s="1051"/>
      <c r="FO467" s="1051"/>
      <c r="FP467" s="1051"/>
      <c r="FQ467" s="1051"/>
      <c r="FR467" s="1051"/>
      <c r="FS467" s="1051"/>
      <c r="FT467" s="1051"/>
      <c r="FU467" s="1051"/>
      <c r="FV467" s="1051"/>
      <c r="FW467" s="1051"/>
      <c r="FX467" s="1051"/>
      <c r="FY467" s="1051"/>
      <c r="FZ467" s="1051"/>
      <c r="GA467" s="1051"/>
      <c r="GB467" s="1051"/>
      <c r="GC467" s="1051"/>
      <c r="GD467" s="1051"/>
      <c r="GE467" s="1051"/>
      <c r="GF467" s="1051"/>
      <c r="GG467" s="1051"/>
      <c r="GH467" s="1051"/>
      <c r="GI467" s="1051"/>
      <c r="GJ467" s="1051"/>
      <c r="GK467" s="1051"/>
      <c r="GL467" s="1051"/>
      <c r="GM467" s="1051"/>
      <c r="GN467" s="1051"/>
      <c r="GO467" s="1051"/>
      <c r="GP467" s="1051"/>
      <c r="GQ467" s="1051"/>
      <c r="GR467" s="1051"/>
      <c r="GS467" s="1051"/>
      <c r="GT467" s="1051"/>
      <c r="GU467" s="1051"/>
      <c r="GV467" s="1051"/>
      <c r="GW467" s="1051"/>
      <c r="GX467" s="1051"/>
      <c r="GY467" s="1051"/>
      <c r="GZ467" s="1051"/>
      <c r="HA467" s="1051"/>
      <c r="HB467" s="1051"/>
      <c r="HC467" s="1051"/>
      <c r="HD467" s="1051"/>
      <c r="HE467" s="1051"/>
      <c r="HF467" s="1051"/>
      <c r="HG467" s="1051"/>
      <c r="HH467" s="1051"/>
      <c r="HI467" s="1051"/>
      <c r="HJ467" s="1051"/>
      <c r="HK467" s="1051"/>
      <c r="HL467" s="1051"/>
      <c r="HM467" s="1051"/>
      <c r="HN467" s="1051"/>
      <c r="HO467" s="1051"/>
      <c r="HP467" s="1051"/>
      <c r="HQ467" s="1051"/>
      <c r="HR467" s="1051"/>
      <c r="HS467" s="1051"/>
      <c r="HT467" s="1051"/>
      <c r="HU467" s="1051"/>
      <c r="HV467" s="1051"/>
      <c r="HW467" s="1051"/>
      <c r="HX467" s="1051"/>
      <c r="HY467" s="1051"/>
      <c r="HZ467" s="1051"/>
      <c r="IA467" s="1051"/>
      <c r="IB467" s="1051"/>
      <c r="IC467" s="1051"/>
      <c r="ID467" s="1051"/>
      <c r="IE467" s="1051"/>
      <c r="IF467" s="1051"/>
      <c r="IG467" s="1051"/>
      <c r="IH467" s="1051"/>
      <c r="II467" s="1051"/>
      <c r="IJ467" s="1051"/>
      <c r="IK467" s="1051"/>
      <c r="IL467" s="1051"/>
      <c r="IM467" s="1051"/>
      <c r="IN467" s="1051"/>
      <c r="IO467" s="1051"/>
      <c r="IP467" s="1051"/>
      <c r="IQ467" s="1051"/>
      <c r="IR467" s="1051"/>
      <c r="IS467" s="1051"/>
      <c r="IT467" s="1051"/>
      <c r="IU467" s="1051"/>
      <c r="IV467" s="1051"/>
    </row>
    <row r="468" spans="1:256" x14ac:dyDescent="0.2">
      <c r="A468" s="1548" t="s">
        <v>23</v>
      </c>
      <c r="B468" s="1548"/>
      <c r="C468" s="1043">
        <f>SUM(C465:C467)</f>
        <v>1060000</v>
      </c>
      <c r="D468" s="1043">
        <f>SUM(D465:D467)</f>
        <v>2360000</v>
      </c>
      <c r="E468" s="1043">
        <f>SUM(E465:E467)</f>
        <v>1425095</v>
      </c>
      <c r="F468" s="1045">
        <f t="shared" si="31"/>
        <v>0.60385381355932199</v>
      </c>
    </row>
    <row r="469" spans="1:256" x14ac:dyDescent="0.2">
      <c r="A469" s="1041" t="s">
        <v>749</v>
      </c>
      <c r="B469" s="1042" t="s">
        <v>827</v>
      </c>
      <c r="C469" s="1043">
        <v>180000</v>
      </c>
      <c r="D469" s="1073">
        <v>180000</v>
      </c>
      <c r="E469" s="1073">
        <v>0</v>
      </c>
      <c r="F469" s="1045">
        <f t="shared" si="31"/>
        <v>0</v>
      </c>
    </row>
    <row r="470" spans="1:256" x14ac:dyDescent="0.2">
      <c r="A470" s="1550" t="s">
        <v>24</v>
      </c>
      <c r="B470" s="1551"/>
      <c r="C470" s="1052">
        <f>SUM(C469)</f>
        <v>180000</v>
      </c>
      <c r="D470" s="1052">
        <f>SUM(D469)</f>
        <v>180000</v>
      </c>
      <c r="E470" s="1052">
        <f>SUM(E469)</f>
        <v>0</v>
      </c>
      <c r="F470" s="1045">
        <f t="shared" si="31"/>
        <v>0</v>
      </c>
    </row>
    <row r="471" spans="1:256" x14ac:dyDescent="0.2">
      <c r="A471" s="1549" t="s">
        <v>73</v>
      </c>
      <c r="B471" s="1549"/>
      <c r="C471" s="1046">
        <f>C464+C468+C470</f>
        <v>1240000</v>
      </c>
      <c r="D471" s="1046">
        <f>D464+D468+D470</f>
        <v>5187950</v>
      </c>
      <c r="E471" s="1046">
        <f>E464+E468+E470</f>
        <v>3813965</v>
      </c>
      <c r="F471" s="1047">
        <f t="shared" si="31"/>
        <v>0.7351583958981871</v>
      </c>
    </row>
    <row r="472" spans="1:256" x14ac:dyDescent="0.2">
      <c r="A472" s="1552" t="s">
        <v>189</v>
      </c>
      <c r="B472" s="1553"/>
      <c r="C472" s="1553"/>
      <c r="D472" s="1553"/>
      <c r="E472" s="1553"/>
      <c r="F472" s="1554"/>
    </row>
    <row r="473" spans="1:256" x14ac:dyDescent="0.2">
      <c r="A473" s="1065" t="s">
        <v>70</v>
      </c>
      <c r="B473" s="1066" t="s">
        <v>71</v>
      </c>
      <c r="C473" s="1038" t="s">
        <v>687</v>
      </c>
      <c r="D473" s="1038" t="s">
        <v>688</v>
      </c>
      <c r="E473" s="1039" t="s">
        <v>689</v>
      </c>
      <c r="F473" s="1040" t="s">
        <v>690</v>
      </c>
    </row>
    <row r="474" spans="1:256" x14ac:dyDescent="0.2">
      <c r="A474" s="1041" t="s">
        <v>828</v>
      </c>
      <c r="B474" s="1042" t="s">
        <v>829</v>
      </c>
      <c r="C474" s="1043">
        <v>80000</v>
      </c>
      <c r="D474" s="1043">
        <v>80000</v>
      </c>
      <c r="E474" s="1052">
        <v>59451</v>
      </c>
      <c r="F474" s="1045">
        <f>E474/D474</f>
        <v>0.74313750000000001</v>
      </c>
    </row>
    <row r="475" spans="1:256" x14ac:dyDescent="0.2">
      <c r="A475" s="1041" t="s">
        <v>830</v>
      </c>
      <c r="B475" s="1042" t="s">
        <v>831</v>
      </c>
      <c r="C475" s="1043">
        <v>13400000</v>
      </c>
      <c r="D475" s="1043">
        <v>13400000</v>
      </c>
      <c r="E475" s="1052">
        <v>13476550</v>
      </c>
      <c r="F475" s="1045">
        <f t="shared" ref="F475:F480" si="32">E475/D475</f>
        <v>1.0057126865671642</v>
      </c>
    </row>
    <row r="476" spans="1:256" x14ac:dyDescent="0.2">
      <c r="A476" s="1041" t="s">
        <v>832</v>
      </c>
      <c r="B476" s="1042" t="s">
        <v>833</v>
      </c>
      <c r="C476" s="1043">
        <v>30000000</v>
      </c>
      <c r="D476" s="1043">
        <v>34472788</v>
      </c>
      <c r="E476" s="1052">
        <v>33821501</v>
      </c>
      <c r="F476" s="1045">
        <f t="shared" si="32"/>
        <v>0.98110721418876823</v>
      </c>
    </row>
    <row r="477" spans="1:256" x14ac:dyDescent="0.2">
      <c r="A477" s="1096" t="s">
        <v>834</v>
      </c>
      <c r="B477" s="1096" t="s">
        <v>835</v>
      </c>
      <c r="C477" s="1043">
        <v>5000000</v>
      </c>
      <c r="D477" s="1043">
        <v>0</v>
      </c>
      <c r="E477" s="1052">
        <v>0</v>
      </c>
      <c r="F477" s="1045" t="s">
        <v>446</v>
      </c>
    </row>
    <row r="478" spans="1:256" x14ac:dyDescent="0.2">
      <c r="A478" s="1096" t="s">
        <v>704</v>
      </c>
      <c r="B478" s="1096" t="s">
        <v>705</v>
      </c>
      <c r="C478" s="1043">
        <v>0</v>
      </c>
      <c r="D478" s="1043">
        <v>80000</v>
      </c>
      <c r="E478" s="1052">
        <v>80342</v>
      </c>
      <c r="F478" s="1045">
        <f t="shared" si="32"/>
        <v>1.004275</v>
      </c>
    </row>
    <row r="479" spans="1:256" x14ac:dyDescent="0.2">
      <c r="A479" s="1548" t="s">
        <v>124</v>
      </c>
      <c r="B479" s="1548"/>
      <c r="C479" s="1043">
        <f>SUM(C474:C478)</f>
        <v>48480000</v>
      </c>
      <c r="D479" s="1043">
        <f>SUM(D474:D478)</f>
        <v>48032788</v>
      </c>
      <c r="E479" s="1043">
        <f>SUM(E474:E478)</f>
        <v>47437844</v>
      </c>
      <c r="F479" s="1045">
        <f t="shared" si="32"/>
        <v>0.98761379414411676</v>
      </c>
    </row>
    <row r="480" spans="1:256" x14ac:dyDescent="0.2">
      <c r="A480" s="1549" t="s">
        <v>74</v>
      </c>
      <c r="B480" s="1549"/>
      <c r="C480" s="1046">
        <f>SUM(C479)</f>
        <v>48480000</v>
      </c>
      <c r="D480" s="1046">
        <f>SUM(D479)</f>
        <v>48032788</v>
      </c>
      <c r="E480" s="1046">
        <f>SUM(E479)</f>
        <v>47437844</v>
      </c>
      <c r="F480" s="1047">
        <f t="shared" si="32"/>
        <v>0.98761379414411676</v>
      </c>
    </row>
    <row r="481" spans="1:6" x14ac:dyDescent="0.2">
      <c r="A481" s="1552" t="s">
        <v>190</v>
      </c>
      <c r="B481" s="1553"/>
      <c r="C481" s="1553"/>
      <c r="D481" s="1553"/>
      <c r="E481" s="1553"/>
      <c r="F481" s="1554"/>
    </row>
    <row r="482" spans="1:6" x14ac:dyDescent="0.2">
      <c r="A482" s="1065" t="s">
        <v>70</v>
      </c>
      <c r="B482" s="1066" t="s">
        <v>71</v>
      </c>
      <c r="C482" s="1038" t="s">
        <v>687</v>
      </c>
      <c r="D482" s="1038" t="s">
        <v>688</v>
      </c>
      <c r="E482" s="1039" t="s">
        <v>689</v>
      </c>
      <c r="F482" s="1040" t="s">
        <v>690</v>
      </c>
    </row>
    <row r="483" spans="1:6" x14ac:dyDescent="0.2">
      <c r="A483" s="1079" t="s">
        <v>517</v>
      </c>
      <c r="B483" s="1054" t="s">
        <v>785</v>
      </c>
      <c r="C483" s="1105">
        <v>910000</v>
      </c>
      <c r="D483" s="1105">
        <v>1326000</v>
      </c>
      <c r="E483" s="1052">
        <v>1325882</v>
      </c>
      <c r="F483" s="1045">
        <f>E483/D483</f>
        <v>0.99991101055806941</v>
      </c>
    </row>
    <row r="484" spans="1:6" x14ac:dyDescent="0.2">
      <c r="A484" s="1548" t="s">
        <v>20</v>
      </c>
      <c r="B484" s="1548"/>
      <c r="C484" s="1105">
        <f>SUM(C483)</f>
        <v>910000</v>
      </c>
      <c r="D484" s="1105">
        <f>SUM(D483)</f>
        <v>1326000</v>
      </c>
      <c r="E484" s="1105">
        <f>SUM(E483)</f>
        <v>1325882</v>
      </c>
      <c r="F484" s="1045">
        <f t="shared" ref="F484:F493" si="33">E484/D484</f>
        <v>0.99991101055806941</v>
      </c>
    </row>
    <row r="485" spans="1:6" x14ac:dyDescent="0.2">
      <c r="A485" s="1041" t="s">
        <v>836</v>
      </c>
      <c r="B485" s="1042" t="s">
        <v>837</v>
      </c>
      <c r="C485" s="1043">
        <v>64944098</v>
      </c>
      <c r="D485" s="1043">
        <v>64944098</v>
      </c>
      <c r="E485" s="1052">
        <v>58928098</v>
      </c>
      <c r="F485" s="1045">
        <f t="shared" si="33"/>
        <v>0.90736648617400151</v>
      </c>
    </row>
    <row r="486" spans="1:6" x14ac:dyDescent="0.2">
      <c r="A486" s="1548" t="s">
        <v>68</v>
      </c>
      <c r="B486" s="1548"/>
      <c r="C486" s="1043">
        <f>SUM(C485)</f>
        <v>64944098</v>
      </c>
      <c r="D486" s="1043">
        <f>SUM(D485)</f>
        <v>64944098</v>
      </c>
      <c r="E486" s="1043">
        <f>SUM(E485)</f>
        <v>58928098</v>
      </c>
      <c r="F486" s="1045">
        <f t="shared" si="33"/>
        <v>0.90736648617400151</v>
      </c>
    </row>
    <row r="487" spans="1:6" x14ac:dyDescent="0.2">
      <c r="A487" s="1549" t="s">
        <v>74</v>
      </c>
      <c r="B487" s="1549"/>
      <c r="C487" s="1046">
        <f>SUM(C486,C484)</f>
        <v>65854098</v>
      </c>
      <c r="D487" s="1046">
        <f>SUM(D486,D484)</f>
        <v>66270098</v>
      </c>
      <c r="E487" s="1046">
        <f>SUM(E486,E484)</f>
        <v>60253980</v>
      </c>
      <c r="F487" s="1047">
        <f t="shared" si="33"/>
        <v>0.90921821180949514</v>
      </c>
    </row>
    <row r="488" spans="1:6" x14ac:dyDescent="0.2">
      <c r="A488" s="1041" t="s">
        <v>698</v>
      </c>
      <c r="B488" s="1042" t="s">
        <v>838</v>
      </c>
      <c r="C488" s="1043">
        <v>50000</v>
      </c>
      <c r="D488" s="1043">
        <v>50000</v>
      </c>
      <c r="E488" s="1052">
        <v>51277</v>
      </c>
      <c r="F488" s="1127">
        <f t="shared" si="33"/>
        <v>1.0255399999999999</v>
      </c>
    </row>
    <row r="489" spans="1:6" x14ac:dyDescent="0.2">
      <c r="A489" s="1548" t="s">
        <v>168</v>
      </c>
      <c r="B489" s="1548"/>
      <c r="C489" s="1043">
        <f>SUM(C488)</f>
        <v>50000</v>
      </c>
      <c r="D489" s="1043">
        <f>SUM(D488)</f>
        <v>50000</v>
      </c>
      <c r="E489" s="1043">
        <f>SUM(E488)</f>
        <v>51277</v>
      </c>
      <c r="F489" s="1127">
        <f t="shared" si="33"/>
        <v>1.0255399999999999</v>
      </c>
    </row>
    <row r="490" spans="1:6" x14ac:dyDescent="0.2">
      <c r="A490" s="1056" t="s">
        <v>839</v>
      </c>
      <c r="B490" s="1057" t="s">
        <v>840</v>
      </c>
      <c r="C490" s="1043">
        <v>58928098</v>
      </c>
      <c r="D490" s="1043">
        <v>0</v>
      </c>
      <c r="E490" s="1043">
        <v>0</v>
      </c>
      <c r="F490" s="1127" t="s">
        <v>446</v>
      </c>
    </row>
    <row r="491" spans="1:6" x14ac:dyDescent="0.2">
      <c r="A491" s="1041" t="s">
        <v>841</v>
      </c>
      <c r="B491" s="1042" t="s">
        <v>842</v>
      </c>
      <c r="C491" s="1043">
        <v>0</v>
      </c>
      <c r="D491" s="1043">
        <v>60000000</v>
      </c>
      <c r="E491" s="1052">
        <v>60000000</v>
      </c>
      <c r="F491" s="1127">
        <f t="shared" si="33"/>
        <v>1</v>
      </c>
    </row>
    <row r="492" spans="1:6" x14ac:dyDescent="0.2">
      <c r="A492" s="1548" t="s">
        <v>69</v>
      </c>
      <c r="B492" s="1548"/>
      <c r="C492" s="1043">
        <f>SUM(C490:C491)</f>
        <v>58928098</v>
      </c>
      <c r="D492" s="1043">
        <f>SUM(D490:D491)</f>
        <v>60000000</v>
      </c>
      <c r="E492" s="1043">
        <f>SUM(E490:E491)</f>
        <v>60000000</v>
      </c>
      <c r="F492" s="1127">
        <f t="shared" si="33"/>
        <v>1</v>
      </c>
    </row>
    <row r="493" spans="1:6" x14ac:dyDescent="0.2">
      <c r="A493" s="1549" t="s">
        <v>73</v>
      </c>
      <c r="B493" s="1549"/>
      <c r="C493" s="1046">
        <f>SUM(C492+C489)</f>
        <v>58978098</v>
      </c>
      <c r="D493" s="1046">
        <f>SUM(D492+D489)</f>
        <v>60050000</v>
      </c>
      <c r="E493" s="1046">
        <f>SUM(E492+E489)</f>
        <v>60051277</v>
      </c>
      <c r="F493" s="1047">
        <f t="shared" si="33"/>
        <v>1.00002126561199</v>
      </c>
    </row>
    <row r="494" spans="1:6" x14ac:dyDescent="0.2">
      <c r="A494" s="1547" t="s">
        <v>191</v>
      </c>
      <c r="B494" s="1547"/>
      <c r="C494" s="1128">
        <f>C9+C28+C48+C75+C92+C116+C138+C158+C184+C194+C216+C237+C261+C295+C323+C350+C367+C401+C413+C428+C449+C460+C480+C487</f>
        <v>328321098</v>
      </c>
      <c r="D494" s="1128">
        <f>D9+D28+D48+D75+D92+D116+D138+D158+D184+D194+D216+D237+D261+D295+D323+D350+D367+D401+D413+D428+D449+D460+D480+D487</f>
        <v>351518573</v>
      </c>
      <c r="E494" s="1128">
        <f>E9+E28+E48+E75+E92+E116+E138+E158+E184+E194+E216+E237+E261+E295+E323+E350+E367+E401+E413+E428+E449+E460+E480+E487</f>
        <v>332038749</v>
      </c>
      <c r="F494" s="1129">
        <f>E494/D494</f>
        <v>0.94458379870585107</v>
      </c>
    </row>
    <row r="495" spans="1:6" x14ac:dyDescent="0.2">
      <c r="A495" s="1547" t="s">
        <v>192</v>
      </c>
      <c r="B495" s="1547"/>
      <c r="C495" s="1128">
        <f>C23+C38+C60+C84+C102+C109+C129+C153+C169+C179+C189+C204+C211+C227+C256+C282+C288+C308+C318+C334+C343+C362+C391+C396+C409+C416+C422+C438+C444+C455+C471+C493</f>
        <v>328321098</v>
      </c>
      <c r="D495" s="1128">
        <f>D23+D38+D60+D84+D102+D109+D129+D153+D169+D179+D189+D204+D211+D227+D256+D282+D288+D308+D318+D334+D343+D362+D391+D396+D409+D416+D422+D438+D444+D455+D471+D493</f>
        <v>351518573</v>
      </c>
      <c r="E495" s="1128">
        <f>E23+E38+E60+E84+E102+E109+E129+E153+E169+E179+E189+E204+E211+E227+E256+E282+E288+E308+E318+E334+E343+E362+E391+E396+E409+E416+E422+E438+E444+E455+E471+E493</f>
        <v>284652397</v>
      </c>
      <c r="F495" s="1129">
        <f>E495/D495</f>
        <v>0.80977910945263198</v>
      </c>
    </row>
    <row r="496" spans="1:6" x14ac:dyDescent="0.2">
      <c r="A496" s="801" t="s">
        <v>87</v>
      </c>
      <c r="B496" s="801" t="s">
        <v>97</v>
      </c>
      <c r="C496" s="1073">
        <f>C11+C119+C140+C268+C374+C325+C242+C160</f>
        <v>24963000</v>
      </c>
      <c r="D496" s="1073">
        <f>D11+D119+D140+D268+D374+D325+D242+D160</f>
        <v>31343167</v>
      </c>
      <c r="E496" s="1073">
        <f>E11+E119+E140+E268+E374+E325+E242+E160</f>
        <v>27008810</v>
      </c>
      <c r="F496" s="1083">
        <f t="shared" ref="F496:F515" si="34">E496/D496</f>
        <v>0.86171285754244298</v>
      </c>
    </row>
    <row r="497" spans="1:6" x14ac:dyDescent="0.2">
      <c r="A497" s="801" t="s">
        <v>88</v>
      </c>
      <c r="B497" s="801" t="s">
        <v>94</v>
      </c>
      <c r="C497" s="1073">
        <f>C13+C121+C142+C270+C376+C327+C244+C162</f>
        <v>3479000</v>
      </c>
      <c r="D497" s="1073">
        <f>D13+D121+D142+D270+D376+D327+D244+D162</f>
        <v>4088186</v>
      </c>
      <c r="E497" s="1073">
        <f>E13+E121+E142+E270+E376+E327+E244+E162</f>
        <v>3470098</v>
      </c>
      <c r="F497" s="1083">
        <f t="shared" si="34"/>
        <v>0.8488111842269408</v>
      </c>
    </row>
    <row r="498" spans="1:6" x14ac:dyDescent="0.2">
      <c r="A498" s="801" t="s">
        <v>92</v>
      </c>
      <c r="B498" s="801" t="s">
        <v>98</v>
      </c>
      <c r="C498" s="1073">
        <f>C22+C34+C53+C168+C175+C210+C223+C146+C186+C252+C281+C317+C333+C342+C358+C387+C405+C434+C421+C489+C196+C108+C125+C287+C299+C443+C454+C464</f>
        <v>58695000</v>
      </c>
      <c r="D498" s="1073">
        <f>D22+D34+D53+D168+D175+D210+D223+D146+D186+D252+D281+D317+D333+D342+D358+D387+D405+D434+D421+D489+D196+D108+D125+D287+D299+D443+D454+D464</f>
        <v>69464735</v>
      </c>
      <c r="E498" s="1073">
        <f>E22+E34+E53+E168+E175+E210+E223+E146+E186+E252+E281+E317+E333+E342+E358+E387+E405+E434+E421+E489+E196+E108+E125+E287+E299+E443+E454+E464</f>
        <v>52456947</v>
      </c>
      <c r="F498" s="1083">
        <f t="shared" si="34"/>
        <v>0.75515939130840992</v>
      </c>
    </row>
    <row r="499" spans="1:6" x14ac:dyDescent="0.2">
      <c r="A499" s="801" t="s">
        <v>93</v>
      </c>
      <c r="B499" s="801" t="s">
        <v>23</v>
      </c>
      <c r="C499" s="1073">
        <f>C468+C415</f>
        <v>2360000</v>
      </c>
      <c r="D499" s="1073">
        <f>D468+D415</f>
        <v>2360000</v>
      </c>
      <c r="E499" s="1073">
        <f>E468+E415</f>
        <v>1425095</v>
      </c>
      <c r="F499" s="1083">
        <f t="shared" si="34"/>
        <v>0.60385381355932199</v>
      </c>
    </row>
    <row r="500" spans="1:6" x14ac:dyDescent="0.2">
      <c r="A500" s="801" t="s">
        <v>111</v>
      </c>
      <c r="B500" s="801" t="s">
        <v>24</v>
      </c>
      <c r="C500" s="1073">
        <f>C81+C301+C470+C394+C99</f>
        <v>92238715</v>
      </c>
      <c r="D500" s="1073">
        <f>D81+D301+D470+D394+D99</f>
        <v>92463600</v>
      </c>
      <c r="E500" s="1073">
        <f>E81+E301+E470+E394+E99</f>
        <v>59510892</v>
      </c>
      <c r="F500" s="1083">
        <f t="shared" si="34"/>
        <v>0.64361426550556111</v>
      </c>
    </row>
    <row r="501" spans="1:6" x14ac:dyDescent="0.2">
      <c r="A501" s="801" t="s">
        <v>112</v>
      </c>
      <c r="B501" s="801" t="s">
        <v>12</v>
      </c>
      <c r="C501" s="1073">
        <f>C255+C56+C149+C128+C178+C200+C226+C304+C390+C408</f>
        <v>21654000</v>
      </c>
      <c r="D501" s="1073">
        <f>D255+D56+D149+D128+D178+D200+D226+D304+D390+D408</f>
        <v>37419000</v>
      </c>
      <c r="E501" s="1073">
        <f>E255+E56+E149+E128+E178+E200+E226+E304+E390+E408</f>
        <v>31191803</v>
      </c>
      <c r="F501" s="1083">
        <f t="shared" si="34"/>
        <v>0.83358195034608085</v>
      </c>
    </row>
    <row r="502" spans="1:6" x14ac:dyDescent="0.2">
      <c r="A502" s="801" t="s">
        <v>113</v>
      </c>
      <c r="B502" s="801" t="s">
        <v>11</v>
      </c>
      <c r="C502" s="1073">
        <f>C37+C361+C437+C59+C152+C203</f>
        <v>25721000</v>
      </c>
      <c r="D502" s="1073">
        <f>D37+D361+D437+D59+D152+D203</f>
        <v>4309600</v>
      </c>
      <c r="E502" s="1073">
        <f>E37+E361+E437+E59+E152+E203</f>
        <v>1446481</v>
      </c>
      <c r="F502" s="1083">
        <f t="shared" si="34"/>
        <v>0.33564159086690182</v>
      </c>
    </row>
    <row r="503" spans="1:6" x14ac:dyDescent="0.2">
      <c r="A503" s="801" t="s">
        <v>114</v>
      </c>
      <c r="B503" s="801" t="s">
        <v>223</v>
      </c>
      <c r="C503" s="1073">
        <f>C188+C307</f>
        <v>3502000</v>
      </c>
      <c r="D503" s="1073">
        <f>D188+D307</f>
        <v>3702000</v>
      </c>
      <c r="E503" s="1073">
        <f>E188+E307</f>
        <v>1773986</v>
      </c>
      <c r="F503" s="1083">
        <f t="shared" si="34"/>
        <v>0.47919665045921123</v>
      </c>
    </row>
    <row r="504" spans="1:6" x14ac:dyDescent="0.2">
      <c r="A504" s="801" t="s">
        <v>115</v>
      </c>
      <c r="B504" s="801" t="s">
        <v>69</v>
      </c>
      <c r="C504" s="1073">
        <f>C101+C83+C492</f>
        <v>95708383</v>
      </c>
      <c r="D504" s="1073">
        <f>D101+D83+D492</f>
        <v>106368285</v>
      </c>
      <c r="E504" s="1073">
        <f>E101+E83+E492</f>
        <v>106368285</v>
      </c>
      <c r="F504" s="1083">
        <f>E504/D504</f>
        <v>1</v>
      </c>
    </row>
    <row r="505" spans="1:6" x14ac:dyDescent="0.2">
      <c r="A505" s="1130"/>
      <c r="B505" s="1130" t="s">
        <v>99</v>
      </c>
      <c r="C505" s="1128">
        <f>SUM(C496:C504)</f>
        <v>328321098</v>
      </c>
      <c r="D505" s="1128">
        <f>SUM(D496:D504)</f>
        <v>351518573</v>
      </c>
      <c r="E505" s="1128">
        <f>SUM(E496:E504)</f>
        <v>284652397</v>
      </c>
      <c r="F505" s="1129">
        <f t="shared" si="34"/>
        <v>0.80977910945263198</v>
      </c>
    </row>
    <row r="506" spans="1:6" x14ac:dyDescent="0.2">
      <c r="A506" s="801" t="s">
        <v>100</v>
      </c>
      <c r="B506" s="801" t="s">
        <v>18</v>
      </c>
      <c r="C506" s="1073">
        <f>C507+C113+C133+C260+C322+C88+C231+C400</f>
        <v>135154476</v>
      </c>
      <c r="D506" s="1073">
        <f>D507+D113+D133+D260+D322+D88+D231+D400</f>
        <v>146988344</v>
      </c>
      <c r="E506" s="1073">
        <f>E507+E113+E133+E260+E322+E88+E231+E400</f>
        <v>145834355</v>
      </c>
      <c r="F506" s="1083">
        <f t="shared" si="34"/>
        <v>0.99214911217722135</v>
      </c>
    </row>
    <row r="507" spans="1:6" x14ac:dyDescent="0.2">
      <c r="B507" s="1131" t="s">
        <v>101</v>
      </c>
      <c r="C507" s="1132">
        <f>C70</f>
        <v>115707126</v>
      </c>
      <c r="D507" s="1132">
        <f>D70</f>
        <v>124034932</v>
      </c>
      <c r="E507" s="1132">
        <f>E70</f>
        <v>124031712</v>
      </c>
      <c r="F507" s="1083">
        <f t="shared" si="34"/>
        <v>0.99997403957136854</v>
      </c>
    </row>
    <row r="508" spans="1:6" x14ac:dyDescent="0.2">
      <c r="A508" s="801" t="s">
        <v>102</v>
      </c>
      <c r="B508" s="801" t="s">
        <v>51</v>
      </c>
      <c r="C508" s="1073">
        <f>C193+C135+C115+C233</f>
        <v>9534000</v>
      </c>
      <c r="D508" s="1073">
        <f>D193+D135+D115+D233</f>
        <v>9534000</v>
      </c>
      <c r="E508" s="1073">
        <f>E193+E135+E115+E233</f>
        <v>3982992</v>
      </c>
      <c r="F508" s="1083">
        <f t="shared" si="34"/>
        <v>0.41776714915040908</v>
      </c>
    </row>
    <row r="509" spans="1:6" x14ac:dyDescent="0.2">
      <c r="A509" s="801" t="s">
        <v>103</v>
      </c>
      <c r="B509" s="801" t="s">
        <v>124</v>
      </c>
      <c r="C509" s="1073">
        <f>C27+C479+C8</f>
        <v>48515000</v>
      </c>
      <c r="D509" s="1073">
        <f>D27+D479+D8</f>
        <v>48067788</v>
      </c>
      <c r="E509" s="1073">
        <f>E27+E479+E8</f>
        <v>47471910</v>
      </c>
      <c r="F509" s="1083">
        <f t="shared" si="34"/>
        <v>0.987603382123596</v>
      </c>
    </row>
    <row r="510" spans="1:6" x14ac:dyDescent="0.2">
      <c r="A510" s="801" t="s">
        <v>104</v>
      </c>
      <c r="B510" s="801" t="s">
        <v>20</v>
      </c>
      <c r="C510" s="1073">
        <f>C45+C137+C157+C292+C484+C427+C459+C72+C236+C349+C412+C448</f>
        <v>17173000</v>
      </c>
      <c r="D510" s="1073">
        <f>D45+D137+D157+D292+D484+D427+D459+D72+D236+D349+D412+D448</f>
        <v>19637495</v>
      </c>
      <c r="E510" s="1073">
        <f>E45+E137+E157+E292+E484+E427+E459+E72+E236+E349+E412+E448</f>
        <v>15429550</v>
      </c>
      <c r="F510" s="1083">
        <f t="shared" si="34"/>
        <v>0.78571885059677926</v>
      </c>
    </row>
    <row r="511" spans="1:6" x14ac:dyDescent="0.2">
      <c r="A511" s="801" t="s">
        <v>105</v>
      </c>
      <c r="B511" s="801" t="s">
        <v>54</v>
      </c>
      <c r="C511" s="1073">
        <f>C215</f>
        <v>0</v>
      </c>
      <c r="D511" s="1073">
        <f>D215</f>
        <v>600000</v>
      </c>
      <c r="E511" s="1073">
        <f>E215</f>
        <v>600000</v>
      </c>
      <c r="F511" s="1083">
        <f t="shared" si="34"/>
        <v>1</v>
      </c>
    </row>
    <row r="512" spans="1:6" x14ac:dyDescent="0.2">
      <c r="A512" s="801" t="s">
        <v>106</v>
      </c>
      <c r="B512" s="801" t="s">
        <v>96</v>
      </c>
      <c r="C512" s="1073">
        <f>C366+C47</f>
        <v>2718000</v>
      </c>
      <c r="D512" s="1073">
        <f>D366+D47</f>
        <v>2345300</v>
      </c>
      <c r="E512" s="1073">
        <f>E366+E47</f>
        <v>2345298</v>
      </c>
      <c r="F512" s="1083">
        <f t="shared" si="34"/>
        <v>0.99999914723063144</v>
      </c>
    </row>
    <row r="513" spans="1:6" x14ac:dyDescent="0.2">
      <c r="A513" s="801" t="s">
        <v>107</v>
      </c>
      <c r="B513" s="801" t="s">
        <v>95</v>
      </c>
      <c r="C513" s="1073">
        <f>C183+C294</f>
        <v>5155000</v>
      </c>
      <c r="D513" s="1073">
        <f>D183+D294</f>
        <v>5155000</v>
      </c>
      <c r="E513" s="1073">
        <f>E183+E294</f>
        <v>3199998</v>
      </c>
      <c r="F513" s="1083">
        <f t="shared" si="34"/>
        <v>0.62075615906886517</v>
      </c>
    </row>
    <row r="514" spans="1:6" x14ac:dyDescent="0.2">
      <c r="A514" s="801" t="s">
        <v>108</v>
      </c>
      <c r="B514" s="801" t="s">
        <v>68</v>
      </c>
      <c r="C514" s="1073">
        <f>C91+C486+C74</f>
        <v>110071622</v>
      </c>
      <c r="D514" s="1073">
        <f>D91+D486+D74</f>
        <v>119190646</v>
      </c>
      <c r="E514" s="1073">
        <f>E91+E486+E74</f>
        <v>113174646</v>
      </c>
      <c r="F514" s="1083">
        <f t="shared" si="34"/>
        <v>0.94952624050716194</v>
      </c>
    </row>
    <row r="515" spans="1:6" x14ac:dyDescent="0.2">
      <c r="A515" s="1130"/>
      <c r="B515" s="1130" t="s">
        <v>109</v>
      </c>
      <c r="C515" s="1128">
        <f>C506+C508+C509+C510+C511+C512+C513+C514</f>
        <v>328321098</v>
      </c>
      <c r="D515" s="1128">
        <f>D506+D508+D509+D510+D511+D512+D513+D514</f>
        <v>351518573</v>
      </c>
      <c r="E515" s="1128">
        <f>E506+E508+E509+E510+E511+E512+E513+E514</f>
        <v>332038749</v>
      </c>
      <c r="F515" s="1129">
        <f t="shared" si="34"/>
        <v>0.94458379870585107</v>
      </c>
    </row>
    <row r="516" spans="1:6" x14ac:dyDescent="0.2">
      <c r="A516" s="1133"/>
      <c r="B516" s="1133"/>
      <c r="C516" s="1134"/>
    </row>
    <row r="517" spans="1:6" x14ac:dyDescent="0.2">
      <c r="B517" s="801" t="s">
        <v>237</v>
      </c>
      <c r="C517" s="1073">
        <f>C505-C515</f>
        <v>0</v>
      </c>
    </row>
  </sheetData>
  <mergeCells count="200">
    <mergeCell ref="B1:F1"/>
    <mergeCell ref="A3:F3"/>
    <mergeCell ref="A5:F5"/>
    <mergeCell ref="A8:B8"/>
    <mergeCell ref="A9:B9"/>
    <mergeCell ref="A11:B11"/>
    <mergeCell ref="A13:B13"/>
    <mergeCell ref="A22:B22"/>
    <mergeCell ref="A23:B23"/>
    <mergeCell ref="A24:F24"/>
    <mergeCell ref="A27:B27"/>
    <mergeCell ref="A28:B28"/>
    <mergeCell ref="A34:B34"/>
    <mergeCell ref="A37:B37"/>
    <mergeCell ref="A38:B38"/>
    <mergeCell ref="A39:F39"/>
    <mergeCell ref="A45:B45"/>
    <mergeCell ref="A47:B47"/>
    <mergeCell ref="A48:B48"/>
    <mergeCell ref="A53:B53"/>
    <mergeCell ref="A56:B56"/>
    <mergeCell ref="A59:B59"/>
    <mergeCell ref="A60:B60"/>
    <mergeCell ref="A61:F61"/>
    <mergeCell ref="A70:B70"/>
    <mergeCell ref="A72:B72"/>
    <mergeCell ref="A74:B74"/>
    <mergeCell ref="A75:B75"/>
    <mergeCell ref="A81:B81"/>
    <mergeCell ref="A83:B83"/>
    <mergeCell ref="A84:B84"/>
    <mergeCell ref="A85:F85"/>
    <mergeCell ref="A88:B88"/>
    <mergeCell ref="A91:B91"/>
    <mergeCell ref="A92:B92"/>
    <mergeCell ref="A99:B99"/>
    <mergeCell ref="A101:B101"/>
    <mergeCell ref="A102:B102"/>
    <mergeCell ref="A103:F103"/>
    <mergeCell ref="A108:B108"/>
    <mergeCell ref="A109:B109"/>
    <mergeCell ref="A110:F110"/>
    <mergeCell ref="A113:B113"/>
    <mergeCell ref="A115:B115"/>
    <mergeCell ref="A116:B116"/>
    <mergeCell ref="A119:B119"/>
    <mergeCell ref="A121:B121"/>
    <mergeCell ref="A125:B125"/>
    <mergeCell ref="A128:B128"/>
    <mergeCell ref="A129:B129"/>
    <mergeCell ref="A130:F130"/>
    <mergeCell ref="A133:B133"/>
    <mergeCell ref="A135:B135"/>
    <mergeCell ref="A137:B137"/>
    <mergeCell ref="A138:B138"/>
    <mergeCell ref="A140:B140"/>
    <mergeCell ref="A142:B142"/>
    <mergeCell ref="A146:B146"/>
    <mergeCell ref="A149:B149"/>
    <mergeCell ref="A152:B152"/>
    <mergeCell ref="A153:B153"/>
    <mergeCell ref="A154:F154"/>
    <mergeCell ref="A157:B157"/>
    <mergeCell ref="A158:B158"/>
    <mergeCell ref="A160:B160"/>
    <mergeCell ref="A162:B162"/>
    <mergeCell ref="A168:B168"/>
    <mergeCell ref="A169:B169"/>
    <mergeCell ref="A170:F170"/>
    <mergeCell ref="A175:B175"/>
    <mergeCell ref="A178:B178"/>
    <mergeCell ref="A179:B179"/>
    <mergeCell ref="A180:F180"/>
    <mergeCell ref="A183:B183"/>
    <mergeCell ref="A184:B184"/>
    <mergeCell ref="A186:B186"/>
    <mergeCell ref="A188:B188"/>
    <mergeCell ref="A189:B189"/>
    <mergeCell ref="A190:F190"/>
    <mergeCell ref="A193:B193"/>
    <mergeCell ref="A194:B194"/>
    <mergeCell ref="A196:B196"/>
    <mergeCell ref="A200:B200"/>
    <mergeCell ref="A203:B203"/>
    <mergeCell ref="A204:B204"/>
    <mergeCell ref="A205:F205"/>
    <mergeCell ref="A210:B210"/>
    <mergeCell ref="A211:B211"/>
    <mergeCell ref="A212:F212"/>
    <mergeCell ref="A215:B215"/>
    <mergeCell ref="A216:B216"/>
    <mergeCell ref="A223:B223"/>
    <mergeCell ref="A226:B226"/>
    <mergeCell ref="A227:B227"/>
    <mergeCell ref="A228:F228"/>
    <mergeCell ref="A231:B231"/>
    <mergeCell ref="A233:B233"/>
    <mergeCell ref="A236:B236"/>
    <mergeCell ref="A237:B237"/>
    <mergeCell ref="A242:B242"/>
    <mergeCell ref="A244:B244"/>
    <mergeCell ref="A252:B252"/>
    <mergeCell ref="A255:B255"/>
    <mergeCell ref="A256:B256"/>
    <mergeCell ref="A257:F257"/>
    <mergeCell ref="A260:B260"/>
    <mergeCell ref="A261:B261"/>
    <mergeCell ref="A268:B268"/>
    <mergeCell ref="A270:B270"/>
    <mergeCell ref="A281:B281"/>
    <mergeCell ref="A282:B282"/>
    <mergeCell ref="A283:F283"/>
    <mergeCell ref="A287:B287"/>
    <mergeCell ref="A288:B288"/>
    <mergeCell ref="A289:F289"/>
    <mergeCell ref="A292:B292"/>
    <mergeCell ref="A294:B294"/>
    <mergeCell ref="A295:B295"/>
    <mergeCell ref="A299:B299"/>
    <mergeCell ref="A301:B301"/>
    <mergeCell ref="A304:B304"/>
    <mergeCell ref="A307:B307"/>
    <mergeCell ref="A308:B308"/>
    <mergeCell ref="A309:F309"/>
    <mergeCell ref="A317:B317"/>
    <mergeCell ref="A318:B318"/>
    <mergeCell ref="A319:F319"/>
    <mergeCell ref="A322:B322"/>
    <mergeCell ref="A323:B323"/>
    <mergeCell ref="A325:B325"/>
    <mergeCell ref="A327:B327"/>
    <mergeCell ref="A333:B333"/>
    <mergeCell ref="A334:B334"/>
    <mergeCell ref="A335:F335"/>
    <mergeCell ref="A342:B342"/>
    <mergeCell ref="A343:B343"/>
    <mergeCell ref="A344:F344"/>
    <mergeCell ref="A349:B349"/>
    <mergeCell ref="A350:B350"/>
    <mergeCell ref="A358:B358"/>
    <mergeCell ref="A361:B361"/>
    <mergeCell ref="A362:B362"/>
    <mergeCell ref="A363:F363"/>
    <mergeCell ref="A366:B366"/>
    <mergeCell ref="A367:B367"/>
    <mergeCell ref="A374:B374"/>
    <mergeCell ref="A376:B376"/>
    <mergeCell ref="A387:B387"/>
    <mergeCell ref="A390:B390"/>
    <mergeCell ref="A391:B391"/>
    <mergeCell ref="A392:F392"/>
    <mergeCell ref="A395:B395"/>
    <mergeCell ref="A396:B396"/>
    <mergeCell ref="A397:F397"/>
    <mergeCell ref="A400:B400"/>
    <mergeCell ref="A401:B401"/>
    <mergeCell ref="A405:B405"/>
    <mergeCell ref="A408:B408"/>
    <mergeCell ref="A409:B409"/>
    <mergeCell ref="A410:F410"/>
    <mergeCell ref="A412:B412"/>
    <mergeCell ref="A413:B413"/>
    <mergeCell ref="A415:B415"/>
    <mergeCell ref="A416:B416"/>
    <mergeCell ref="A417:F417"/>
    <mergeCell ref="A421:B421"/>
    <mergeCell ref="A422:B422"/>
    <mergeCell ref="A423:F423"/>
    <mergeCell ref="A427:B427"/>
    <mergeCell ref="A428:B428"/>
    <mergeCell ref="A434:B434"/>
    <mergeCell ref="A437:B437"/>
    <mergeCell ref="A438:B438"/>
    <mergeCell ref="A439:F439"/>
    <mergeCell ref="A443:B443"/>
    <mergeCell ref="A444:B444"/>
    <mergeCell ref="A445:F445"/>
    <mergeCell ref="A448:B448"/>
    <mergeCell ref="A449:B449"/>
    <mergeCell ref="A454:B454"/>
    <mergeCell ref="A455:B455"/>
    <mergeCell ref="A456:F456"/>
    <mergeCell ref="A459:B459"/>
    <mergeCell ref="A460:B460"/>
    <mergeCell ref="A464:B464"/>
    <mergeCell ref="A468:B468"/>
    <mergeCell ref="A470:B470"/>
    <mergeCell ref="A471:B471"/>
    <mergeCell ref="A472:F472"/>
    <mergeCell ref="A479:B479"/>
    <mergeCell ref="A480:B480"/>
    <mergeCell ref="A481:F481"/>
    <mergeCell ref="A494:B494"/>
    <mergeCell ref="A495:B495"/>
    <mergeCell ref="A484:B484"/>
    <mergeCell ref="A486:B486"/>
    <mergeCell ref="A487:B487"/>
    <mergeCell ref="A489:B489"/>
    <mergeCell ref="A492:B492"/>
    <mergeCell ref="A493:B493"/>
  </mergeCells>
  <pageMargins left="1.1023622047244095" right="0.70866141732283472" top="0.74803149606299213" bottom="0.74803149606299213" header="0.31496062992125984" footer="0.31496062992125984"/>
  <pageSetup paperSize="9" scale="60" orientation="portrait" r:id="rId1"/>
  <colBreaks count="2" manualBreakCount="2">
    <brk id="6" max="1048575" man="1"/>
    <brk id="15" max="516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8"/>
  <sheetViews>
    <sheetView showGridLines="0" zoomScale="166" zoomScaleNormal="166" workbookViewId="0">
      <pane ySplit="3" topLeftCell="A64" activePane="bottomLeft" state="frozenSplit"/>
      <selection pane="bottomLeft" activeCell="B1" sqref="B1:E1"/>
    </sheetView>
  </sheetViews>
  <sheetFormatPr defaultColWidth="8.7109375" defaultRowHeight="12.75" x14ac:dyDescent="0.2"/>
  <cols>
    <col min="1" max="1" width="10.28515625" style="771" customWidth="1"/>
    <col min="2" max="2" width="42.7109375" style="683" customWidth="1"/>
    <col min="3" max="5" width="13" style="634" customWidth="1"/>
    <col min="6" max="6" width="12.42578125" style="683" bestFit="1" customWidth="1"/>
    <col min="7" max="16384" width="8.7109375" style="683"/>
  </cols>
  <sheetData>
    <row r="1" spans="1:6" ht="12.75" customHeight="1" x14ac:dyDescent="0.2">
      <c r="B1" s="1353" t="s">
        <v>1018</v>
      </c>
      <c r="C1" s="1353"/>
      <c r="D1" s="1364"/>
      <c r="E1" s="1364"/>
    </row>
    <row r="2" spans="1:6" ht="12.75" customHeight="1" x14ac:dyDescent="0.2">
      <c r="B2" s="552"/>
      <c r="C2" s="552"/>
      <c r="D2" s="552"/>
      <c r="E2" s="552"/>
    </row>
    <row r="3" spans="1:6" ht="28.5" customHeight="1" thickBot="1" x14ac:dyDescent="0.25">
      <c r="A3" s="1603" t="s">
        <v>506</v>
      </c>
      <c r="B3" s="1604"/>
      <c r="C3" s="1604"/>
      <c r="D3" s="1357"/>
      <c r="E3" s="1357"/>
    </row>
    <row r="4" spans="1:6" ht="10.5" customHeight="1" x14ac:dyDescent="0.2">
      <c r="A4" s="1595" t="s">
        <v>507</v>
      </c>
      <c r="B4" s="1596"/>
      <c r="C4" s="1597"/>
      <c r="D4" s="1023"/>
      <c r="E4" s="1023"/>
    </row>
    <row r="5" spans="1:6" ht="24.75" customHeight="1" x14ac:dyDescent="0.2">
      <c r="A5" s="773" t="s">
        <v>70</v>
      </c>
      <c r="B5" s="774" t="s">
        <v>71</v>
      </c>
      <c r="C5" s="775" t="s">
        <v>508</v>
      </c>
      <c r="D5" s="775" t="s">
        <v>681</v>
      </c>
      <c r="E5" s="775" t="s">
        <v>682</v>
      </c>
    </row>
    <row r="6" spans="1:6" ht="12" customHeight="1" x14ac:dyDescent="0.2">
      <c r="A6" s="776" t="s">
        <v>509</v>
      </c>
      <c r="B6" s="777" t="s">
        <v>510</v>
      </c>
      <c r="C6" s="778">
        <f>SUM(F11-C11)</f>
        <v>6107000</v>
      </c>
      <c r="D6" s="778">
        <v>1296099</v>
      </c>
      <c r="E6" s="778">
        <v>1296099</v>
      </c>
    </row>
    <row r="7" spans="1:6" ht="12" customHeight="1" x14ac:dyDescent="0.2">
      <c r="A7" s="1598" t="s">
        <v>18</v>
      </c>
      <c r="B7" s="1599"/>
      <c r="C7" s="778">
        <f>SUM(C6)</f>
        <v>6107000</v>
      </c>
      <c r="D7" s="778">
        <f>SUM(D6)</f>
        <v>1296099</v>
      </c>
      <c r="E7" s="778">
        <f>SUM(E6)</f>
        <v>1296099</v>
      </c>
    </row>
    <row r="8" spans="1:6" ht="12" customHeight="1" x14ac:dyDescent="0.2">
      <c r="A8" s="786" t="s">
        <v>519</v>
      </c>
      <c r="B8" s="780" t="s">
        <v>234</v>
      </c>
      <c r="C8" s="781">
        <v>0</v>
      </c>
      <c r="D8" s="781">
        <v>3944</v>
      </c>
      <c r="E8" s="781">
        <v>3944</v>
      </c>
    </row>
    <row r="9" spans="1:6" ht="12" customHeight="1" x14ac:dyDescent="0.2">
      <c r="A9" s="1591" t="s">
        <v>20</v>
      </c>
      <c r="B9" s="1592"/>
      <c r="C9" s="784">
        <f>SUM(C8)</f>
        <v>0</v>
      </c>
      <c r="D9" s="784">
        <f>SUM(D8)</f>
        <v>3944</v>
      </c>
      <c r="E9" s="784">
        <f>SUM(E8)</f>
        <v>3944</v>
      </c>
    </row>
    <row r="10" spans="1:6" ht="15" customHeight="1" x14ac:dyDescent="0.2">
      <c r="A10" s="779" t="s">
        <v>511</v>
      </c>
      <c r="B10" s="780" t="s">
        <v>512</v>
      </c>
      <c r="C10" s="781">
        <v>2200000</v>
      </c>
      <c r="D10" s="781">
        <v>1805169</v>
      </c>
      <c r="E10" s="781">
        <v>1805169</v>
      </c>
      <c r="F10" s="782">
        <f>SUM(C6+C11)</f>
        <v>38259000</v>
      </c>
    </row>
    <row r="11" spans="1:6" ht="15" customHeight="1" x14ac:dyDescent="0.2">
      <c r="A11" s="779" t="s">
        <v>513</v>
      </c>
      <c r="B11" s="780" t="s">
        <v>514</v>
      </c>
      <c r="C11" s="781">
        <f>32152000</f>
        <v>32152000</v>
      </c>
      <c r="D11" s="781">
        <v>41740000</v>
      </c>
      <c r="E11" s="781">
        <v>41740000</v>
      </c>
      <c r="F11" s="783">
        <f>7.02*5450000</f>
        <v>38259000</v>
      </c>
    </row>
    <row r="12" spans="1:6" ht="15" customHeight="1" x14ac:dyDescent="0.2">
      <c r="A12" s="1591" t="s">
        <v>68</v>
      </c>
      <c r="B12" s="1592"/>
      <c r="C12" s="784">
        <f>SUM(C10:C11)</f>
        <v>34352000</v>
      </c>
      <c r="D12" s="784">
        <f>SUM(D10:D11)</f>
        <v>43545169</v>
      </c>
      <c r="E12" s="784">
        <f>SUM(E10:E11)</f>
        <v>43545169</v>
      </c>
    </row>
    <row r="13" spans="1:6" ht="25.5" customHeight="1" x14ac:dyDescent="0.2">
      <c r="A13" s="1600" t="s">
        <v>515</v>
      </c>
      <c r="B13" s="1601"/>
      <c r="C13" s="1602"/>
      <c r="D13" s="1023"/>
      <c r="E13" s="1023"/>
    </row>
    <row r="14" spans="1:6" ht="18" customHeight="1" x14ac:dyDescent="0.2">
      <c r="A14" s="773" t="s">
        <v>70</v>
      </c>
      <c r="B14" s="774" t="s">
        <v>71</v>
      </c>
      <c r="C14" s="775" t="s">
        <v>508</v>
      </c>
      <c r="D14" s="775" t="s">
        <v>681</v>
      </c>
      <c r="E14" s="775" t="s">
        <v>682</v>
      </c>
    </row>
    <row r="15" spans="1:6" ht="15" customHeight="1" x14ac:dyDescent="0.2">
      <c r="A15" s="779" t="s">
        <v>516</v>
      </c>
      <c r="B15" s="780" t="s">
        <v>28</v>
      </c>
      <c r="C15" s="781">
        <v>30000</v>
      </c>
      <c r="D15" s="781">
        <v>5000</v>
      </c>
      <c r="E15" s="781">
        <v>5000</v>
      </c>
    </row>
    <row r="16" spans="1:6" ht="15" customHeight="1" x14ac:dyDescent="0.2">
      <c r="A16" s="1589" t="s">
        <v>124</v>
      </c>
      <c r="B16" s="1590"/>
      <c r="C16" s="784">
        <f>SUM(C15)</f>
        <v>30000</v>
      </c>
      <c r="D16" s="784">
        <f>SUM(D15)</f>
        <v>5000</v>
      </c>
      <c r="E16" s="784">
        <f>SUM(E15)</f>
        <v>5000</v>
      </c>
    </row>
    <row r="17" spans="1:8" ht="15" customHeight="1" x14ac:dyDescent="0.2">
      <c r="A17" s="1024" t="s">
        <v>683</v>
      </c>
      <c r="B17" s="1025" t="s">
        <v>176</v>
      </c>
      <c r="C17" s="784">
        <v>0</v>
      </c>
      <c r="D17" s="784">
        <v>35000</v>
      </c>
      <c r="E17" s="784">
        <v>35000</v>
      </c>
    </row>
    <row r="18" spans="1:8" ht="15" customHeight="1" x14ac:dyDescent="0.2">
      <c r="A18" s="785" t="s">
        <v>517</v>
      </c>
      <c r="B18" s="780" t="s">
        <v>518</v>
      </c>
      <c r="C18" s="781">
        <v>1000</v>
      </c>
      <c r="D18" s="781">
        <v>990</v>
      </c>
      <c r="E18" s="781">
        <v>990</v>
      </c>
    </row>
    <row r="19" spans="1:8" ht="15" customHeight="1" x14ac:dyDescent="0.2">
      <c r="A19" s="786" t="s">
        <v>519</v>
      </c>
      <c r="B19" s="780" t="s">
        <v>234</v>
      </c>
      <c r="C19" s="781">
        <v>10000</v>
      </c>
      <c r="D19" s="781">
        <v>0</v>
      </c>
      <c r="E19" s="781">
        <v>0</v>
      </c>
    </row>
    <row r="20" spans="1:8" ht="15" customHeight="1" x14ac:dyDescent="0.2">
      <c r="A20" s="1591" t="s">
        <v>20</v>
      </c>
      <c r="B20" s="1592"/>
      <c r="C20" s="784">
        <f>SUM(C17:C19)</f>
        <v>11000</v>
      </c>
      <c r="D20" s="784">
        <f>SUM(D17:D19)</f>
        <v>35990</v>
      </c>
      <c r="E20" s="784">
        <f>SUM(E17:E19)</f>
        <v>35990</v>
      </c>
    </row>
    <row r="21" spans="1:8" ht="11.25" customHeight="1" x14ac:dyDescent="0.2">
      <c r="A21" s="1587" t="s">
        <v>74</v>
      </c>
      <c r="B21" s="1588"/>
      <c r="C21" s="787">
        <f>C20+C12+C16+C9+C7</f>
        <v>40500000</v>
      </c>
      <c r="D21" s="787">
        <f>D20+D12+D16+D9+D7</f>
        <v>44886202</v>
      </c>
      <c r="E21" s="787">
        <f>E20+E12+E16+E9+E7</f>
        <v>44886202</v>
      </c>
    </row>
    <row r="22" spans="1:8" ht="15" customHeight="1" x14ac:dyDescent="0.2">
      <c r="A22" s="785" t="s">
        <v>520</v>
      </c>
      <c r="B22" s="780" t="s">
        <v>521</v>
      </c>
      <c r="C22" s="788">
        <f>21808200+3800800</f>
        <v>25609000</v>
      </c>
      <c r="D22" s="788">
        <v>26495000</v>
      </c>
      <c r="E22" s="788">
        <v>26289055</v>
      </c>
    </row>
    <row r="23" spans="1:8" ht="15" customHeight="1" x14ac:dyDescent="0.2">
      <c r="A23" s="785" t="s">
        <v>520</v>
      </c>
      <c r="B23" s="780" t="s">
        <v>522</v>
      </c>
      <c r="C23" s="788">
        <v>200000</v>
      </c>
      <c r="D23" s="788">
        <v>2865000</v>
      </c>
      <c r="E23" s="788">
        <v>2864211</v>
      </c>
      <c r="F23" s="789">
        <f>SUM(C22:C23)</f>
        <v>25809000</v>
      </c>
    </row>
    <row r="24" spans="1:8" ht="15" customHeight="1" x14ac:dyDescent="0.2">
      <c r="A24" s="779" t="s">
        <v>523</v>
      </c>
      <c r="B24" s="780" t="s">
        <v>524</v>
      </c>
      <c r="C24" s="788">
        <v>50000</v>
      </c>
      <c r="D24" s="788">
        <v>50000</v>
      </c>
      <c r="E24" s="788">
        <v>50000</v>
      </c>
    </row>
    <row r="25" spans="1:8" ht="15" customHeight="1" x14ac:dyDescent="0.2">
      <c r="A25" s="785" t="s">
        <v>525</v>
      </c>
      <c r="B25" s="780" t="s">
        <v>526</v>
      </c>
      <c r="C25" s="788">
        <v>2500000</v>
      </c>
      <c r="D25" s="788">
        <v>2571000</v>
      </c>
      <c r="E25" s="788">
        <v>2571000</v>
      </c>
    </row>
    <row r="26" spans="1:8" ht="15" customHeight="1" x14ac:dyDescent="0.2">
      <c r="A26" s="779" t="s">
        <v>527</v>
      </c>
      <c r="B26" s="780" t="s">
        <v>85</v>
      </c>
      <c r="C26" s="788">
        <f>1508000</f>
        <v>1508000</v>
      </c>
      <c r="D26" s="788">
        <v>968000</v>
      </c>
      <c r="E26" s="788">
        <v>842291</v>
      </c>
      <c r="G26" s="683">
        <v>147000</v>
      </c>
      <c r="H26" s="683">
        <v>100</v>
      </c>
    </row>
    <row r="27" spans="1:8" ht="15" customHeight="1" x14ac:dyDescent="0.2">
      <c r="A27" s="779" t="s">
        <v>528</v>
      </c>
      <c r="B27" s="780" t="s">
        <v>529</v>
      </c>
      <c r="C27" s="788">
        <v>140000</v>
      </c>
      <c r="D27" s="788">
        <v>140000</v>
      </c>
      <c r="E27" s="788">
        <v>140000</v>
      </c>
      <c r="G27" s="683">
        <v>200000</v>
      </c>
      <c r="H27" s="683">
        <f>SUM(H26*G27/G26)</f>
        <v>136.05442176870747</v>
      </c>
    </row>
    <row r="28" spans="1:8" ht="15" customHeight="1" x14ac:dyDescent="0.2">
      <c r="A28" s="779" t="s">
        <v>530</v>
      </c>
      <c r="B28" s="780" t="s">
        <v>86</v>
      </c>
      <c r="C28" s="788">
        <v>300000</v>
      </c>
      <c r="D28" s="788">
        <v>300000</v>
      </c>
      <c r="E28" s="788">
        <v>269660</v>
      </c>
    </row>
    <row r="29" spans="1:8" ht="15" customHeight="1" x14ac:dyDescent="0.2">
      <c r="A29" s="779" t="s">
        <v>531</v>
      </c>
      <c r="B29" s="780" t="s">
        <v>79</v>
      </c>
      <c r="C29" s="788">
        <v>78000</v>
      </c>
      <c r="D29" s="788">
        <v>71944</v>
      </c>
      <c r="E29" s="788">
        <v>71365</v>
      </c>
    </row>
    <row r="30" spans="1:8" ht="15" customHeight="1" x14ac:dyDescent="0.2">
      <c r="A30" s="786" t="s">
        <v>684</v>
      </c>
      <c r="B30" s="1026" t="s">
        <v>267</v>
      </c>
      <c r="C30" s="788">
        <v>0</v>
      </c>
      <c r="D30" s="788">
        <f>1315000-50000</f>
        <v>1265000</v>
      </c>
      <c r="E30" s="788">
        <f>1313413-50000</f>
        <v>1263413</v>
      </c>
      <c r="F30" s="683" t="s">
        <v>685</v>
      </c>
    </row>
    <row r="31" spans="1:8" x14ac:dyDescent="0.2">
      <c r="A31" s="1591" t="s">
        <v>97</v>
      </c>
      <c r="B31" s="1592"/>
      <c r="C31" s="1028">
        <f>SUM(C22:C30)</f>
        <v>30385000</v>
      </c>
      <c r="D31" s="1028">
        <f>SUM(D22:D30)</f>
        <v>34725944</v>
      </c>
      <c r="E31" s="1028">
        <f>SUM(E22:E30)</f>
        <v>34360995</v>
      </c>
    </row>
    <row r="32" spans="1:8" ht="15" customHeight="1" x14ac:dyDescent="0.2">
      <c r="A32" s="779" t="s">
        <v>532</v>
      </c>
      <c r="B32" s="780" t="s">
        <v>72</v>
      </c>
      <c r="C32" s="788">
        <f>SUM(C22+C24+C25+C26+C28)*0.175+275+500</f>
        <v>5245000</v>
      </c>
      <c r="D32" s="788">
        <f>5621060-D34</f>
        <v>5494060</v>
      </c>
      <c r="E32" s="788">
        <v>5412014</v>
      </c>
    </row>
    <row r="33" spans="1:6" ht="15" customHeight="1" x14ac:dyDescent="0.2">
      <c r="A33" s="790" t="s">
        <v>533</v>
      </c>
      <c r="B33" s="780" t="s">
        <v>77</v>
      </c>
      <c r="C33" s="788">
        <f>16520*6+8880</f>
        <v>108000</v>
      </c>
      <c r="D33" s="788">
        <v>0</v>
      </c>
      <c r="E33" s="788">
        <v>0</v>
      </c>
    </row>
    <row r="34" spans="1:6" ht="15" customHeight="1" x14ac:dyDescent="0.2">
      <c r="A34" s="790" t="s">
        <v>534</v>
      </c>
      <c r="B34" s="780" t="s">
        <v>535</v>
      </c>
      <c r="C34" s="788">
        <f>SUM(C26*0.15)+800</f>
        <v>227000</v>
      </c>
      <c r="D34" s="788">
        <v>127000</v>
      </c>
      <c r="E34" s="788">
        <v>126345</v>
      </c>
      <c r="F34" s="789">
        <f>SUM(C32:C34)</f>
        <v>5580000</v>
      </c>
    </row>
    <row r="35" spans="1:6" ht="15" customHeight="1" x14ac:dyDescent="0.2">
      <c r="A35" s="1591" t="s">
        <v>94</v>
      </c>
      <c r="B35" s="1592"/>
      <c r="C35" s="1028">
        <f>SUM(C32:C34)</f>
        <v>5580000</v>
      </c>
      <c r="D35" s="1028">
        <f>SUM(D32:D34)</f>
        <v>5621060</v>
      </c>
      <c r="E35" s="1028">
        <f>SUM(E32:E34)</f>
        <v>5538359</v>
      </c>
      <c r="F35" s="789">
        <f>SUM(C31+C35)</f>
        <v>35965000</v>
      </c>
    </row>
    <row r="36" spans="1:6" ht="15" customHeight="1" x14ac:dyDescent="0.2">
      <c r="A36" s="779" t="s">
        <v>536</v>
      </c>
      <c r="B36" s="780" t="s">
        <v>686</v>
      </c>
      <c r="C36" s="781">
        <v>250000</v>
      </c>
      <c r="D36" s="781">
        <v>250000</v>
      </c>
      <c r="E36" s="781">
        <v>97074</v>
      </c>
    </row>
    <row r="37" spans="1:6" ht="15" customHeight="1" x14ac:dyDescent="0.2">
      <c r="A37" s="779" t="s">
        <v>537</v>
      </c>
      <c r="B37" s="780" t="s">
        <v>538</v>
      </c>
      <c r="C37" s="781">
        <v>400000</v>
      </c>
      <c r="D37" s="781">
        <v>400000</v>
      </c>
      <c r="E37" s="781">
        <v>369506</v>
      </c>
    </row>
    <row r="38" spans="1:6" ht="15" customHeight="1" x14ac:dyDescent="0.2">
      <c r="A38" s="779" t="s">
        <v>539</v>
      </c>
      <c r="B38" s="780" t="s">
        <v>540</v>
      </c>
      <c r="C38" s="781">
        <v>15000</v>
      </c>
      <c r="D38" s="781">
        <v>15000</v>
      </c>
      <c r="E38" s="781">
        <v>0</v>
      </c>
    </row>
    <row r="39" spans="1:6" ht="15" customHeight="1" x14ac:dyDescent="0.2">
      <c r="A39" s="779" t="s">
        <v>541</v>
      </c>
      <c r="B39" s="780" t="s">
        <v>542</v>
      </c>
      <c r="C39" s="781">
        <v>200000</v>
      </c>
      <c r="D39" s="781">
        <v>200000</v>
      </c>
      <c r="E39" s="781">
        <f>559910-E37</f>
        <v>190404</v>
      </c>
      <c r="F39" s="789"/>
    </row>
    <row r="40" spans="1:6" ht="15" customHeight="1" x14ac:dyDescent="0.2">
      <c r="A40" s="779">
        <v>53211</v>
      </c>
      <c r="B40" s="780" t="s">
        <v>543</v>
      </c>
      <c r="C40" s="781">
        <v>150000</v>
      </c>
      <c r="D40" s="781">
        <v>150000</v>
      </c>
      <c r="E40" s="781">
        <v>82800</v>
      </c>
    </row>
    <row r="41" spans="1:6" ht="15" customHeight="1" x14ac:dyDescent="0.2">
      <c r="A41" s="779" t="s">
        <v>544</v>
      </c>
      <c r="B41" s="780" t="s">
        <v>545</v>
      </c>
      <c r="C41" s="781">
        <v>150000</v>
      </c>
      <c r="D41" s="781">
        <v>150000</v>
      </c>
      <c r="E41" s="781">
        <v>51380</v>
      </c>
    </row>
    <row r="42" spans="1:6" ht="15" customHeight="1" x14ac:dyDescent="0.2">
      <c r="A42" s="779" t="s">
        <v>546</v>
      </c>
      <c r="B42" s="780" t="s">
        <v>75</v>
      </c>
      <c r="C42" s="781">
        <v>300000</v>
      </c>
      <c r="D42" s="781">
        <v>300000</v>
      </c>
      <c r="E42" s="781">
        <v>451085</v>
      </c>
    </row>
    <row r="43" spans="1:6" ht="15" customHeight="1" x14ac:dyDescent="0.2">
      <c r="A43" s="779" t="s">
        <v>547</v>
      </c>
      <c r="B43" s="780" t="s">
        <v>548</v>
      </c>
      <c r="C43" s="781">
        <v>460000</v>
      </c>
      <c r="D43" s="781">
        <v>460000</v>
      </c>
      <c r="E43" s="781">
        <v>0</v>
      </c>
    </row>
    <row r="44" spans="1:6" ht="15" customHeight="1" x14ac:dyDescent="0.2">
      <c r="A44" s="779" t="s">
        <v>549</v>
      </c>
      <c r="B44" s="780" t="s">
        <v>76</v>
      </c>
      <c r="C44" s="781">
        <v>80000</v>
      </c>
      <c r="D44" s="781">
        <v>80000</v>
      </c>
      <c r="E44" s="781">
        <v>0</v>
      </c>
      <c r="F44" s="789">
        <f>SUM(C42:C44)</f>
        <v>840000</v>
      </c>
    </row>
    <row r="45" spans="1:6" ht="15" customHeight="1" x14ac:dyDescent="0.2">
      <c r="A45" s="779" t="s">
        <v>550</v>
      </c>
      <c r="B45" s="780" t="s">
        <v>90</v>
      </c>
      <c r="C45" s="781">
        <v>130000</v>
      </c>
      <c r="D45" s="781">
        <v>130000</v>
      </c>
      <c r="E45" s="781">
        <v>104964</v>
      </c>
    </row>
    <row r="46" spans="1:6" ht="15" customHeight="1" x14ac:dyDescent="0.2">
      <c r="A46" s="779" t="s">
        <v>551</v>
      </c>
      <c r="B46" s="780" t="s">
        <v>552</v>
      </c>
      <c r="C46" s="781">
        <v>500000</v>
      </c>
      <c r="D46" s="781">
        <v>500000</v>
      </c>
      <c r="E46" s="781">
        <v>189078</v>
      </c>
    </row>
    <row r="47" spans="1:6" ht="15" customHeight="1" x14ac:dyDescent="0.2">
      <c r="A47" s="779" t="s">
        <v>553</v>
      </c>
      <c r="B47" s="780" t="s">
        <v>29</v>
      </c>
      <c r="C47" s="781">
        <v>500000</v>
      </c>
      <c r="D47" s="781">
        <v>500000</v>
      </c>
      <c r="E47" s="781">
        <f>413297-E48</f>
        <v>238297</v>
      </c>
    </row>
    <row r="48" spans="1:6" ht="15" customHeight="1" x14ac:dyDescent="0.2">
      <c r="A48" s="791">
        <v>53373</v>
      </c>
      <c r="B48" s="792" t="s">
        <v>554</v>
      </c>
      <c r="C48" s="781">
        <v>200000</v>
      </c>
      <c r="D48" s="781">
        <f>200000</f>
        <v>200000</v>
      </c>
      <c r="E48" s="781">
        <f>175000</f>
        <v>175000</v>
      </c>
    </row>
    <row r="49" spans="1:6" ht="15" customHeight="1" x14ac:dyDescent="0.2">
      <c r="A49" s="779" t="s">
        <v>555</v>
      </c>
      <c r="B49" s="780" t="s">
        <v>91</v>
      </c>
      <c r="C49" s="781">
        <v>100000</v>
      </c>
      <c r="D49" s="781">
        <v>100000</v>
      </c>
      <c r="E49" s="781">
        <v>8192</v>
      </c>
    </row>
    <row r="50" spans="1:6" ht="20.25" customHeight="1" x14ac:dyDescent="0.2">
      <c r="A50" s="779" t="s">
        <v>556</v>
      </c>
      <c r="B50" s="780" t="s">
        <v>557</v>
      </c>
      <c r="C50" s="781">
        <f>SUM(C36:C47)*0.27+50-500</f>
        <v>846000</v>
      </c>
      <c r="D50" s="781">
        <v>845990</v>
      </c>
      <c r="E50" s="781">
        <v>375209</v>
      </c>
    </row>
    <row r="51" spans="1:6" ht="12.75" customHeight="1" x14ac:dyDescent="0.2">
      <c r="A51" s="1591" t="s">
        <v>98</v>
      </c>
      <c r="B51" s="1592"/>
      <c r="C51" s="784">
        <f>SUM(C36:C50)</f>
        <v>4281000</v>
      </c>
      <c r="D51" s="784">
        <f>SUM(D36:D50)</f>
        <v>4280990</v>
      </c>
      <c r="E51" s="784">
        <f>SUM(E36:E50)</f>
        <v>2332989</v>
      </c>
    </row>
    <row r="52" spans="1:6" ht="12" customHeight="1" x14ac:dyDescent="0.2">
      <c r="A52" s="1027">
        <v>550231</v>
      </c>
      <c r="B52" s="1026" t="s">
        <v>674</v>
      </c>
      <c r="C52" s="781">
        <v>0</v>
      </c>
      <c r="D52" s="781">
        <v>4208</v>
      </c>
      <c r="E52" s="781">
        <v>4208</v>
      </c>
    </row>
    <row r="53" spans="1:6" ht="12" customHeight="1" x14ac:dyDescent="0.2">
      <c r="A53" s="1593" t="s">
        <v>24</v>
      </c>
      <c r="B53" s="1594"/>
      <c r="C53" s="781">
        <f>SUM(C52)</f>
        <v>0</v>
      </c>
      <c r="D53" s="781">
        <f>SUM(D52)</f>
        <v>4208</v>
      </c>
      <c r="E53" s="781">
        <f>SUM(E52)</f>
        <v>4208</v>
      </c>
    </row>
    <row r="54" spans="1:6" ht="15" customHeight="1" x14ac:dyDescent="0.2">
      <c r="A54" s="793" t="s">
        <v>558</v>
      </c>
      <c r="B54" s="794" t="s">
        <v>559</v>
      </c>
      <c r="C54" s="795">
        <v>200000</v>
      </c>
      <c r="D54" s="795">
        <v>200000</v>
      </c>
      <c r="E54" s="795">
        <v>25976</v>
      </c>
    </row>
    <row r="55" spans="1:6" ht="15" customHeight="1" x14ac:dyDescent="0.2">
      <c r="A55" s="793" t="s">
        <v>560</v>
      </c>
      <c r="B55" s="794" t="s">
        <v>561</v>
      </c>
      <c r="C55" s="795">
        <f>C54*0.27</f>
        <v>54000</v>
      </c>
      <c r="D55" s="795">
        <f>D54*0.27</f>
        <v>54000</v>
      </c>
      <c r="E55" s="795">
        <f>E54*0.27</f>
        <v>7013.52</v>
      </c>
    </row>
    <row r="56" spans="1:6" ht="12" customHeight="1" x14ac:dyDescent="0.2">
      <c r="A56" s="1585" t="s">
        <v>12</v>
      </c>
      <c r="B56" s="1586"/>
      <c r="C56" s="796">
        <f>SUM(C54:C55)</f>
        <v>254000</v>
      </c>
      <c r="D56" s="796">
        <f>SUM(D54:D55)</f>
        <v>254000</v>
      </c>
      <c r="E56" s="796">
        <f>SUM(E54:E55)</f>
        <v>32989.520000000004</v>
      </c>
      <c r="F56" s="782">
        <f>SUM(C55+C54)</f>
        <v>254000</v>
      </c>
    </row>
    <row r="57" spans="1:6" ht="13.5" customHeight="1" thickBot="1" x14ac:dyDescent="0.25">
      <c r="A57" s="1587" t="s">
        <v>73</v>
      </c>
      <c r="B57" s="1588"/>
      <c r="C57" s="787">
        <f>C31+C35+C51+C56+C53</f>
        <v>40500000</v>
      </c>
      <c r="D57" s="787">
        <f>D31+D35+D51+D56+D53</f>
        <v>44886202</v>
      </c>
      <c r="E57" s="787">
        <f>E31+E35+E51+E56+E53</f>
        <v>42269540.520000003</v>
      </c>
    </row>
    <row r="58" spans="1:6" ht="15" customHeight="1" x14ac:dyDescent="0.2">
      <c r="A58" s="797" t="s">
        <v>87</v>
      </c>
      <c r="B58" s="798" t="s">
        <v>97</v>
      </c>
      <c r="C58" s="799">
        <f>C31</f>
        <v>30385000</v>
      </c>
      <c r="D58" s="799">
        <f>D31</f>
        <v>34725944</v>
      </c>
      <c r="E58" s="799">
        <f>E31</f>
        <v>34360995</v>
      </c>
    </row>
    <row r="59" spans="1:6" ht="15" customHeight="1" x14ac:dyDescent="0.2">
      <c r="A59" s="800" t="s">
        <v>88</v>
      </c>
      <c r="B59" s="801" t="s">
        <v>94</v>
      </c>
      <c r="C59" s="802">
        <f>C35</f>
        <v>5580000</v>
      </c>
      <c r="D59" s="802">
        <f>D35</f>
        <v>5621060</v>
      </c>
      <c r="E59" s="802">
        <f>E35</f>
        <v>5538359</v>
      </c>
    </row>
    <row r="60" spans="1:6" ht="15" customHeight="1" x14ac:dyDescent="0.2">
      <c r="A60" s="800" t="s">
        <v>92</v>
      </c>
      <c r="B60" s="801" t="s">
        <v>98</v>
      </c>
      <c r="C60" s="802">
        <f>C51</f>
        <v>4281000</v>
      </c>
      <c r="D60" s="802">
        <f>D51</f>
        <v>4280990</v>
      </c>
      <c r="E60" s="802">
        <f>E51</f>
        <v>2332989</v>
      </c>
    </row>
    <row r="61" spans="1:6" ht="15" customHeight="1" x14ac:dyDescent="0.2">
      <c r="A61" s="800" t="s">
        <v>93</v>
      </c>
      <c r="B61" s="801" t="s">
        <v>23</v>
      </c>
      <c r="C61" s="802"/>
      <c r="D61" s="802"/>
      <c r="E61" s="802"/>
    </row>
    <row r="62" spans="1:6" ht="15" customHeight="1" x14ac:dyDescent="0.2">
      <c r="A62" s="800" t="s">
        <v>111</v>
      </c>
      <c r="B62" s="801" t="s">
        <v>24</v>
      </c>
      <c r="C62" s="802">
        <f>SUM(C52)</f>
        <v>0</v>
      </c>
      <c r="D62" s="802">
        <f>SUM(D52)</f>
        <v>4208</v>
      </c>
      <c r="E62" s="802">
        <f>SUM(E52)</f>
        <v>4208</v>
      </c>
    </row>
    <row r="63" spans="1:6" ht="15" customHeight="1" x14ac:dyDescent="0.2">
      <c r="A63" s="800" t="s">
        <v>112</v>
      </c>
      <c r="B63" s="801" t="s">
        <v>12</v>
      </c>
      <c r="C63" s="802">
        <f>SUM(C56)</f>
        <v>254000</v>
      </c>
      <c r="D63" s="802">
        <f>SUM(D56)</f>
        <v>254000</v>
      </c>
      <c r="E63" s="802">
        <f>SUM(E56)</f>
        <v>32989.520000000004</v>
      </c>
    </row>
    <row r="64" spans="1:6" ht="15" customHeight="1" x14ac:dyDescent="0.2">
      <c r="A64" s="800" t="s">
        <v>113</v>
      </c>
      <c r="B64" s="801" t="s">
        <v>11</v>
      </c>
      <c r="C64" s="802"/>
      <c r="D64" s="802"/>
      <c r="E64" s="802"/>
    </row>
    <row r="65" spans="1:11" ht="15" customHeight="1" x14ac:dyDescent="0.2">
      <c r="A65" s="800" t="s">
        <v>115</v>
      </c>
      <c r="B65" s="801" t="s">
        <v>69</v>
      </c>
      <c r="C65" s="802"/>
      <c r="D65" s="802"/>
      <c r="E65" s="802"/>
    </row>
    <row r="66" spans="1:11" ht="15" customHeight="1" x14ac:dyDescent="0.2">
      <c r="A66" s="803"/>
      <c r="B66" s="804" t="s">
        <v>99</v>
      </c>
      <c r="C66" s="805">
        <f>SUM(C58:C65)</f>
        <v>40500000</v>
      </c>
      <c r="D66" s="805">
        <f>SUM(D58:D65)</f>
        <v>44886202</v>
      </c>
      <c r="E66" s="805">
        <f>SUM(E58:E65)</f>
        <v>42269540.520000003</v>
      </c>
    </row>
    <row r="67" spans="1:11" ht="15" customHeight="1" x14ac:dyDescent="0.2">
      <c r="A67" s="800" t="s">
        <v>100</v>
      </c>
      <c r="B67" s="801" t="s">
        <v>18</v>
      </c>
      <c r="C67" s="802">
        <f>SUM(C7)</f>
        <v>6107000</v>
      </c>
      <c r="D67" s="802">
        <f>SUM(D7)</f>
        <v>1296099</v>
      </c>
      <c r="E67" s="802">
        <f>SUM(E7)</f>
        <v>1296099</v>
      </c>
    </row>
    <row r="68" spans="1:11" ht="15" customHeight="1" x14ac:dyDescent="0.2">
      <c r="A68" s="806"/>
      <c r="B68" s="807" t="s">
        <v>101</v>
      </c>
      <c r="C68" s="808"/>
      <c r="D68" s="808"/>
      <c r="E68" s="808"/>
    </row>
    <row r="69" spans="1:11" ht="15" customHeight="1" x14ac:dyDescent="0.2">
      <c r="A69" s="800" t="s">
        <v>102</v>
      </c>
      <c r="B69" s="801" t="s">
        <v>51</v>
      </c>
      <c r="C69" s="802"/>
      <c r="D69" s="802"/>
      <c r="E69" s="802"/>
    </row>
    <row r="70" spans="1:11" ht="15" customHeight="1" x14ac:dyDescent="0.2">
      <c r="A70" s="800" t="s">
        <v>103</v>
      </c>
      <c r="B70" s="801" t="s">
        <v>124</v>
      </c>
      <c r="C70" s="802">
        <f>C16</f>
        <v>30000</v>
      </c>
      <c r="D70" s="802">
        <f>D16</f>
        <v>5000</v>
      </c>
      <c r="E70" s="802">
        <f>E16</f>
        <v>5000</v>
      </c>
    </row>
    <row r="71" spans="1:11" ht="15" customHeight="1" x14ac:dyDescent="0.2">
      <c r="A71" s="800" t="s">
        <v>104</v>
      </c>
      <c r="B71" s="801" t="s">
        <v>20</v>
      </c>
      <c r="C71" s="802">
        <f>C20+C9</f>
        <v>11000</v>
      </c>
      <c r="D71" s="802">
        <f>D20+D9</f>
        <v>39934</v>
      </c>
      <c r="E71" s="802">
        <f>E20+E9</f>
        <v>39934</v>
      </c>
    </row>
    <row r="72" spans="1:11" ht="15" customHeight="1" x14ac:dyDescent="0.2">
      <c r="A72" s="800" t="s">
        <v>106</v>
      </c>
      <c r="B72" s="801" t="s">
        <v>96</v>
      </c>
      <c r="C72" s="802"/>
      <c r="D72" s="802"/>
      <c r="E72" s="802"/>
      <c r="K72" s="683" t="s">
        <v>562</v>
      </c>
    </row>
    <row r="73" spans="1:11" ht="15" customHeight="1" x14ac:dyDescent="0.2">
      <c r="A73" s="800" t="s">
        <v>107</v>
      </c>
      <c r="B73" s="801" t="s">
        <v>95</v>
      </c>
      <c r="C73" s="802"/>
      <c r="D73" s="802"/>
      <c r="E73" s="802"/>
    </row>
    <row r="74" spans="1:11" ht="15" customHeight="1" x14ac:dyDescent="0.2">
      <c r="A74" s="800" t="s">
        <v>108</v>
      </c>
      <c r="B74" s="801" t="s">
        <v>563</v>
      </c>
      <c r="C74" s="802">
        <f>SUM(C12)</f>
        <v>34352000</v>
      </c>
      <c r="D74" s="802">
        <f>SUM(D12)</f>
        <v>43545169</v>
      </c>
      <c r="E74" s="802">
        <f>SUM(E12)</f>
        <v>43545169</v>
      </c>
    </row>
    <row r="75" spans="1:11" ht="15" customHeight="1" thickBot="1" x14ac:dyDescent="0.25">
      <c r="A75" s="809"/>
      <c r="B75" s="810" t="s">
        <v>109</v>
      </c>
      <c r="C75" s="811">
        <f>C67+C69+C70+C71+C72+C73+C74</f>
        <v>40500000</v>
      </c>
      <c r="D75" s="811">
        <f>D67+D69+D70+D71+D72+D73+D74</f>
        <v>44886202</v>
      </c>
      <c r="E75" s="811">
        <f>E67+E69+E70+E71+E72+E73+E74</f>
        <v>44886202</v>
      </c>
    </row>
    <row r="76" spans="1:11" x14ac:dyDescent="0.2">
      <c r="C76" s="812">
        <f>SUM(C75-C66)</f>
        <v>0</v>
      </c>
      <c r="D76" s="812">
        <f>SUM(D75-D66)</f>
        <v>0</v>
      </c>
      <c r="E76" s="812">
        <f>SUM(E75-E66)</f>
        <v>2616661.4799999967</v>
      </c>
    </row>
    <row r="77" spans="1:11" x14ac:dyDescent="0.2">
      <c r="E77" s="634">
        <v>2616661</v>
      </c>
    </row>
    <row r="78" spans="1:11" x14ac:dyDescent="0.2">
      <c r="E78" s="812">
        <f>SUM(E76-E77)</f>
        <v>0.47999999672174454</v>
      </c>
    </row>
  </sheetData>
  <mergeCells count="16">
    <mergeCell ref="B1:E1"/>
    <mergeCell ref="A4:C4"/>
    <mergeCell ref="A7:B7"/>
    <mergeCell ref="A12:B12"/>
    <mergeCell ref="A13:C13"/>
    <mergeCell ref="A9:B9"/>
    <mergeCell ref="A3:E3"/>
    <mergeCell ref="A56:B56"/>
    <mergeCell ref="A57:B57"/>
    <mergeCell ref="A16:B16"/>
    <mergeCell ref="A20:B20"/>
    <mergeCell ref="A21:B21"/>
    <mergeCell ref="A31:B31"/>
    <mergeCell ref="A35:B35"/>
    <mergeCell ref="A51:B51"/>
    <mergeCell ref="A53:B53"/>
  </mergeCells>
  <printOptions horizontalCentered="1" verticalCentered="1"/>
  <pageMargins left="0.6692913385826772" right="0.19685039370078741" top="7.874015748031496E-2" bottom="0.19685039370078741" header="0.47244094488188981" footer="0.59055118110236227"/>
  <pageSetup paperSize="9" scale="74" orientation="portrait" r:id="rId1"/>
  <headerFooter alignWithMargins="0">
    <oddFooter>&amp;L&amp;C&amp;R</oddFooter>
  </headerFooter>
  <rowBreaks count="1" manualBreakCount="1">
    <brk id="57" max="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04"/>
  <sheetViews>
    <sheetView showGridLines="0" zoomScaleNormal="100" workbookViewId="0">
      <pane ySplit="2" topLeftCell="A93" activePane="bottomLeft" state="frozenSplit"/>
      <selection pane="bottomLeft" activeCell="B1" sqref="B1:E1"/>
    </sheetView>
  </sheetViews>
  <sheetFormatPr defaultColWidth="10.7109375" defaultRowHeight="20.100000000000001" customHeight="1" x14ac:dyDescent="0.2"/>
  <cols>
    <col min="1" max="1" width="10.7109375" style="813" customWidth="1"/>
    <col min="2" max="2" width="54.7109375" style="814" customWidth="1"/>
    <col min="3" max="3" width="19.28515625" style="814" customWidth="1"/>
    <col min="4" max="4" width="19.85546875" style="814" customWidth="1"/>
    <col min="5" max="5" width="18" style="878" customWidth="1"/>
    <col min="6" max="6" width="11.42578125" style="814" bestFit="1" customWidth="1"/>
    <col min="7" max="7" width="16.140625" style="814" customWidth="1"/>
    <col min="8" max="8" width="13.85546875" style="814" customWidth="1"/>
    <col min="9" max="16384" width="10.7109375" style="814"/>
  </cols>
  <sheetData>
    <row r="1" spans="1:7" ht="20.100000000000001" customHeight="1" x14ac:dyDescent="0.2">
      <c r="B1" s="1353" t="s">
        <v>1019</v>
      </c>
      <c r="C1" s="1353"/>
      <c r="D1" s="1353"/>
      <c r="E1" s="1353"/>
    </row>
    <row r="2" spans="1:7" ht="35.25" customHeight="1" x14ac:dyDescent="0.2">
      <c r="A2" s="1639" t="s">
        <v>564</v>
      </c>
      <c r="B2" s="1639"/>
      <c r="C2" s="1639"/>
      <c r="D2" s="1639"/>
      <c r="E2" s="1639"/>
    </row>
    <row r="3" spans="1:7" ht="24" customHeight="1" x14ac:dyDescent="0.25">
      <c r="A3" s="1640" t="s">
        <v>565</v>
      </c>
      <c r="B3" s="1640"/>
      <c r="C3" s="1640"/>
      <c r="D3" s="1640"/>
      <c r="E3" s="1640"/>
    </row>
    <row r="4" spans="1:7" ht="24" customHeight="1" thickBot="1" x14ac:dyDescent="0.3">
      <c r="A4" s="816"/>
      <c r="B4" s="816"/>
      <c r="C4" s="816"/>
      <c r="D4" s="816"/>
      <c r="E4" s="817"/>
      <c r="G4" s="818" t="s">
        <v>566</v>
      </c>
    </row>
    <row r="5" spans="1:7" ht="21.75" customHeight="1" x14ac:dyDescent="0.2">
      <c r="A5" s="1641" t="s">
        <v>567</v>
      </c>
      <c r="B5" s="1642"/>
      <c r="C5" s="1642"/>
      <c r="D5" s="1642"/>
      <c r="E5" s="1643"/>
    </row>
    <row r="6" spans="1:7" ht="15.75" customHeight="1" thickBot="1" x14ac:dyDescent="0.25">
      <c r="A6" s="1644" t="s">
        <v>568</v>
      </c>
      <c r="B6" s="1645"/>
      <c r="C6" s="1646"/>
      <c r="D6" s="1646"/>
      <c r="E6" s="1647"/>
    </row>
    <row r="7" spans="1:7" ht="49.5" customHeight="1" thickBot="1" x14ac:dyDescent="0.25">
      <c r="A7" s="819" t="s">
        <v>70</v>
      </c>
      <c r="B7" s="820" t="s">
        <v>71</v>
      </c>
      <c r="C7" s="821" t="s">
        <v>569</v>
      </c>
      <c r="D7" s="226" t="s">
        <v>665</v>
      </c>
      <c r="E7" s="163" t="s">
        <v>666</v>
      </c>
    </row>
    <row r="8" spans="1:7" ht="30.75" customHeight="1" x14ac:dyDescent="0.2">
      <c r="A8" s="822" t="s">
        <v>513</v>
      </c>
      <c r="B8" s="823" t="s">
        <v>570</v>
      </c>
      <c r="C8" s="824">
        <v>30037520</v>
      </c>
      <c r="D8" s="824">
        <v>31813220</v>
      </c>
      <c r="E8" s="824">
        <v>31813220</v>
      </c>
    </row>
    <row r="9" spans="1:7" ht="27" customHeight="1" x14ac:dyDescent="0.2">
      <c r="A9" s="822" t="s">
        <v>513</v>
      </c>
      <c r="B9" s="823" t="s">
        <v>571</v>
      </c>
      <c r="C9" s="825">
        <f>2855380+254000</f>
        <v>3109380</v>
      </c>
      <c r="D9" s="825">
        <v>410150</v>
      </c>
      <c r="E9" s="825">
        <v>410150</v>
      </c>
    </row>
    <row r="10" spans="1:7" ht="24" customHeight="1" x14ac:dyDescent="0.2">
      <c r="A10" s="826" t="s">
        <v>511</v>
      </c>
      <c r="B10" s="823" t="s">
        <v>512</v>
      </c>
      <c r="C10" s="825">
        <v>0</v>
      </c>
      <c r="D10" s="825">
        <v>0</v>
      </c>
      <c r="E10" s="825">
        <v>0</v>
      </c>
    </row>
    <row r="11" spans="1:7" ht="24.75" customHeight="1" x14ac:dyDescent="0.2">
      <c r="A11" s="1648" t="s">
        <v>68</v>
      </c>
      <c r="B11" s="1649"/>
      <c r="C11" s="827">
        <f>SUM(C8:C10)</f>
        <v>33146900</v>
      </c>
      <c r="D11" s="827">
        <f>SUM(D8:D10)</f>
        <v>32223370</v>
      </c>
      <c r="E11" s="827">
        <f>SUM(E8:E10)</f>
        <v>32223370</v>
      </c>
    </row>
    <row r="12" spans="1:7" ht="25.5" customHeight="1" x14ac:dyDescent="0.2">
      <c r="A12" s="822" t="s">
        <v>572</v>
      </c>
      <c r="B12" s="823" t="s">
        <v>518</v>
      </c>
      <c r="C12" s="824">
        <v>40000</v>
      </c>
      <c r="D12" s="824">
        <v>40000</v>
      </c>
      <c r="E12" s="824">
        <v>0</v>
      </c>
    </row>
    <row r="13" spans="1:7" ht="25.5" customHeight="1" x14ac:dyDescent="0.2">
      <c r="A13" s="826" t="s">
        <v>675</v>
      </c>
      <c r="B13" s="823" t="s">
        <v>234</v>
      </c>
      <c r="C13" s="824">
        <v>0</v>
      </c>
      <c r="D13" s="824">
        <v>10000</v>
      </c>
      <c r="E13" s="824">
        <v>2672</v>
      </c>
    </row>
    <row r="14" spans="1:7" ht="25.5" customHeight="1" x14ac:dyDescent="0.2">
      <c r="A14" s="1626" t="s">
        <v>20</v>
      </c>
      <c r="B14" s="1627"/>
      <c r="C14" s="828">
        <f>SUM(C12:C13)</f>
        <v>40000</v>
      </c>
      <c r="D14" s="828">
        <f>SUM(D12:D13)</f>
        <v>50000</v>
      </c>
      <c r="E14" s="828">
        <f>SUM(E12:E13)</f>
        <v>2672</v>
      </c>
    </row>
    <row r="15" spans="1:7" ht="20.25" customHeight="1" x14ac:dyDescent="0.2">
      <c r="A15" s="1628" t="s">
        <v>74</v>
      </c>
      <c r="B15" s="1629"/>
      <c r="C15" s="829">
        <f>C11+C14</f>
        <v>33186900</v>
      </c>
      <c r="D15" s="829">
        <f>D11+D14</f>
        <v>32273370</v>
      </c>
      <c r="E15" s="829">
        <f>E11+E14</f>
        <v>32226042</v>
      </c>
    </row>
    <row r="16" spans="1:7" ht="20.25" customHeight="1" x14ac:dyDescent="0.2">
      <c r="A16" s="55" t="s">
        <v>673</v>
      </c>
      <c r="B16" s="316" t="s">
        <v>674</v>
      </c>
      <c r="C16" s="1000">
        <v>0</v>
      </c>
      <c r="D16" s="1000">
        <v>10000</v>
      </c>
      <c r="E16" s="843">
        <v>3556</v>
      </c>
    </row>
    <row r="17" spans="1:12" ht="20.25" customHeight="1" x14ac:dyDescent="0.2">
      <c r="A17" s="1635" t="s">
        <v>24</v>
      </c>
      <c r="B17" s="1636"/>
      <c r="C17" s="1000">
        <f t="shared" ref="C17:E18" si="0">SUM(C16)</f>
        <v>0</v>
      </c>
      <c r="D17" s="1000">
        <f t="shared" si="0"/>
        <v>10000</v>
      </c>
      <c r="E17" s="843">
        <f t="shared" si="0"/>
        <v>3556</v>
      </c>
    </row>
    <row r="18" spans="1:12" ht="20.25" customHeight="1" x14ac:dyDescent="0.2">
      <c r="A18" s="1637" t="s">
        <v>73</v>
      </c>
      <c r="B18" s="1638"/>
      <c r="C18" s="976">
        <f t="shared" si="0"/>
        <v>0</v>
      </c>
      <c r="D18" s="976">
        <f t="shared" si="0"/>
        <v>10000</v>
      </c>
      <c r="E18" s="977">
        <f t="shared" si="0"/>
        <v>3556</v>
      </c>
    </row>
    <row r="19" spans="1:12" ht="18" customHeight="1" thickBot="1" x14ac:dyDescent="0.25">
      <c r="A19" s="1630" t="s">
        <v>573</v>
      </c>
      <c r="B19" s="1631"/>
      <c r="C19" s="1632"/>
      <c r="D19" s="1632"/>
      <c r="E19" s="1633"/>
    </row>
    <row r="20" spans="1:12" ht="35.25" customHeight="1" thickBot="1" x14ac:dyDescent="0.25">
      <c r="A20" s="980" t="s">
        <v>70</v>
      </c>
      <c r="B20" s="981" t="s">
        <v>71</v>
      </c>
      <c r="C20" s="982" t="s">
        <v>569</v>
      </c>
      <c r="D20" s="226" t="s">
        <v>665</v>
      </c>
      <c r="E20" s="163" t="s">
        <v>666</v>
      </c>
    </row>
    <row r="21" spans="1:12" ht="25.5" customHeight="1" x14ac:dyDescent="0.2">
      <c r="A21" s="978" t="s">
        <v>574</v>
      </c>
      <c r="B21" s="979" t="s">
        <v>521</v>
      </c>
      <c r="C21" s="859">
        <f>3081840+2549280+2780400+109200-2780400*0.25+380</f>
        <v>7826000</v>
      </c>
      <c r="D21" s="859">
        <v>8304000</v>
      </c>
      <c r="E21" s="859">
        <v>8303324</v>
      </c>
      <c r="F21" s="814" t="s">
        <v>575</v>
      </c>
    </row>
    <row r="22" spans="1:12" ht="25.5" customHeight="1" x14ac:dyDescent="0.2">
      <c r="A22" s="972" t="s">
        <v>669</v>
      </c>
      <c r="B22" s="833" t="s">
        <v>668</v>
      </c>
      <c r="C22" s="834">
        <v>0</v>
      </c>
      <c r="D22" s="834">
        <v>106600</v>
      </c>
      <c r="E22" s="834">
        <v>106600</v>
      </c>
    </row>
    <row r="23" spans="1:12" ht="25.5" customHeight="1" x14ac:dyDescent="0.2">
      <c r="A23" s="832" t="s">
        <v>576</v>
      </c>
      <c r="B23" s="833" t="s">
        <v>85</v>
      </c>
      <c r="C23" s="834">
        <f>3*150000</f>
        <v>450000</v>
      </c>
      <c r="D23" s="834">
        <v>249400</v>
      </c>
      <c r="E23" s="834">
        <v>243640</v>
      </c>
    </row>
    <row r="24" spans="1:12" ht="25.5" customHeight="1" x14ac:dyDescent="0.2">
      <c r="A24" s="974" t="s">
        <v>577</v>
      </c>
      <c r="B24" s="833" t="s">
        <v>79</v>
      </c>
      <c r="C24" s="834">
        <f>72000/2</f>
        <v>36000</v>
      </c>
      <c r="D24" s="834">
        <v>38000</v>
      </c>
      <c r="E24" s="834">
        <v>37964</v>
      </c>
    </row>
    <row r="25" spans="1:12" ht="25.5" customHeight="1" x14ac:dyDescent="0.2">
      <c r="A25" s="822">
        <v>511131</v>
      </c>
      <c r="B25" s="973" t="s">
        <v>670</v>
      </c>
      <c r="C25" s="834"/>
      <c r="D25" s="834">
        <v>352000</v>
      </c>
      <c r="E25" s="834">
        <v>351340</v>
      </c>
    </row>
    <row r="26" spans="1:12" ht="25.5" customHeight="1" x14ac:dyDescent="0.2">
      <c r="A26" s="1634" t="s">
        <v>97</v>
      </c>
      <c r="B26" s="1612"/>
      <c r="C26" s="835">
        <f>SUM(C21:C24)</f>
        <v>8312000</v>
      </c>
      <c r="D26" s="835">
        <f>SUM(D21:D25)</f>
        <v>9050000</v>
      </c>
      <c r="E26" s="835">
        <f>SUM(E21:E25)</f>
        <v>9042868</v>
      </c>
    </row>
    <row r="27" spans="1:12" ht="25.5" customHeight="1" x14ac:dyDescent="0.2">
      <c r="A27" s="832" t="s">
        <v>532</v>
      </c>
      <c r="B27" s="833" t="s">
        <v>72</v>
      </c>
      <c r="C27" s="836">
        <f>SUM(C21+C24)*0.175+150</f>
        <v>1376000</v>
      </c>
      <c r="D27" s="836">
        <v>1464000</v>
      </c>
      <c r="E27" s="836">
        <v>1463968</v>
      </c>
    </row>
    <row r="28" spans="1:12" ht="25.5" customHeight="1" x14ac:dyDescent="0.2">
      <c r="A28" s="832" t="s">
        <v>578</v>
      </c>
      <c r="B28" s="833" t="s">
        <v>77</v>
      </c>
      <c r="C28" s="836">
        <f>110000/2</f>
        <v>55000</v>
      </c>
      <c r="D28" s="836">
        <v>12000</v>
      </c>
      <c r="E28" s="836">
        <v>11832</v>
      </c>
    </row>
    <row r="29" spans="1:12" ht="25.5" customHeight="1" x14ac:dyDescent="0.2">
      <c r="A29" s="832" t="s">
        <v>579</v>
      </c>
      <c r="B29" s="833" t="s">
        <v>78</v>
      </c>
      <c r="C29" s="836">
        <f>120000/2</f>
        <v>60000</v>
      </c>
      <c r="D29" s="836">
        <v>37000</v>
      </c>
      <c r="E29" s="836">
        <v>36546</v>
      </c>
    </row>
    <row r="30" spans="1:12" ht="25.5" customHeight="1" x14ac:dyDescent="0.2">
      <c r="A30" s="1611" t="s">
        <v>94</v>
      </c>
      <c r="B30" s="1612"/>
      <c r="C30" s="835">
        <f>SUM(C27:C29)</f>
        <v>1491000</v>
      </c>
      <c r="D30" s="835">
        <f>SUM(D27:D29)</f>
        <v>1513000</v>
      </c>
      <c r="E30" s="835">
        <f>SUM(E27:E29)</f>
        <v>1512346</v>
      </c>
    </row>
    <row r="31" spans="1:12" ht="21" customHeight="1" x14ac:dyDescent="0.2">
      <c r="A31" s="1605" t="s">
        <v>580</v>
      </c>
      <c r="B31" s="1606"/>
      <c r="C31" s="837">
        <f>SUM(C30,C26)</f>
        <v>9803000</v>
      </c>
      <c r="D31" s="837">
        <f>SUM(D30,D26)</f>
        <v>10563000</v>
      </c>
      <c r="E31" s="837">
        <f>SUM(E30,E26)</f>
        <v>10555214</v>
      </c>
      <c r="F31" s="818"/>
      <c r="I31" s="814">
        <v>10780137</v>
      </c>
    </row>
    <row r="32" spans="1:12" ht="23.25" customHeight="1" thickBot="1" x14ac:dyDescent="0.25">
      <c r="A32" s="1613" t="s">
        <v>581</v>
      </c>
      <c r="B32" s="1614"/>
      <c r="C32" s="1615"/>
      <c r="D32" s="1615"/>
      <c r="E32" s="1621"/>
      <c r="L32" s="838"/>
    </row>
    <row r="33" spans="1:12" ht="40.5" customHeight="1" thickBot="1" x14ac:dyDescent="0.25">
      <c r="A33" s="839" t="s">
        <v>70</v>
      </c>
      <c r="B33" s="840" t="s">
        <v>71</v>
      </c>
      <c r="C33" s="821" t="s">
        <v>569</v>
      </c>
      <c r="D33" s="226" t="s">
        <v>665</v>
      </c>
      <c r="E33" s="163" t="s">
        <v>666</v>
      </c>
      <c r="L33" s="838"/>
    </row>
    <row r="34" spans="1:12" ht="20.25" customHeight="1" x14ac:dyDescent="0.2">
      <c r="A34" s="841" t="s">
        <v>582</v>
      </c>
      <c r="B34" s="842" t="s">
        <v>583</v>
      </c>
      <c r="C34" s="843">
        <v>620000</v>
      </c>
      <c r="D34" s="843">
        <v>422500</v>
      </c>
      <c r="E34" s="843">
        <v>422500</v>
      </c>
      <c r="F34" s="814" t="s">
        <v>584</v>
      </c>
    </row>
    <row r="35" spans="1:12" ht="20.100000000000001" customHeight="1" x14ac:dyDescent="0.2">
      <c r="A35" s="1622" t="s">
        <v>97</v>
      </c>
      <c r="B35" s="1623"/>
      <c r="C35" s="843">
        <f>SUM(C34)</f>
        <v>620000</v>
      </c>
      <c r="D35" s="843">
        <f>SUM(D34)</f>
        <v>422500</v>
      </c>
      <c r="E35" s="843">
        <f>SUM(E34)</f>
        <v>422500</v>
      </c>
    </row>
    <row r="36" spans="1:12" ht="20.100000000000001" customHeight="1" x14ac:dyDescent="0.2">
      <c r="A36" s="844" t="s">
        <v>532</v>
      </c>
      <c r="B36" s="845" t="s">
        <v>72</v>
      </c>
      <c r="C36" s="843">
        <f>SUM(C34*0.195)+100</f>
        <v>121000</v>
      </c>
      <c r="D36" s="843">
        <v>66600</v>
      </c>
      <c r="E36" s="843">
        <v>66547</v>
      </c>
    </row>
    <row r="37" spans="1:12" ht="20.100000000000001" customHeight="1" x14ac:dyDescent="0.2">
      <c r="A37" s="1622" t="s">
        <v>94</v>
      </c>
      <c r="B37" s="1623"/>
      <c r="C37" s="843">
        <f>SUM(C36)</f>
        <v>121000</v>
      </c>
      <c r="D37" s="843">
        <f>SUM(D36)</f>
        <v>66600</v>
      </c>
      <c r="E37" s="843">
        <f>SUM(E36)</f>
        <v>66547</v>
      </c>
      <c r="I37" s="814">
        <v>570133</v>
      </c>
    </row>
    <row r="38" spans="1:12" ht="15.75" customHeight="1" x14ac:dyDescent="0.2">
      <c r="A38" s="1624" t="s">
        <v>585</v>
      </c>
      <c r="B38" s="1625"/>
      <c r="C38" s="846">
        <f>SUM(C35+C37)</f>
        <v>741000</v>
      </c>
      <c r="D38" s="846">
        <f>SUM(D35+D37)</f>
        <v>489100</v>
      </c>
      <c r="E38" s="846">
        <f>SUM(E35+E37)</f>
        <v>489047</v>
      </c>
      <c r="F38" s="818"/>
    </row>
    <row r="39" spans="1:12" ht="20.100000000000001" customHeight="1" thickBot="1" x14ac:dyDescent="0.25">
      <c r="A39" s="1613" t="s">
        <v>586</v>
      </c>
      <c r="B39" s="1614"/>
      <c r="C39" s="1615"/>
      <c r="D39" s="1615"/>
      <c r="E39" s="1616"/>
    </row>
    <row r="40" spans="1:12" ht="38.25" customHeight="1" thickBot="1" x14ac:dyDescent="0.25">
      <c r="A40" s="830" t="s">
        <v>70</v>
      </c>
      <c r="B40" s="831" t="s">
        <v>71</v>
      </c>
      <c r="C40" s="821" t="s">
        <v>569</v>
      </c>
      <c r="D40" s="226" t="s">
        <v>665</v>
      </c>
      <c r="E40" s="163" t="s">
        <v>666</v>
      </c>
    </row>
    <row r="41" spans="1:12" ht="20.100000000000001" customHeight="1" x14ac:dyDescent="0.2">
      <c r="A41" s="832" t="s">
        <v>574</v>
      </c>
      <c r="B41" s="833" t="s">
        <v>521</v>
      </c>
      <c r="C41" s="834">
        <f>246933*1+210600*3+5590620+3404160+2780400+87</f>
        <v>12654000</v>
      </c>
      <c r="D41" s="834">
        <v>12337500</v>
      </c>
      <c r="E41" s="834">
        <v>12337108</v>
      </c>
      <c r="F41" s="814" t="s">
        <v>587</v>
      </c>
    </row>
    <row r="42" spans="1:12" ht="20.100000000000001" customHeight="1" x14ac:dyDescent="0.2">
      <c r="A42" s="972" t="s">
        <v>669</v>
      </c>
      <c r="B42" s="833" t="s">
        <v>668</v>
      </c>
      <c r="C42" s="834">
        <v>0</v>
      </c>
      <c r="D42" s="834">
        <v>94000</v>
      </c>
      <c r="E42" s="834">
        <v>93200</v>
      </c>
    </row>
    <row r="43" spans="1:12" ht="20.100000000000001" customHeight="1" x14ac:dyDescent="0.2">
      <c r="A43" s="832" t="s">
        <v>576</v>
      </c>
      <c r="B43" s="833" t="s">
        <v>85</v>
      </c>
      <c r="C43" s="834">
        <f>3*150000</f>
        <v>450000</v>
      </c>
      <c r="D43" s="834">
        <v>368000</v>
      </c>
      <c r="E43" s="834">
        <v>367739</v>
      </c>
    </row>
    <row r="44" spans="1:12" ht="20.100000000000001" customHeight="1" x14ac:dyDescent="0.2">
      <c r="A44" s="832" t="s">
        <v>577</v>
      </c>
      <c r="B44" s="833" t="s">
        <v>79</v>
      </c>
      <c r="C44" s="834">
        <f>12000*3+4000</f>
        <v>40000</v>
      </c>
      <c r="D44" s="834">
        <f>12000*3+4000</f>
        <v>40000</v>
      </c>
      <c r="E44" s="834">
        <v>32443</v>
      </c>
    </row>
    <row r="45" spans="1:12" ht="20.100000000000001" customHeight="1" x14ac:dyDescent="0.2">
      <c r="A45" s="822">
        <v>511131</v>
      </c>
      <c r="B45" s="973" t="s">
        <v>670</v>
      </c>
      <c r="C45" s="834"/>
      <c r="D45" s="834">
        <v>45000</v>
      </c>
      <c r="E45" s="834">
        <v>44471</v>
      </c>
    </row>
    <row r="46" spans="1:12" ht="20.100000000000001" customHeight="1" x14ac:dyDescent="0.2">
      <c r="A46" s="1611" t="s">
        <v>97</v>
      </c>
      <c r="B46" s="1612"/>
      <c r="C46" s="835">
        <f>SUM(C41:C45)</f>
        <v>13144000</v>
      </c>
      <c r="D46" s="835">
        <f>SUM(D41:D45)</f>
        <v>12884500</v>
      </c>
      <c r="E46" s="835">
        <f>SUM(E41:E45)</f>
        <v>12874961</v>
      </c>
    </row>
    <row r="47" spans="1:12" ht="20.100000000000001" customHeight="1" x14ac:dyDescent="0.2">
      <c r="A47" s="832" t="s">
        <v>532</v>
      </c>
      <c r="B47" s="833" t="s">
        <v>72</v>
      </c>
      <c r="C47" s="836">
        <f>SUM(C41+C44)*0.175+550</f>
        <v>2222000</v>
      </c>
      <c r="D47" s="836">
        <v>2095900</v>
      </c>
      <c r="E47" s="836">
        <v>2095596</v>
      </c>
      <c r="G47" s="814" t="s">
        <v>588</v>
      </c>
      <c r="H47" s="814">
        <f>3977754+57288</f>
        <v>4035042</v>
      </c>
    </row>
    <row r="48" spans="1:12" ht="20.100000000000001" customHeight="1" x14ac:dyDescent="0.2">
      <c r="A48" s="832" t="s">
        <v>578</v>
      </c>
      <c r="B48" s="833" t="s">
        <v>77</v>
      </c>
      <c r="C48" s="836">
        <f>110000/2</f>
        <v>55000</v>
      </c>
      <c r="D48" s="836">
        <v>0</v>
      </c>
      <c r="E48" s="836">
        <v>0</v>
      </c>
    </row>
    <row r="49" spans="1:9" ht="20.100000000000001" customHeight="1" x14ac:dyDescent="0.2">
      <c r="A49" s="832" t="s">
        <v>579</v>
      </c>
      <c r="B49" s="833" t="s">
        <v>78</v>
      </c>
      <c r="C49" s="836">
        <f>120000/2</f>
        <v>60000</v>
      </c>
      <c r="D49" s="836">
        <v>55000</v>
      </c>
      <c r="E49" s="836">
        <v>54819</v>
      </c>
      <c r="G49" s="847">
        <f>SUM(E50+E46)</f>
        <v>15025376</v>
      </c>
    </row>
    <row r="50" spans="1:9" ht="20.100000000000001" customHeight="1" x14ac:dyDescent="0.2">
      <c r="A50" s="1611" t="s">
        <v>94</v>
      </c>
      <c r="B50" s="1612"/>
      <c r="C50" s="835">
        <f>SUM(C47:C49)</f>
        <v>2337000</v>
      </c>
      <c r="D50" s="835">
        <f>SUM(D47:D49)</f>
        <v>2150900</v>
      </c>
      <c r="E50" s="835">
        <f>SUM(E47:E49)</f>
        <v>2150415</v>
      </c>
    </row>
    <row r="51" spans="1:9" ht="20.100000000000001" customHeight="1" x14ac:dyDescent="0.2">
      <c r="A51" s="1605" t="s">
        <v>589</v>
      </c>
      <c r="B51" s="1606"/>
      <c r="C51" s="837">
        <f>SUM(C50,C46)</f>
        <v>15481000</v>
      </c>
      <c r="D51" s="837">
        <f>SUM(D50,D46)</f>
        <v>15035400</v>
      </c>
      <c r="E51" s="837">
        <f>SUM(E50,E46)</f>
        <v>15025376</v>
      </c>
      <c r="F51" s="818"/>
    </row>
    <row r="52" spans="1:9" ht="20.100000000000001" customHeight="1" x14ac:dyDescent="0.2">
      <c r="A52" s="1613" t="s">
        <v>590</v>
      </c>
      <c r="B52" s="1614"/>
      <c r="C52" s="1615"/>
      <c r="D52" s="1615"/>
      <c r="E52" s="1616"/>
    </row>
    <row r="53" spans="1:9" ht="20.100000000000001" customHeight="1" x14ac:dyDescent="0.2">
      <c r="A53" s="848" t="s">
        <v>591</v>
      </c>
      <c r="B53" s="792" t="s">
        <v>592</v>
      </c>
      <c r="C53" s="849">
        <v>5000</v>
      </c>
      <c r="D53" s="849">
        <v>8000</v>
      </c>
      <c r="E53" s="849">
        <v>7815</v>
      </c>
      <c r="F53" s="850"/>
    </row>
    <row r="54" spans="1:9" ht="20.100000000000001" customHeight="1" x14ac:dyDescent="0.2">
      <c r="A54" s="848" t="s">
        <v>536</v>
      </c>
      <c r="B54" s="792" t="s">
        <v>593</v>
      </c>
      <c r="C54" s="849">
        <v>140000</v>
      </c>
      <c r="D54" s="849">
        <v>154700</v>
      </c>
      <c r="E54" s="849">
        <v>154617</v>
      </c>
      <c r="F54" s="850"/>
    </row>
    <row r="55" spans="1:9" ht="20.100000000000001" customHeight="1" x14ac:dyDescent="0.2">
      <c r="A55" s="848" t="s">
        <v>594</v>
      </c>
      <c r="B55" s="851" t="s">
        <v>595</v>
      </c>
      <c r="C55" s="849">
        <v>225000</v>
      </c>
      <c r="D55" s="849">
        <f>14300+11000</f>
        <v>25300</v>
      </c>
      <c r="E55" s="849">
        <f>14145+7122</f>
        <v>21267</v>
      </c>
      <c r="F55" s="852">
        <f>SUM(E53:E55)</f>
        <v>183699</v>
      </c>
      <c r="I55" s="847">
        <f>SUM(D53:D55)</f>
        <v>188000</v>
      </c>
    </row>
    <row r="56" spans="1:9" ht="20.100000000000001" customHeight="1" x14ac:dyDescent="0.2">
      <c r="A56" s="853" t="s">
        <v>596</v>
      </c>
      <c r="B56" s="792" t="s">
        <v>597</v>
      </c>
      <c r="C56" s="849">
        <v>70000</v>
      </c>
      <c r="D56" s="849">
        <v>261060</v>
      </c>
      <c r="E56" s="849">
        <v>261053</v>
      </c>
      <c r="F56" s="850"/>
    </row>
    <row r="57" spans="1:9" ht="20.100000000000001" customHeight="1" x14ac:dyDescent="0.2">
      <c r="A57" s="853" t="s">
        <v>596</v>
      </c>
      <c r="B57" s="792" t="s">
        <v>598</v>
      </c>
      <c r="C57" s="854">
        <f>6*15000</f>
        <v>90000</v>
      </c>
      <c r="D57" s="854">
        <f>6*15000</f>
        <v>90000</v>
      </c>
      <c r="E57" s="854">
        <v>89953</v>
      </c>
      <c r="F57" s="850"/>
    </row>
    <row r="58" spans="1:9" ht="20.100000000000001" customHeight="1" x14ac:dyDescent="0.2">
      <c r="A58" s="853" t="s">
        <v>596</v>
      </c>
      <c r="B58" s="792" t="s">
        <v>599</v>
      </c>
      <c r="C58" s="849">
        <v>150000</v>
      </c>
      <c r="D58" s="849">
        <v>630927</v>
      </c>
      <c r="E58" s="849">
        <v>630213</v>
      </c>
      <c r="F58" s="852">
        <f>SUM(E56:E58)</f>
        <v>981219</v>
      </c>
      <c r="I58" s="847">
        <f>SUM(D56:D58)</f>
        <v>981987</v>
      </c>
    </row>
    <row r="59" spans="1:9" ht="20.100000000000001" customHeight="1" x14ac:dyDescent="0.2">
      <c r="A59" s="855" t="s">
        <v>600</v>
      </c>
      <c r="B59" s="856" t="s">
        <v>601</v>
      </c>
      <c r="C59" s="849">
        <v>85000</v>
      </c>
      <c r="D59" s="849">
        <v>85000</v>
      </c>
      <c r="E59" s="849">
        <v>84550</v>
      </c>
      <c r="F59" s="852"/>
    </row>
    <row r="60" spans="1:9" ht="20.100000000000001" customHeight="1" x14ac:dyDescent="0.2">
      <c r="A60" s="848" t="s">
        <v>602</v>
      </c>
      <c r="B60" s="856" t="s">
        <v>89</v>
      </c>
      <c r="C60" s="849">
        <v>70000</v>
      </c>
      <c r="D60" s="849">
        <v>70000</v>
      </c>
      <c r="E60" s="849">
        <v>36417</v>
      </c>
      <c r="F60" s="850"/>
    </row>
    <row r="61" spans="1:9" ht="20.100000000000001" customHeight="1" x14ac:dyDescent="0.2">
      <c r="A61" s="848" t="s">
        <v>546</v>
      </c>
      <c r="B61" s="856" t="s">
        <v>75</v>
      </c>
      <c r="C61" s="849">
        <v>200000</v>
      </c>
      <c r="D61" s="849">
        <v>0</v>
      </c>
      <c r="E61" s="849">
        <v>0</v>
      </c>
      <c r="F61" s="850"/>
    </row>
    <row r="62" spans="1:9" ht="20.100000000000001" customHeight="1" x14ac:dyDescent="0.2">
      <c r="A62" s="848" t="s">
        <v>547</v>
      </c>
      <c r="B62" s="856" t="s">
        <v>548</v>
      </c>
      <c r="C62" s="849">
        <v>1000000</v>
      </c>
      <c r="D62" s="849">
        <v>701983</v>
      </c>
      <c r="E62" s="849">
        <v>678810</v>
      </c>
      <c r="F62" s="850"/>
    </row>
    <row r="63" spans="1:9" ht="20.100000000000001" customHeight="1" x14ac:dyDescent="0.2">
      <c r="A63" s="848" t="s">
        <v>549</v>
      </c>
      <c r="B63" s="856" t="s">
        <v>76</v>
      </c>
      <c r="C63" s="849">
        <v>125000</v>
      </c>
      <c r="D63" s="849">
        <v>0</v>
      </c>
      <c r="E63" s="849">
        <v>0</v>
      </c>
      <c r="F63" s="852">
        <f>SUM(E61:E63)</f>
        <v>678810</v>
      </c>
    </row>
    <row r="64" spans="1:9" ht="20.100000000000001" customHeight="1" x14ac:dyDescent="0.2">
      <c r="A64" s="848" t="s">
        <v>550</v>
      </c>
      <c r="B64" s="856" t="s">
        <v>90</v>
      </c>
      <c r="C64" s="849">
        <f>55000+800000</f>
        <v>855000</v>
      </c>
      <c r="D64" s="849">
        <v>183000</v>
      </c>
      <c r="E64" s="849">
        <v>182455</v>
      </c>
      <c r="F64" s="850"/>
    </row>
    <row r="65" spans="1:10" ht="20.100000000000001" customHeight="1" x14ac:dyDescent="0.2">
      <c r="A65" s="848" t="s">
        <v>551</v>
      </c>
      <c r="B65" s="856" t="s">
        <v>603</v>
      </c>
      <c r="C65" s="857">
        <v>10000</v>
      </c>
      <c r="D65" s="857">
        <v>20000</v>
      </c>
      <c r="E65" s="857">
        <v>11811</v>
      </c>
      <c r="F65" s="850"/>
    </row>
    <row r="66" spans="1:10" ht="20.100000000000001" customHeight="1" x14ac:dyDescent="0.2">
      <c r="A66" s="848" t="s">
        <v>604</v>
      </c>
      <c r="B66" s="858" t="s">
        <v>671</v>
      </c>
      <c r="C66" s="843">
        <v>75000</v>
      </c>
      <c r="D66" s="843">
        <v>244000</v>
      </c>
      <c r="E66" s="843">
        <f>1245820-E67</f>
        <v>244226</v>
      </c>
      <c r="F66" s="850"/>
    </row>
    <row r="67" spans="1:10" ht="20.100000000000001" customHeight="1" x14ac:dyDescent="0.2">
      <c r="A67" s="848" t="s">
        <v>606</v>
      </c>
      <c r="B67" s="858" t="s">
        <v>607</v>
      </c>
      <c r="C67" s="843">
        <f>150000+220*859*8-50*859-8890</f>
        <v>1610000</v>
      </c>
      <c r="D67" s="843">
        <v>1002000</v>
      </c>
      <c r="E67" s="843">
        <v>1001594</v>
      </c>
      <c r="F67" s="850" t="s">
        <v>608</v>
      </c>
    </row>
    <row r="68" spans="1:10" ht="20.100000000000001" customHeight="1" x14ac:dyDescent="0.2">
      <c r="A68" s="848" t="s">
        <v>555</v>
      </c>
      <c r="B68" s="856" t="s">
        <v>91</v>
      </c>
      <c r="C68" s="859">
        <v>20000</v>
      </c>
      <c r="D68" s="859">
        <v>20000</v>
      </c>
      <c r="E68" s="859">
        <v>0</v>
      </c>
      <c r="F68" s="852">
        <f>SUM(C66:C67)</f>
        <v>1685000</v>
      </c>
      <c r="G68" s="852">
        <f>SUM(D66:D67)</f>
        <v>1246000</v>
      </c>
      <c r="H68" s="852">
        <f>SUM(E66:E67)</f>
        <v>1245820</v>
      </c>
      <c r="I68" s="852">
        <f>SUM(F66:F67)</f>
        <v>0</v>
      </c>
      <c r="J68" s="852">
        <f>SUM(G66:G67)</f>
        <v>0</v>
      </c>
    </row>
    <row r="69" spans="1:10" ht="20.100000000000001" customHeight="1" x14ac:dyDescent="0.2">
      <c r="A69" s="848" t="s">
        <v>556</v>
      </c>
      <c r="B69" s="856" t="s">
        <v>557</v>
      </c>
      <c r="C69" s="849">
        <f>SUM(C53:C66)*0.27+900</f>
        <v>837900</v>
      </c>
      <c r="D69" s="849">
        <v>560900</v>
      </c>
      <c r="E69" s="849">
        <v>560573</v>
      </c>
      <c r="F69" s="850"/>
    </row>
    <row r="70" spans="1:10" ht="20.100000000000001" customHeight="1" x14ac:dyDescent="0.2">
      <c r="A70" s="848" t="s">
        <v>609</v>
      </c>
      <c r="B70" s="856" t="s">
        <v>610</v>
      </c>
      <c r="C70" s="849">
        <v>70000</v>
      </c>
      <c r="D70" s="849">
        <v>70000</v>
      </c>
      <c r="E70" s="849">
        <v>53653</v>
      </c>
      <c r="F70" s="850"/>
    </row>
    <row r="71" spans="1:10" ht="20.100000000000001" customHeight="1" x14ac:dyDescent="0.2">
      <c r="A71" s="1617" t="s">
        <v>98</v>
      </c>
      <c r="B71" s="1618"/>
      <c r="C71" s="860">
        <f>SUM(C53:C70)</f>
        <v>5637900</v>
      </c>
      <c r="D71" s="860">
        <f>SUM(D53:D70)</f>
        <v>4126870</v>
      </c>
      <c r="E71" s="860">
        <f>SUM(E53:E70)</f>
        <v>4019007</v>
      </c>
      <c r="F71" s="850"/>
      <c r="G71" s="847">
        <f>SUM(F55+F58+E64+E65+E67+E68+E70+E76)</f>
        <v>3266261</v>
      </c>
    </row>
    <row r="72" spans="1:10" ht="20.100000000000001" customHeight="1" x14ac:dyDescent="0.2">
      <c r="A72" s="861" t="s">
        <v>672</v>
      </c>
      <c r="B72" s="862" t="s">
        <v>612</v>
      </c>
      <c r="C72" s="975"/>
      <c r="D72" s="975">
        <v>203000</v>
      </c>
      <c r="E72" s="975">
        <v>202725</v>
      </c>
      <c r="F72" s="850"/>
      <c r="G72" s="847"/>
    </row>
    <row r="73" spans="1:10" ht="20.100000000000001" customHeight="1" x14ac:dyDescent="0.2">
      <c r="A73" s="861" t="s">
        <v>611</v>
      </c>
      <c r="B73" s="862" t="s">
        <v>993</v>
      </c>
      <c r="C73" s="863">
        <v>200000</v>
      </c>
      <c r="D73" s="863">
        <v>521209</v>
      </c>
      <c r="E73" s="863">
        <v>521108</v>
      </c>
      <c r="F73" s="850"/>
      <c r="G73" s="847"/>
    </row>
    <row r="74" spans="1:10" ht="20.100000000000001" customHeight="1" x14ac:dyDescent="0.2">
      <c r="A74" s="861" t="s">
        <v>613</v>
      </c>
      <c r="B74" s="862" t="s">
        <v>994</v>
      </c>
      <c r="C74" s="863">
        <f>SUM(C73*0.27)</f>
        <v>54000</v>
      </c>
      <c r="D74" s="863">
        <v>195491</v>
      </c>
      <c r="E74" s="863">
        <v>195433</v>
      </c>
      <c r="F74" s="850"/>
      <c r="G74" s="847"/>
    </row>
    <row r="75" spans="1:10" ht="20.100000000000001" customHeight="1" x14ac:dyDescent="0.2">
      <c r="A75" s="1619" t="s">
        <v>12</v>
      </c>
      <c r="B75" s="1620"/>
      <c r="C75" s="864">
        <f>SUM(C72:C74)</f>
        <v>254000</v>
      </c>
      <c r="D75" s="864">
        <f>SUM(D72:D74)</f>
        <v>919700</v>
      </c>
      <c r="E75" s="864">
        <f>SUM(E72:E74)</f>
        <v>919266</v>
      </c>
      <c r="F75" s="850"/>
      <c r="G75" s="847"/>
    </row>
    <row r="76" spans="1:10" ht="20.100000000000001" customHeight="1" x14ac:dyDescent="0.2">
      <c r="A76" s="861" t="s">
        <v>614</v>
      </c>
      <c r="B76" s="862" t="s">
        <v>992</v>
      </c>
      <c r="C76" s="863">
        <v>1000000</v>
      </c>
      <c r="D76" s="863">
        <v>889791</v>
      </c>
      <c r="E76" s="863">
        <v>851830</v>
      </c>
      <c r="F76" s="850"/>
    </row>
    <row r="77" spans="1:10" ht="20.100000000000001" customHeight="1" x14ac:dyDescent="0.2">
      <c r="A77" s="861" t="s">
        <v>615</v>
      </c>
      <c r="B77" s="862" t="s">
        <v>992</v>
      </c>
      <c r="C77" s="863">
        <f>SUM(C76*0.27)</f>
        <v>270000</v>
      </c>
      <c r="D77" s="863">
        <v>239509</v>
      </c>
      <c r="E77" s="863">
        <v>229994</v>
      </c>
      <c r="F77" s="850"/>
    </row>
    <row r="78" spans="1:10" ht="20.100000000000001" customHeight="1" x14ac:dyDescent="0.2">
      <c r="A78" s="1619" t="s">
        <v>616</v>
      </c>
      <c r="B78" s="1620"/>
      <c r="C78" s="864">
        <f>SUM(C76:C77)</f>
        <v>1270000</v>
      </c>
      <c r="D78" s="864">
        <f>SUM(D76:D77)</f>
        <v>1129300</v>
      </c>
      <c r="E78" s="864">
        <f>SUM(E76:E77)</f>
        <v>1081824</v>
      </c>
      <c r="F78" s="850"/>
    </row>
    <row r="79" spans="1:10" ht="20.100000000000001" customHeight="1" x14ac:dyDescent="0.2">
      <c r="A79" s="1605" t="s">
        <v>585</v>
      </c>
      <c r="B79" s="1606"/>
      <c r="C79" s="837">
        <f>C71+C78+C75</f>
        <v>7161900</v>
      </c>
      <c r="D79" s="837">
        <f>D71+D78+D75</f>
        <v>6175870</v>
      </c>
      <c r="E79" s="837">
        <f>E71+E78+E75</f>
        <v>6020097</v>
      </c>
    </row>
    <row r="80" spans="1:10" ht="20.100000000000001" customHeight="1" thickBot="1" x14ac:dyDescent="0.25">
      <c r="A80" s="865" t="s">
        <v>617</v>
      </c>
      <c r="B80" s="866"/>
      <c r="C80" s="867">
        <f>SUM(C31+C38+C51+C79+C18)</f>
        <v>33186900</v>
      </c>
      <c r="D80" s="867">
        <f>SUM(D31+D38+D51+D79+D18)</f>
        <v>32273370</v>
      </c>
      <c r="E80" s="867">
        <f>SUM(E31+E38+E51+E79+E18)</f>
        <v>32093290</v>
      </c>
    </row>
    <row r="81" spans="1:7" ht="20.100000000000001" customHeight="1" thickBot="1" x14ac:dyDescent="0.25">
      <c r="A81" s="868" t="s">
        <v>618</v>
      </c>
      <c r="B81" s="869"/>
      <c r="C81" s="869"/>
      <c r="D81" s="869"/>
      <c r="E81" s="870"/>
    </row>
    <row r="82" spans="1:7" ht="33" customHeight="1" thickBot="1" x14ac:dyDescent="0.25">
      <c r="A82" s="830" t="s">
        <v>70</v>
      </c>
      <c r="B82" s="991" t="s">
        <v>71</v>
      </c>
      <c r="C82" s="992" t="s">
        <v>569</v>
      </c>
      <c r="D82" s="983" t="s">
        <v>665</v>
      </c>
      <c r="E82" s="983" t="s">
        <v>666</v>
      </c>
    </row>
    <row r="83" spans="1:7" ht="20.25" customHeight="1" x14ac:dyDescent="0.2">
      <c r="A83" s="871" t="s">
        <v>87</v>
      </c>
      <c r="B83" s="993" t="s">
        <v>97</v>
      </c>
      <c r="C83" s="984">
        <f>C46+C35+C26</f>
        <v>22076000</v>
      </c>
      <c r="D83" s="984">
        <f>D46+D35+D26</f>
        <v>22357000</v>
      </c>
      <c r="E83" s="984">
        <f>E46+E35+E26</f>
        <v>22340329</v>
      </c>
    </row>
    <row r="84" spans="1:7" ht="20.100000000000001" customHeight="1" x14ac:dyDescent="0.2">
      <c r="A84" s="872" t="s">
        <v>88</v>
      </c>
      <c r="B84" s="994" t="s">
        <v>94</v>
      </c>
      <c r="C84" s="985">
        <f>C50+C37+C30</f>
        <v>3949000</v>
      </c>
      <c r="D84" s="985">
        <f>D50+D37+D30</f>
        <v>3730500</v>
      </c>
      <c r="E84" s="985">
        <f>E50+E37+E30</f>
        <v>3729308</v>
      </c>
    </row>
    <row r="85" spans="1:7" ht="20.100000000000001" customHeight="1" x14ac:dyDescent="0.2">
      <c r="A85" s="872" t="s">
        <v>92</v>
      </c>
      <c r="B85" s="994" t="s">
        <v>98</v>
      </c>
      <c r="C85" s="985">
        <f>C71</f>
        <v>5637900</v>
      </c>
      <c r="D85" s="985">
        <f>D71</f>
        <v>4126870</v>
      </c>
      <c r="E85" s="985">
        <f>E71</f>
        <v>4019007</v>
      </c>
    </row>
    <row r="86" spans="1:7" ht="20.100000000000001" customHeight="1" x14ac:dyDescent="0.2">
      <c r="A86" s="872" t="s">
        <v>93</v>
      </c>
      <c r="B86" s="994" t="s">
        <v>23</v>
      </c>
      <c r="C86" s="986"/>
      <c r="D86" s="986"/>
      <c r="E86" s="985"/>
    </row>
    <row r="87" spans="1:7" ht="20.100000000000001" customHeight="1" x14ac:dyDescent="0.2">
      <c r="A87" s="872" t="s">
        <v>111</v>
      </c>
      <c r="B87" s="994" t="s">
        <v>24</v>
      </c>
      <c r="C87" s="1001">
        <f>SUM(C17)</f>
        <v>0</v>
      </c>
      <c r="D87" s="1001">
        <f>SUM(D17)</f>
        <v>10000</v>
      </c>
      <c r="E87" s="1001">
        <f>SUM(E17)</f>
        <v>3556</v>
      </c>
    </row>
    <row r="88" spans="1:7" ht="20.100000000000001" customHeight="1" x14ac:dyDescent="0.2">
      <c r="A88" s="872" t="s">
        <v>112</v>
      </c>
      <c r="B88" s="994" t="s">
        <v>12</v>
      </c>
      <c r="C88" s="985">
        <f>SUM(C75)</f>
        <v>254000</v>
      </c>
      <c r="D88" s="985">
        <f>SUM(D75)</f>
        <v>919700</v>
      </c>
      <c r="E88" s="985">
        <f>SUM(E75)</f>
        <v>919266</v>
      </c>
    </row>
    <row r="89" spans="1:7" ht="20.100000000000001" customHeight="1" x14ac:dyDescent="0.2">
      <c r="A89" s="872" t="s">
        <v>113</v>
      </c>
      <c r="B89" s="994" t="s">
        <v>11</v>
      </c>
      <c r="C89" s="985">
        <f>SUM(C78)</f>
        <v>1270000</v>
      </c>
      <c r="D89" s="985">
        <f>SUM(D78)</f>
        <v>1129300</v>
      </c>
      <c r="E89" s="985">
        <f>SUM(E78)</f>
        <v>1081824</v>
      </c>
    </row>
    <row r="90" spans="1:7" ht="20.100000000000001" customHeight="1" x14ac:dyDescent="0.2">
      <c r="A90" s="872" t="s">
        <v>114</v>
      </c>
      <c r="B90" s="994" t="s">
        <v>619</v>
      </c>
      <c r="C90" s="986"/>
      <c r="D90" s="986"/>
      <c r="E90" s="985"/>
    </row>
    <row r="91" spans="1:7" ht="20.100000000000001" customHeight="1" x14ac:dyDescent="0.2">
      <c r="A91" s="872" t="s">
        <v>115</v>
      </c>
      <c r="B91" s="994" t="s">
        <v>69</v>
      </c>
      <c r="C91" s="986"/>
      <c r="D91" s="986"/>
      <c r="E91" s="985"/>
    </row>
    <row r="92" spans="1:7" ht="20.100000000000001" customHeight="1" x14ac:dyDescent="0.2">
      <c r="A92" s="1607" t="s">
        <v>620</v>
      </c>
      <c r="B92" s="1608"/>
      <c r="C92" s="987">
        <f>SUM(C83:C91)</f>
        <v>33186900</v>
      </c>
      <c r="D92" s="987">
        <f>SUM(D83:D91)</f>
        <v>32273370</v>
      </c>
      <c r="E92" s="987">
        <f>SUM(E83:E91)</f>
        <v>32093290</v>
      </c>
    </row>
    <row r="93" spans="1:7" ht="20.100000000000001" customHeight="1" x14ac:dyDescent="0.2">
      <c r="A93" s="875"/>
      <c r="B93" s="995"/>
      <c r="C93" s="988"/>
      <c r="D93" s="988"/>
      <c r="E93" s="997"/>
    </row>
    <row r="94" spans="1:7" ht="20.100000000000001" customHeight="1" x14ac:dyDescent="0.2">
      <c r="A94" s="872" t="s">
        <v>100</v>
      </c>
      <c r="B94" s="994" t="s">
        <v>18</v>
      </c>
      <c r="C94" s="985">
        <v>0</v>
      </c>
      <c r="D94" s="985">
        <v>0</v>
      </c>
      <c r="E94" s="985">
        <v>0</v>
      </c>
    </row>
    <row r="95" spans="1:7" ht="20.100000000000001" customHeight="1" x14ac:dyDescent="0.2">
      <c r="A95" s="875"/>
      <c r="B95" s="996" t="s">
        <v>101</v>
      </c>
      <c r="C95" s="989"/>
      <c r="D95" s="989"/>
      <c r="E95" s="998"/>
      <c r="G95" s="847">
        <f>SUM(E103-E92)</f>
        <v>132752</v>
      </c>
    </row>
    <row r="96" spans="1:7" ht="20.100000000000001" customHeight="1" x14ac:dyDescent="0.2">
      <c r="A96" s="872" t="s">
        <v>102</v>
      </c>
      <c r="B96" s="994" t="s">
        <v>51</v>
      </c>
      <c r="C96" s="986"/>
      <c r="D96" s="986"/>
      <c r="E96" s="985"/>
    </row>
    <row r="97" spans="1:5" ht="20.100000000000001" customHeight="1" x14ac:dyDescent="0.2">
      <c r="A97" s="872" t="s">
        <v>103</v>
      </c>
      <c r="B97" s="994" t="s">
        <v>124</v>
      </c>
      <c r="C97" s="986"/>
      <c r="D97" s="986"/>
      <c r="E97" s="985"/>
    </row>
    <row r="98" spans="1:5" ht="20.100000000000001" customHeight="1" x14ac:dyDescent="0.2">
      <c r="A98" s="872" t="s">
        <v>104</v>
      </c>
      <c r="B98" s="994" t="s">
        <v>20</v>
      </c>
      <c r="C98" s="985">
        <f>C14</f>
        <v>40000</v>
      </c>
      <c r="D98" s="985">
        <f>D14</f>
        <v>50000</v>
      </c>
      <c r="E98" s="985">
        <f>E14</f>
        <v>2672</v>
      </c>
    </row>
    <row r="99" spans="1:5" ht="20.100000000000001" customHeight="1" x14ac:dyDescent="0.2">
      <c r="A99" s="872" t="s">
        <v>105</v>
      </c>
      <c r="B99" s="994" t="s">
        <v>54</v>
      </c>
      <c r="C99" s="986"/>
      <c r="D99" s="986"/>
      <c r="E99" s="999"/>
    </row>
    <row r="100" spans="1:5" ht="20.100000000000001" customHeight="1" x14ac:dyDescent="0.2">
      <c r="A100" s="872" t="s">
        <v>106</v>
      </c>
      <c r="B100" s="994" t="s">
        <v>96</v>
      </c>
      <c r="C100" s="986"/>
      <c r="D100" s="986"/>
      <c r="E100" s="985"/>
    </row>
    <row r="101" spans="1:5" ht="20.100000000000001" customHeight="1" x14ac:dyDescent="0.2">
      <c r="A101" s="872" t="s">
        <v>107</v>
      </c>
      <c r="B101" s="994" t="s">
        <v>95</v>
      </c>
      <c r="C101" s="986"/>
      <c r="D101" s="986"/>
      <c r="E101" s="985"/>
    </row>
    <row r="102" spans="1:5" ht="20.100000000000001" customHeight="1" x14ac:dyDescent="0.2">
      <c r="A102" s="872" t="s">
        <v>108</v>
      </c>
      <c r="B102" s="994" t="s">
        <v>68</v>
      </c>
      <c r="C102" s="985">
        <f>C11</f>
        <v>33146900</v>
      </c>
      <c r="D102" s="985">
        <f>D11</f>
        <v>32223370</v>
      </c>
      <c r="E102" s="985">
        <f>E11</f>
        <v>32223370</v>
      </c>
    </row>
    <row r="103" spans="1:5" ht="20.100000000000001" customHeight="1" thickBot="1" x14ac:dyDescent="0.25">
      <c r="A103" s="1609" t="s">
        <v>621</v>
      </c>
      <c r="B103" s="1610"/>
      <c r="C103" s="990">
        <f>C94+C96+C97+C98+C99+C100+C101+C102</f>
        <v>33186900</v>
      </c>
      <c r="D103" s="990">
        <f>D94+D96+D97+D98+D99+D100+D101+D102</f>
        <v>32273370</v>
      </c>
      <c r="E103" s="990">
        <f>E94+E96+E97+E98+E99+E100+E101+E102</f>
        <v>32226042</v>
      </c>
    </row>
    <row r="104" spans="1:5" ht="20.100000000000001" customHeight="1" x14ac:dyDescent="0.2">
      <c r="D104" s="847">
        <f>SUM(D92-D103)</f>
        <v>0</v>
      </c>
      <c r="E104" s="877">
        <f>SUM(E103-E92)</f>
        <v>132752</v>
      </c>
    </row>
  </sheetData>
  <autoFilter ref="A1:A109"/>
  <mergeCells count="29">
    <mergeCell ref="B1:E1"/>
    <mergeCell ref="A2:E2"/>
    <mergeCell ref="A3:E3"/>
    <mergeCell ref="A5:E5"/>
    <mergeCell ref="A6:E6"/>
    <mergeCell ref="A11:B11"/>
    <mergeCell ref="A14:B14"/>
    <mergeCell ref="A15:B15"/>
    <mergeCell ref="A19:E19"/>
    <mergeCell ref="A26:B26"/>
    <mergeCell ref="A30:B30"/>
    <mergeCell ref="A31:B31"/>
    <mergeCell ref="A17:B17"/>
    <mergeCell ref="A18:B18"/>
    <mergeCell ref="A32:E32"/>
    <mergeCell ref="A35:B35"/>
    <mergeCell ref="A37:B37"/>
    <mergeCell ref="A38:B38"/>
    <mergeCell ref="A39:E39"/>
    <mergeCell ref="A46:B46"/>
    <mergeCell ref="A79:B79"/>
    <mergeCell ref="A92:B92"/>
    <mergeCell ref="A103:B103"/>
    <mergeCell ref="A50:B50"/>
    <mergeCell ref="A51:B51"/>
    <mergeCell ref="A52:E52"/>
    <mergeCell ref="A71:B71"/>
    <mergeCell ref="A75:B75"/>
    <mergeCell ref="A78:B78"/>
  </mergeCells>
  <printOptions horizontalCentered="1"/>
  <pageMargins left="0.59055118110236227" right="0.59055118110236227" top="0.59055118110236227" bottom="0.86" header="0.59055118110236227" footer="0.39370078740157483"/>
  <pageSetup paperSize="9" scale="70" orientation="portrait" r:id="rId1"/>
  <headerFooter alignWithMargins="0">
    <oddFooter>&amp;C&amp;P</oddFooter>
  </headerFooter>
  <rowBreaks count="2" manualBreakCount="2">
    <brk id="38" max="2" man="1"/>
    <brk id="80" max="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S110"/>
  <sheetViews>
    <sheetView topLeftCell="B1" zoomScaleNormal="100" workbookViewId="0">
      <selection activeCell="C1" sqref="C1:F1"/>
    </sheetView>
  </sheetViews>
  <sheetFormatPr defaultColWidth="15.7109375" defaultRowHeight="12.75" x14ac:dyDescent="0.2"/>
  <cols>
    <col min="1" max="1" width="2" style="876" hidden="1" customWidth="1"/>
    <col min="2" max="2" width="18.28515625" style="879" customWidth="1"/>
    <col min="3" max="3" width="56.140625" style="876" customWidth="1"/>
    <col min="4" max="6" width="16.28515625" style="881" customWidth="1"/>
    <col min="7" max="8" width="12.28515625" style="881" customWidth="1"/>
    <col min="9" max="9" width="13" style="876" customWidth="1"/>
    <col min="10" max="10" width="24.85546875" style="876" customWidth="1"/>
    <col min="11" max="11" width="12.42578125" style="876" customWidth="1"/>
    <col min="12" max="12" width="22.85546875" style="876" bestFit="1" customWidth="1"/>
    <col min="13" max="16384" width="15.7109375" style="876"/>
  </cols>
  <sheetData>
    <row r="1" spans="1:253" ht="15" x14ac:dyDescent="0.2">
      <c r="C1" s="1661" t="s">
        <v>1020</v>
      </c>
      <c r="D1" s="1661"/>
      <c r="E1" s="1364"/>
      <c r="F1" s="1364"/>
      <c r="G1" s="880"/>
      <c r="H1" s="880"/>
      <c r="I1" s="880"/>
    </row>
    <row r="3" spans="1:253" x14ac:dyDescent="0.2">
      <c r="A3" s="1662" t="s">
        <v>667</v>
      </c>
      <c r="B3" s="1663"/>
      <c r="C3" s="1663"/>
      <c r="D3" s="1663"/>
      <c r="E3" s="1664"/>
      <c r="F3" s="1664"/>
      <c r="G3" s="882"/>
      <c r="H3" s="882"/>
    </row>
    <row r="4" spans="1:253" ht="13.5" thickBot="1" x14ac:dyDescent="0.25">
      <c r="A4" s="1658" t="s">
        <v>622</v>
      </c>
      <c r="B4" s="1659"/>
      <c r="C4" s="1659"/>
      <c r="D4" s="1660"/>
      <c r="E4" s="971"/>
      <c r="F4" s="971"/>
      <c r="G4" s="884"/>
      <c r="H4" s="884"/>
    </row>
    <row r="5" spans="1:253" ht="24.75" thickBot="1" x14ac:dyDescent="0.25">
      <c r="A5" s="885"/>
      <c r="B5" s="886" t="s">
        <v>70</v>
      </c>
      <c r="C5" s="886" t="s">
        <v>71</v>
      </c>
      <c r="D5" s="821" t="s">
        <v>569</v>
      </c>
      <c r="E5" s="226" t="s">
        <v>665</v>
      </c>
      <c r="F5" s="226" t="s">
        <v>666</v>
      </c>
      <c r="G5" s="887"/>
      <c r="H5" s="887"/>
    </row>
    <row r="6" spans="1:253" x14ac:dyDescent="0.2">
      <c r="A6" s="888"/>
      <c r="B6" s="889" t="s">
        <v>623</v>
      </c>
      <c r="C6" s="890" t="s">
        <v>624</v>
      </c>
      <c r="D6" s="891">
        <v>3900000</v>
      </c>
      <c r="E6" s="891">
        <v>3700271</v>
      </c>
      <c r="F6" s="891">
        <v>3336231</v>
      </c>
      <c r="G6" s="892"/>
      <c r="H6" s="892"/>
      <c r="I6" s="876" t="s">
        <v>625</v>
      </c>
      <c r="J6" s="893">
        <f>SUM(D6*0.34)</f>
        <v>1326000</v>
      </c>
      <c r="K6" s="876" t="s">
        <v>626</v>
      </c>
      <c r="L6" s="893">
        <f>SUM(D6*0.66)</f>
        <v>2574000</v>
      </c>
      <c r="M6" s="894">
        <f>SUM(J6+L6)</f>
        <v>3900000</v>
      </c>
    </row>
    <row r="7" spans="1:253" x14ac:dyDescent="0.2">
      <c r="A7" s="888"/>
      <c r="B7" s="889" t="s">
        <v>627</v>
      </c>
      <c r="C7" s="890" t="s">
        <v>628</v>
      </c>
      <c r="D7" s="891">
        <f>SUM(D6)*0.27</f>
        <v>1053000</v>
      </c>
      <c r="E7" s="891">
        <f>SUM(E6)*0.27-4</f>
        <v>999069.17</v>
      </c>
      <c r="F7" s="891">
        <f>SUM(F6)*0.27-8</f>
        <v>900774.37000000011</v>
      </c>
      <c r="G7" s="892"/>
      <c r="H7" s="892"/>
      <c r="I7" s="876" t="s">
        <v>625</v>
      </c>
      <c r="J7" s="893">
        <f>SUM(D7*0.34)</f>
        <v>358020</v>
      </c>
      <c r="K7" s="876" t="s">
        <v>626</v>
      </c>
      <c r="L7" s="893">
        <f>SUM(D7*0.66)</f>
        <v>694980</v>
      </c>
      <c r="M7" s="894">
        <f t="shared" ref="M7:M42" si="0">SUM(J7+L7)</f>
        <v>1053000</v>
      </c>
    </row>
    <row r="8" spans="1:253" x14ac:dyDescent="0.2">
      <c r="A8" s="895"/>
      <c r="B8" s="1655" t="s">
        <v>20</v>
      </c>
      <c r="C8" s="1655"/>
      <c r="D8" s="896">
        <f>SUM(D6:D7)</f>
        <v>4953000</v>
      </c>
      <c r="E8" s="896">
        <f>SUM(E6:E7)</f>
        <v>4699340.17</v>
      </c>
      <c r="F8" s="896">
        <f>SUM(F6:F7)</f>
        <v>4237005.37</v>
      </c>
      <c r="G8" s="897"/>
      <c r="H8" s="897"/>
      <c r="I8" s="876" t="s">
        <v>625</v>
      </c>
      <c r="J8" s="893">
        <f>SUM(D8*0.34)</f>
        <v>1684020.0000000002</v>
      </c>
      <c r="K8" s="876" t="s">
        <v>626</v>
      </c>
      <c r="L8" s="893">
        <f>SUM(D8*0.66)</f>
        <v>3268980</v>
      </c>
      <c r="M8" s="894">
        <f t="shared" si="0"/>
        <v>4953000</v>
      </c>
      <c r="N8" s="898"/>
      <c r="O8" s="898"/>
      <c r="P8" s="898"/>
      <c r="Q8" s="898"/>
      <c r="R8" s="898"/>
      <c r="S8" s="898"/>
      <c r="T8" s="898"/>
      <c r="U8" s="898"/>
      <c r="V8" s="898"/>
      <c r="W8" s="898"/>
      <c r="X8" s="898"/>
      <c r="Y8" s="898"/>
      <c r="Z8" s="898"/>
      <c r="AA8" s="898"/>
      <c r="AB8" s="898"/>
      <c r="AC8" s="898"/>
      <c r="AD8" s="898"/>
      <c r="AE8" s="898"/>
      <c r="AF8" s="898"/>
      <c r="AG8" s="898"/>
      <c r="AH8" s="898"/>
      <c r="AI8" s="898"/>
      <c r="AJ8" s="898"/>
      <c r="AK8" s="898"/>
      <c r="AL8" s="898"/>
      <c r="AM8" s="898"/>
      <c r="AN8" s="898"/>
      <c r="AO8" s="898"/>
      <c r="AP8" s="898"/>
      <c r="AQ8" s="898"/>
      <c r="AR8" s="898"/>
      <c r="AS8" s="898"/>
      <c r="AT8" s="898"/>
      <c r="AU8" s="898"/>
      <c r="AV8" s="898"/>
      <c r="AW8" s="898"/>
      <c r="AX8" s="898"/>
      <c r="AY8" s="898"/>
      <c r="AZ8" s="898"/>
      <c r="BA8" s="898"/>
      <c r="BB8" s="898"/>
      <c r="BC8" s="898"/>
      <c r="BD8" s="898"/>
      <c r="BE8" s="898"/>
      <c r="BF8" s="898"/>
      <c r="BG8" s="898"/>
      <c r="BH8" s="898"/>
      <c r="BI8" s="898"/>
      <c r="BJ8" s="898"/>
      <c r="BK8" s="898"/>
      <c r="BL8" s="898"/>
      <c r="BM8" s="898"/>
      <c r="BN8" s="898"/>
      <c r="BO8" s="898"/>
      <c r="BP8" s="898"/>
      <c r="BQ8" s="898"/>
      <c r="BR8" s="898"/>
      <c r="BS8" s="898"/>
      <c r="BT8" s="898"/>
      <c r="BU8" s="898"/>
      <c r="BV8" s="898"/>
      <c r="BW8" s="898"/>
      <c r="BX8" s="898"/>
      <c r="BY8" s="898"/>
      <c r="BZ8" s="898"/>
      <c r="CA8" s="898"/>
      <c r="CB8" s="898"/>
      <c r="CC8" s="898"/>
      <c r="CD8" s="898"/>
      <c r="CE8" s="898"/>
      <c r="CF8" s="898"/>
      <c r="CG8" s="898"/>
      <c r="CH8" s="898"/>
      <c r="CI8" s="898"/>
      <c r="CJ8" s="898"/>
      <c r="CK8" s="898"/>
      <c r="CL8" s="898"/>
      <c r="CM8" s="898"/>
      <c r="CN8" s="898"/>
      <c r="CO8" s="898"/>
      <c r="CP8" s="898"/>
      <c r="CQ8" s="898"/>
      <c r="CR8" s="898"/>
      <c r="CS8" s="898"/>
      <c r="CT8" s="898"/>
      <c r="CU8" s="898"/>
      <c r="CV8" s="898"/>
      <c r="CW8" s="898"/>
      <c r="CX8" s="898"/>
      <c r="CY8" s="898"/>
      <c r="CZ8" s="898"/>
      <c r="DA8" s="898"/>
      <c r="DB8" s="898"/>
      <c r="DC8" s="898"/>
      <c r="DD8" s="898"/>
      <c r="DE8" s="898"/>
      <c r="DF8" s="898"/>
      <c r="DG8" s="898"/>
      <c r="DH8" s="898"/>
      <c r="DI8" s="898"/>
      <c r="DJ8" s="898"/>
      <c r="DK8" s="898"/>
      <c r="DL8" s="898"/>
      <c r="DM8" s="898"/>
      <c r="DN8" s="898"/>
      <c r="DO8" s="898"/>
      <c r="DP8" s="898"/>
      <c r="DQ8" s="898"/>
      <c r="DR8" s="898"/>
      <c r="DS8" s="898"/>
      <c r="DT8" s="898"/>
      <c r="DU8" s="898"/>
      <c r="DV8" s="898"/>
      <c r="DW8" s="898"/>
      <c r="DX8" s="898"/>
      <c r="DY8" s="898"/>
      <c r="DZ8" s="898"/>
      <c r="EA8" s="898"/>
      <c r="EB8" s="898"/>
      <c r="EC8" s="898"/>
      <c r="ED8" s="898"/>
      <c r="EE8" s="898"/>
      <c r="EF8" s="898"/>
      <c r="EG8" s="898"/>
      <c r="EH8" s="898"/>
      <c r="EI8" s="898"/>
      <c r="EJ8" s="898"/>
      <c r="EK8" s="898"/>
      <c r="EL8" s="898"/>
      <c r="EM8" s="898"/>
      <c r="EN8" s="898"/>
      <c r="EO8" s="898"/>
      <c r="EP8" s="898"/>
      <c r="EQ8" s="898"/>
      <c r="ER8" s="898"/>
      <c r="ES8" s="898"/>
      <c r="ET8" s="898"/>
      <c r="EU8" s="898"/>
      <c r="EV8" s="898"/>
      <c r="EW8" s="898"/>
      <c r="EX8" s="898"/>
      <c r="EY8" s="898"/>
      <c r="EZ8" s="898"/>
      <c r="FA8" s="898"/>
      <c r="FB8" s="898"/>
      <c r="FC8" s="898"/>
      <c r="FD8" s="898"/>
      <c r="FE8" s="898"/>
      <c r="FF8" s="898"/>
      <c r="FG8" s="898"/>
      <c r="FH8" s="898"/>
      <c r="FI8" s="898"/>
      <c r="FJ8" s="898"/>
      <c r="FK8" s="898"/>
      <c r="FL8" s="898"/>
      <c r="FM8" s="898"/>
      <c r="FN8" s="898"/>
      <c r="FO8" s="898"/>
      <c r="FP8" s="898"/>
      <c r="FQ8" s="898"/>
      <c r="FR8" s="898"/>
      <c r="FS8" s="898"/>
      <c r="FT8" s="898"/>
      <c r="FU8" s="898"/>
      <c r="FV8" s="898"/>
      <c r="FW8" s="898"/>
      <c r="FX8" s="898"/>
      <c r="FY8" s="898"/>
      <c r="FZ8" s="898"/>
      <c r="GA8" s="898"/>
      <c r="GB8" s="898"/>
      <c r="GC8" s="898"/>
      <c r="GD8" s="898"/>
      <c r="GE8" s="898"/>
      <c r="GF8" s="898"/>
      <c r="GG8" s="898"/>
      <c r="GH8" s="898"/>
      <c r="GI8" s="898"/>
      <c r="GJ8" s="898"/>
      <c r="GK8" s="898"/>
      <c r="GL8" s="898"/>
      <c r="GM8" s="898"/>
      <c r="GN8" s="898"/>
      <c r="GO8" s="898"/>
      <c r="GP8" s="898"/>
      <c r="GQ8" s="898"/>
      <c r="GR8" s="898"/>
      <c r="GS8" s="898"/>
      <c r="GT8" s="898"/>
      <c r="GU8" s="898"/>
      <c r="GV8" s="898"/>
      <c r="GW8" s="898"/>
      <c r="GX8" s="898"/>
      <c r="GY8" s="898"/>
      <c r="GZ8" s="898"/>
      <c r="HA8" s="898"/>
      <c r="HB8" s="898"/>
      <c r="HC8" s="898"/>
      <c r="HD8" s="898"/>
      <c r="HE8" s="898"/>
      <c r="HF8" s="898"/>
      <c r="HG8" s="898"/>
      <c r="HH8" s="898"/>
      <c r="HI8" s="898"/>
      <c r="HJ8" s="898"/>
      <c r="HK8" s="898"/>
      <c r="HL8" s="898"/>
      <c r="HM8" s="898"/>
      <c r="HN8" s="898"/>
      <c r="HO8" s="898"/>
      <c r="HP8" s="898"/>
      <c r="HQ8" s="898"/>
      <c r="HR8" s="898"/>
      <c r="HS8" s="898"/>
      <c r="HT8" s="898"/>
      <c r="HU8" s="898"/>
      <c r="HV8" s="898"/>
      <c r="HW8" s="898"/>
      <c r="HX8" s="898"/>
      <c r="HY8" s="898"/>
      <c r="HZ8" s="898"/>
      <c r="IA8" s="898"/>
      <c r="IB8" s="898"/>
      <c r="IC8" s="898"/>
      <c r="ID8" s="898"/>
      <c r="IE8" s="898"/>
      <c r="IF8" s="898"/>
      <c r="IG8" s="898"/>
      <c r="IH8" s="898"/>
      <c r="II8" s="898"/>
      <c r="IJ8" s="898"/>
      <c r="IK8" s="898"/>
      <c r="IL8" s="898"/>
      <c r="IM8" s="898"/>
      <c r="IN8" s="898"/>
      <c r="IO8" s="898"/>
      <c r="IP8" s="898"/>
      <c r="IQ8" s="898"/>
      <c r="IR8" s="898"/>
      <c r="IS8" s="898"/>
    </row>
    <row r="9" spans="1:253" x14ac:dyDescent="0.2">
      <c r="A9" s="895"/>
      <c r="B9" s="899" t="s">
        <v>513</v>
      </c>
      <c r="C9" s="900" t="s">
        <v>629</v>
      </c>
      <c r="D9" s="891">
        <v>23312424</v>
      </c>
      <c r="E9" s="891">
        <v>18585602</v>
      </c>
      <c r="F9" s="891">
        <v>18585602</v>
      </c>
      <c r="G9" s="892"/>
      <c r="H9" s="892"/>
      <c r="I9" s="876" t="s">
        <v>625</v>
      </c>
      <c r="J9" s="893">
        <f>SUM(D9*0.34)</f>
        <v>7926224.1600000001</v>
      </c>
      <c r="K9" s="876" t="s">
        <v>626</v>
      </c>
      <c r="L9" s="893">
        <f>SUM(D9*0.66)</f>
        <v>15386199.84</v>
      </c>
      <c r="M9" s="894">
        <f t="shared" si="0"/>
        <v>23312424</v>
      </c>
      <c r="N9" s="898"/>
      <c r="O9" s="898"/>
      <c r="P9" s="898"/>
      <c r="Q9" s="898"/>
      <c r="R9" s="898"/>
      <c r="S9" s="898"/>
      <c r="T9" s="898"/>
      <c r="U9" s="898"/>
      <c r="V9" s="898"/>
      <c r="W9" s="898"/>
      <c r="X9" s="898"/>
      <c r="Y9" s="898"/>
      <c r="Z9" s="898"/>
      <c r="AA9" s="898"/>
      <c r="AB9" s="898"/>
      <c r="AC9" s="898"/>
      <c r="AD9" s="898"/>
      <c r="AE9" s="898"/>
      <c r="AF9" s="898"/>
      <c r="AG9" s="898"/>
      <c r="AH9" s="898"/>
      <c r="AI9" s="898"/>
      <c r="AJ9" s="898"/>
      <c r="AK9" s="898"/>
      <c r="AL9" s="898"/>
      <c r="AM9" s="898"/>
      <c r="AN9" s="898"/>
      <c r="AO9" s="898"/>
      <c r="AP9" s="898"/>
      <c r="AQ9" s="898"/>
      <c r="AR9" s="898"/>
      <c r="AS9" s="898"/>
      <c r="AT9" s="898"/>
      <c r="AU9" s="898"/>
      <c r="AV9" s="898"/>
      <c r="AW9" s="898"/>
      <c r="AX9" s="898"/>
      <c r="AY9" s="898"/>
      <c r="AZ9" s="898"/>
      <c r="BA9" s="898"/>
      <c r="BB9" s="898"/>
      <c r="BC9" s="898"/>
      <c r="BD9" s="898"/>
      <c r="BE9" s="898"/>
      <c r="BF9" s="898"/>
      <c r="BG9" s="898"/>
      <c r="BH9" s="898"/>
      <c r="BI9" s="898"/>
      <c r="BJ9" s="898"/>
      <c r="BK9" s="898"/>
      <c r="BL9" s="898"/>
      <c r="BM9" s="898"/>
      <c r="BN9" s="898"/>
      <c r="BO9" s="898"/>
      <c r="BP9" s="898"/>
      <c r="BQ9" s="898"/>
      <c r="BR9" s="898"/>
      <c r="BS9" s="898"/>
      <c r="BT9" s="898"/>
      <c r="BU9" s="898"/>
      <c r="BV9" s="898"/>
      <c r="BW9" s="898"/>
      <c r="BX9" s="898"/>
      <c r="BY9" s="898"/>
      <c r="BZ9" s="898"/>
      <c r="CA9" s="898"/>
      <c r="CB9" s="898"/>
      <c r="CC9" s="898"/>
      <c r="CD9" s="898"/>
      <c r="CE9" s="898"/>
      <c r="CF9" s="898"/>
      <c r="CG9" s="898"/>
      <c r="CH9" s="898"/>
      <c r="CI9" s="898"/>
      <c r="CJ9" s="898"/>
      <c r="CK9" s="898"/>
      <c r="CL9" s="898"/>
      <c r="CM9" s="898"/>
      <c r="CN9" s="898"/>
      <c r="CO9" s="898"/>
      <c r="CP9" s="898"/>
      <c r="CQ9" s="898"/>
      <c r="CR9" s="898"/>
      <c r="CS9" s="898"/>
      <c r="CT9" s="898"/>
      <c r="CU9" s="898"/>
      <c r="CV9" s="898"/>
      <c r="CW9" s="898"/>
      <c r="CX9" s="898"/>
      <c r="CY9" s="898"/>
      <c r="CZ9" s="898"/>
      <c r="DA9" s="898"/>
      <c r="DB9" s="898"/>
      <c r="DC9" s="898"/>
      <c r="DD9" s="898"/>
      <c r="DE9" s="898"/>
      <c r="DF9" s="898"/>
      <c r="DG9" s="898"/>
      <c r="DH9" s="898"/>
      <c r="DI9" s="898"/>
      <c r="DJ9" s="898"/>
      <c r="DK9" s="898"/>
      <c r="DL9" s="898"/>
      <c r="DM9" s="898"/>
      <c r="DN9" s="898"/>
      <c r="DO9" s="898"/>
      <c r="DP9" s="898"/>
      <c r="DQ9" s="898"/>
      <c r="DR9" s="898"/>
      <c r="DS9" s="898"/>
      <c r="DT9" s="898"/>
      <c r="DU9" s="898"/>
      <c r="DV9" s="898"/>
      <c r="DW9" s="898"/>
      <c r="DX9" s="898"/>
      <c r="DY9" s="898"/>
      <c r="DZ9" s="898"/>
      <c r="EA9" s="898"/>
      <c r="EB9" s="898"/>
      <c r="EC9" s="898"/>
      <c r="ED9" s="898"/>
      <c r="EE9" s="898"/>
      <c r="EF9" s="898"/>
      <c r="EG9" s="898"/>
      <c r="EH9" s="898"/>
      <c r="EI9" s="898"/>
      <c r="EJ9" s="898"/>
      <c r="EK9" s="898"/>
      <c r="EL9" s="898"/>
      <c r="EM9" s="898"/>
      <c r="EN9" s="898"/>
      <c r="EO9" s="898"/>
      <c r="EP9" s="898"/>
      <c r="EQ9" s="898"/>
      <c r="ER9" s="898"/>
      <c r="ES9" s="898"/>
      <c r="ET9" s="898"/>
      <c r="EU9" s="898"/>
      <c r="EV9" s="898"/>
      <c r="EW9" s="898"/>
      <c r="EX9" s="898"/>
      <c r="EY9" s="898"/>
      <c r="EZ9" s="898"/>
      <c r="FA9" s="898"/>
      <c r="FB9" s="898"/>
      <c r="FC9" s="898"/>
      <c r="FD9" s="898"/>
      <c r="FE9" s="898"/>
      <c r="FF9" s="898"/>
      <c r="FG9" s="898"/>
      <c r="FH9" s="898"/>
      <c r="FI9" s="898"/>
      <c r="FJ9" s="898"/>
      <c r="FK9" s="898"/>
      <c r="FL9" s="898"/>
      <c r="FM9" s="898"/>
      <c r="FN9" s="898"/>
      <c r="FO9" s="898"/>
      <c r="FP9" s="898"/>
      <c r="FQ9" s="898"/>
      <c r="FR9" s="898"/>
      <c r="FS9" s="898"/>
      <c r="FT9" s="898"/>
      <c r="FU9" s="898"/>
      <c r="FV9" s="898"/>
      <c r="FW9" s="898"/>
      <c r="FX9" s="898"/>
      <c r="FY9" s="898"/>
      <c r="FZ9" s="898"/>
      <c r="GA9" s="898"/>
      <c r="GB9" s="898"/>
      <c r="GC9" s="898"/>
      <c r="GD9" s="898"/>
      <c r="GE9" s="898"/>
      <c r="GF9" s="898"/>
      <c r="GG9" s="898"/>
      <c r="GH9" s="898"/>
      <c r="GI9" s="898"/>
      <c r="GJ9" s="898"/>
      <c r="GK9" s="898"/>
      <c r="GL9" s="898"/>
      <c r="GM9" s="898"/>
      <c r="GN9" s="898"/>
      <c r="GO9" s="898"/>
      <c r="GP9" s="898"/>
      <c r="GQ9" s="898"/>
      <c r="GR9" s="898"/>
      <c r="GS9" s="898"/>
      <c r="GT9" s="898"/>
      <c r="GU9" s="898"/>
      <c r="GV9" s="898"/>
      <c r="GW9" s="898"/>
      <c r="GX9" s="898"/>
      <c r="GY9" s="898"/>
      <c r="GZ9" s="898"/>
      <c r="HA9" s="898"/>
      <c r="HB9" s="898"/>
      <c r="HC9" s="898"/>
      <c r="HD9" s="898"/>
      <c r="HE9" s="898"/>
      <c r="HF9" s="898"/>
      <c r="HG9" s="898"/>
      <c r="HH9" s="898"/>
      <c r="HI9" s="898"/>
      <c r="HJ9" s="898"/>
      <c r="HK9" s="898"/>
      <c r="HL9" s="898"/>
      <c r="HM9" s="898"/>
      <c r="HN9" s="898"/>
      <c r="HO9" s="898"/>
      <c r="HP9" s="898"/>
      <c r="HQ9" s="898"/>
      <c r="HR9" s="898"/>
      <c r="HS9" s="898"/>
      <c r="HT9" s="898"/>
      <c r="HU9" s="898"/>
      <c r="HV9" s="898"/>
      <c r="HW9" s="898"/>
      <c r="HX9" s="898"/>
      <c r="HY9" s="898"/>
      <c r="HZ9" s="898"/>
      <c r="IA9" s="898"/>
      <c r="IB9" s="898"/>
      <c r="IC9" s="898"/>
      <c r="ID9" s="898"/>
      <c r="IE9" s="898"/>
      <c r="IF9" s="898"/>
      <c r="IG9" s="898"/>
      <c r="IH9" s="898"/>
      <c r="II9" s="898"/>
      <c r="IJ9" s="898"/>
      <c r="IK9" s="898"/>
      <c r="IL9" s="898"/>
      <c r="IM9" s="898"/>
      <c r="IN9" s="898"/>
      <c r="IO9" s="898"/>
      <c r="IP9" s="898"/>
      <c r="IQ9" s="898"/>
      <c r="IR9" s="898"/>
      <c r="IS9" s="898"/>
    </row>
    <row r="10" spans="1:253" ht="25.5" x14ac:dyDescent="0.2">
      <c r="A10" s="895"/>
      <c r="B10" s="899" t="s">
        <v>513</v>
      </c>
      <c r="C10" s="900" t="s">
        <v>571</v>
      </c>
      <c r="D10" s="891">
        <f>800576+102000</f>
        <v>902576</v>
      </c>
      <c r="E10" s="891">
        <v>-518670</v>
      </c>
      <c r="F10" s="891">
        <v>-518670</v>
      </c>
      <c r="G10" s="892"/>
      <c r="H10" s="892">
        <f>SUM(D9:D10)</f>
        <v>24215000</v>
      </c>
      <c r="J10" s="893"/>
      <c r="L10" s="893"/>
      <c r="M10" s="894"/>
      <c r="N10" s="898"/>
      <c r="O10" s="898"/>
      <c r="P10" s="898"/>
      <c r="Q10" s="898"/>
      <c r="R10" s="898"/>
      <c r="S10" s="898"/>
      <c r="T10" s="898"/>
      <c r="U10" s="898"/>
      <c r="V10" s="898"/>
      <c r="W10" s="898"/>
      <c r="X10" s="898"/>
      <c r="Y10" s="898"/>
      <c r="Z10" s="898"/>
      <c r="AA10" s="898"/>
      <c r="AB10" s="898"/>
      <c r="AC10" s="898"/>
      <c r="AD10" s="898"/>
      <c r="AE10" s="898"/>
      <c r="AF10" s="898"/>
      <c r="AG10" s="898"/>
      <c r="AH10" s="898"/>
      <c r="AI10" s="898"/>
      <c r="AJ10" s="898"/>
      <c r="AK10" s="898"/>
      <c r="AL10" s="898"/>
      <c r="AM10" s="898"/>
      <c r="AN10" s="898"/>
      <c r="AO10" s="898"/>
      <c r="AP10" s="898"/>
      <c r="AQ10" s="898"/>
      <c r="AR10" s="898"/>
      <c r="AS10" s="898"/>
      <c r="AT10" s="898"/>
      <c r="AU10" s="898"/>
      <c r="AV10" s="898"/>
      <c r="AW10" s="898"/>
      <c r="AX10" s="898"/>
      <c r="AY10" s="898"/>
      <c r="AZ10" s="898"/>
      <c r="BA10" s="898"/>
      <c r="BB10" s="898"/>
      <c r="BC10" s="898"/>
      <c r="BD10" s="898"/>
      <c r="BE10" s="898"/>
      <c r="BF10" s="898"/>
      <c r="BG10" s="898"/>
      <c r="BH10" s="898"/>
      <c r="BI10" s="898"/>
      <c r="BJ10" s="898"/>
      <c r="BK10" s="898"/>
      <c r="BL10" s="898"/>
      <c r="BM10" s="898"/>
      <c r="BN10" s="898"/>
      <c r="BO10" s="898"/>
      <c r="BP10" s="898"/>
      <c r="BQ10" s="898"/>
      <c r="BR10" s="898"/>
      <c r="BS10" s="898"/>
      <c r="BT10" s="898"/>
      <c r="BU10" s="898"/>
      <c r="BV10" s="898"/>
      <c r="BW10" s="898"/>
      <c r="BX10" s="898"/>
      <c r="BY10" s="898"/>
      <c r="BZ10" s="898"/>
      <c r="CA10" s="898"/>
      <c r="CB10" s="898"/>
      <c r="CC10" s="898"/>
      <c r="CD10" s="898"/>
      <c r="CE10" s="898"/>
      <c r="CF10" s="898"/>
      <c r="CG10" s="898"/>
      <c r="CH10" s="898"/>
      <c r="CI10" s="898"/>
      <c r="CJ10" s="898"/>
      <c r="CK10" s="898"/>
      <c r="CL10" s="898"/>
      <c r="CM10" s="898"/>
      <c r="CN10" s="898"/>
      <c r="CO10" s="898"/>
      <c r="CP10" s="898"/>
      <c r="CQ10" s="898"/>
      <c r="CR10" s="898"/>
      <c r="CS10" s="898"/>
      <c r="CT10" s="898"/>
      <c r="CU10" s="898"/>
      <c r="CV10" s="898"/>
      <c r="CW10" s="898"/>
      <c r="CX10" s="898"/>
      <c r="CY10" s="898"/>
      <c r="CZ10" s="898"/>
      <c r="DA10" s="898"/>
      <c r="DB10" s="898"/>
      <c r="DC10" s="898"/>
      <c r="DD10" s="898"/>
      <c r="DE10" s="898"/>
      <c r="DF10" s="898"/>
      <c r="DG10" s="898"/>
      <c r="DH10" s="898"/>
      <c r="DI10" s="898"/>
      <c r="DJ10" s="898"/>
      <c r="DK10" s="898"/>
      <c r="DL10" s="898"/>
      <c r="DM10" s="898"/>
      <c r="DN10" s="898"/>
      <c r="DO10" s="898"/>
      <c r="DP10" s="898"/>
      <c r="DQ10" s="898"/>
      <c r="DR10" s="898"/>
      <c r="DS10" s="898"/>
      <c r="DT10" s="898"/>
      <c r="DU10" s="898"/>
      <c r="DV10" s="898"/>
      <c r="DW10" s="898"/>
      <c r="DX10" s="898"/>
      <c r="DY10" s="898"/>
      <c r="DZ10" s="898"/>
      <c r="EA10" s="898"/>
      <c r="EB10" s="898"/>
      <c r="EC10" s="898"/>
      <c r="ED10" s="898"/>
      <c r="EE10" s="898"/>
      <c r="EF10" s="898"/>
      <c r="EG10" s="898"/>
      <c r="EH10" s="898"/>
      <c r="EI10" s="898"/>
      <c r="EJ10" s="898"/>
      <c r="EK10" s="898"/>
      <c r="EL10" s="898"/>
      <c r="EM10" s="898"/>
      <c r="EN10" s="898"/>
      <c r="EO10" s="898"/>
      <c r="EP10" s="898"/>
      <c r="EQ10" s="898"/>
      <c r="ER10" s="898"/>
      <c r="ES10" s="898"/>
      <c r="ET10" s="898"/>
      <c r="EU10" s="898"/>
      <c r="EV10" s="898"/>
      <c r="EW10" s="898"/>
      <c r="EX10" s="898"/>
      <c r="EY10" s="898"/>
      <c r="EZ10" s="898"/>
      <c r="FA10" s="898"/>
      <c r="FB10" s="898"/>
      <c r="FC10" s="898"/>
      <c r="FD10" s="898"/>
      <c r="FE10" s="898"/>
      <c r="FF10" s="898"/>
      <c r="FG10" s="898"/>
      <c r="FH10" s="898"/>
      <c r="FI10" s="898"/>
      <c r="FJ10" s="898"/>
      <c r="FK10" s="898"/>
      <c r="FL10" s="898"/>
      <c r="FM10" s="898"/>
      <c r="FN10" s="898"/>
      <c r="FO10" s="898"/>
      <c r="FP10" s="898"/>
      <c r="FQ10" s="898"/>
      <c r="FR10" s="898"/>
      <c r="FS10" s="898"/>
      <c r="FT10" s="898"/>
      <c r="FU10" s="898"/>
      <c r="FV10" s="898"/>
      <c r="FW10" s="898"/>
      <c r="FX10" s="898"/>
      <c r="FY10" s="898"/>
      <c r="FZ10" s="898"/>
      <c r="GA10" s="898"/>
      <c r="GB10" s="898"/>
      <c r="GC10" s="898"/>
      <c r="GD10" s="898"/>
      <c r="GE10" s="898"/>
      <c r="GF10" s="898"/>
      <c r="GG10" s="898"/>
      <c r="GH10" s="898"/>
      <c r="GI10" s="898"/>
      <c r="GJ10" s="898"/>
      <c r="GK10" s="898"/>
      <c r="GL10" s="898"/>
      <c r="GM10" s="898"/>
      <c r="GN10" s="898"/>
      <c r="GO10" s="898"/>
      <c r="GP10" s="898"/>
      <c r="GQ10" s="898"/>
      <c r="GR10" s="898"/>
      <c r="GS10" s="898"/>
      <c r="GT10" s="898"/>
      <c r="GU10" s="898"/>
      <c r="GV10" s="898"/>
      <c r="GW10" s="898"/>
      <c r="GX10" s="898"/>
      <c r="GY10" s="898"/>
      <c r="GZ10" s="898"/>
      <c r="HA10" s="898"/>
      <c r="HB10" s="898"/>
      <c r="HC10" s="898"/>
      <c r="HD10" s="898"/>
      <c r="HE10" s="898"/>
      <c r="HF10" s="898"/>
      <c r="HG10" s="898"/>
      <c r="HH10" s="898"/>
      <c r="HI10" s="898"/>
      <c r="HJ10" s="898"/>
      <c r="HK10" s="898"/>
      <c r="HL10" s="898"/>
      <c r="HM10" s="898"/>
      <c r="HN10" s="898"/>
      <c r="HO10" s="898"/>
      <c r="HP10" s="898"/>
      <c r="HQ10" s="898"/>
      <c r="HR10" s="898"/>
      <c r="HS10" s="898"/>
      <c r="HT10" s="898"/>
      <c r="HU10" s="898"/>
      <c r="HV10" s="898"/>
      <c r="HW10" s="898"/>
      <c r="HX10" s="898"/>
      <c r="HY10" s="898"/>
      <c r="HZ10" s="898"/>
      <c r="IA10" s="898"/>
      <c r="IB10" s="898"/>
      <c r="IC10" s="898"/>
      <c r="ID10" s="898"/>
      <c r="IE10" s="898"/>
      <c r="IF10" s="898"/>
      <c r="IG10" s="898"/>
      <c r="IH10" s="898"/>
      <c r="II10" s="898"/>
      <c r="IJ10" s="898"/>
      <c r="IK10" s="898"/>
      <c r="IL10" s="898"/>
      <c r="IM10" s="898"/>
      <c r="IN10" s="898"/>
      <c r="IO10" s="898"/>
      <c r="IP10" s="898"/>
      <c r="IQ10" s="898"/>
      <c r="IR10" s="898"/>
      <c r="IS10" s="898"/>
    </row>
    <row r="11" spans="1:253" x14ac:dyDescent="0.2">
      <c r="A11" s="895"/>
      <c r="B11" s="899" t="s">
        <v>513</v>
      </c>
      <c r="C11" s="900" t="s">
        <v>956</v>
      </c>
      <c r="D11" s="891"/>
      <c r="E11" s="891">
        <v>1424631</v>
      </c>
      <c r="F11" s="891">
        <f>1428133-30695-10000</f>
        <v>1387438</v>
      </c>
      <c r="G11" s="892"/>
      <c r="H11" s="892"/>
      <c r="J11" s="893"/>
      <c r="L11" s="893"/>
      <c r="M11" s="894"/>
      <c r="N11" s="898"/>
      <c r="O11" s="898"/>
      <c r="P11" s="898"/>
      <c r="Q11" s="898"/>
      <c r="R11" s="898"/>
      <c r="S11" s="898"/>
      <c r="T11" s="898"/>
      <c r="U11" s="898"/>
      <c r="V11" s="898"/>
      <c r="W11" s="898"/>
      <c r="X11" s="898"/>
      <c r="Y11" s="898"/>
      <c r="Z11" s="898"/>
      <c r="AA11" s="898"/>
      <c r="AB11" s="898"/>
      <c r="AC11" s="898"/>
      <c r="AD11" s="898"/>
      <c r="AE11" s="898"/>
      <c r="AF11" s="898"/>
      <c r="AG11" s="898"/>
      <c r="AH11" s="898"/>
      <c r="AI11" s="898"/>
      <c r="AJ11" s="898"/>
      <c r="AK11" s="898"/>
      <c r="AL11" s="898"/>
      <c r="AM11" s="898"/>
      <c r="AN11" s="898"/>
      <c r="AO11" s="898"/>
      <c r="AP11" s="898"/>
      <c r="AQ11" s="898"/>
      <c r="AR11" s="898"/>
      <c r="AS11" s="898"/>
      <c r="AT11" s="898"/>
      <c r="AU11" s="898"/>
      <c r="AV11" s="898"/>
      <c r="AW11" s="898"/>
      <c r="AX11" s="898"/>
      <c r="AY11" s="898"/>
      <c r="AZ11" s="898"/>
      <c r="BA11" s="898"/>
      <c r="BB11" s="898"/>
      <c r="BC11" s="898"/>
      <c r="BD11" s="898"/>
      <c r="BE11" s="898"/>
      <c r="BF11" s="898"/>
      <c r="BG11" s="898"/>
      <c r="BH11" s="898"/>
      <c r="BI11" s="898"/>
      <c r="BJ11" s="898"/>
      <c r="BK11" s="898"/>
      <c r="BL11" s="898"/>
      <c r="BM11" s="898"/>
      <c r="BN11" s="898"/>
      <c r="BO11" s="898"/>
      <c r="BP11" s="898"/>
      <c r="BQ11" s="898"/>
      <c r="BR11" s="898"/>
      <c r="BS11" s="898"/>
      <c r="BT11" s="898"/>
      <c r="BU11" s="898"/>
      <c r="BV11" s="898"/>
      <c r="BW11" s="898"/>
      <c r="BX11" s="898"/>
      <c r="BY11" s="898"/>
      <c r="BZ11" s="898"/>
      <c r="CA11" s="898"/>
      <c r="CB11" s="898"/>
      <c r="CC11" s="898"/>
      <c r="CD11" s="898"/>
      <c r="CE11" s="898"/>
      <c r="CF11" s="898"/>
      <c r="CG11" s="898"/>
      <c r="CH11" s="898"/>
      <c r="CI11" s="898"/>
      <c r="CJ11" s="898"/>
      <c r="CK11" s="898"/>
      <c r="CL11" s="898"/>
      <c r="CM11" s="898"/>
      <c r="CN11" s="898"/>
      <c r="CO11" s="898"/>
      <c r="CP11" s="898"/>
      <c r="CQ11" s="898"/>
      <c r="CR11" s="898"/>
      <c r="CS11" s="898"/>
      <c r="CT11" s="898"/>
      <c r="CU11" s="898"/>
      <c r="CV11" s="898"/>
      <c r="CW11" s="898"/>
      <c r="CX11" s="898"/>
      <c r="CY11" s="898"/>
      <c r="CZ11" s="898"/>
      <c r="DA11" s="898"/>
      <c r="DB11" s="898"/>
      <c r="DC11" s="898"/>
      <c r="DD11" s="898"/>
      <c r="DE11" s="898"/>
      <c r="DF11" s="898"/>
      <c r="DG11" s="898"/>
      <c r="DH11" s="898"/>
      <c r="DI11" s="898"/>
      <c r="DJ11" s="898"/>
      <c r="DK11" s="898"/>
      <c r="DL11" s="898"/>
      <c r="DM11" s="898"/>
      <c r="DN11" s="898"/>
      <c r="DO11" s="898"/>
      <c r="DP11" s="898"/>
      <c r="DQ11" s="898"/>
      <c r="DR11" s="898"/>
      <c r="DS11" s="898"/>
      <c r="DT11" s="898"/>
      <c r="DU11" s="898"/>
      <c r="DV11" s="898"/>
      <c r="DW11" s="898"/>
      <c r="DX11" s="898"/>
      <c r="DY11" s="898"/>
      <c r="DZ11" s="898"/>
      <c r="EA11" s="898"/>
      <c r="EB11" s="898"/>
      <c r="EC11" s="898"/>
      <c r="ED11" s="898"/>
      <c r="EE11" s="898"/>
      <c r="EF11" s="898"/>
      <c r="EG11" s="898"/>
      <c r="EH11" s="898"/>
      <c r="EI11" s="898"/>
      <c r="EJ11" s="898"/>
      <c r="EK11" s="898"/>
      <c r="EL11" s="898"/>
      <c r="EM11" s="898"/>
      <c r="EN11" s="898"/>
      <c r="EO11" s="898"/>
      <c r="EP11" s="898"/>
      <c r="EQ11" s="898"/>
      <c r="ER11" s="898"/>
      <c r="ES11" s="898"/>
      <c r="ET11" s="898"/>
      <c r="EU11" s="898"/>
      <c r="EV11" s="898"/>
      <c r="EW11" s="898"/>
      <c r="EX11" s="898"/>
      <c r="EY11" s="898"/>
      <c r="EZ11" s="898"/>
      <c r="FA11" s="898"/>
      <c r="FB11" s="898"/>
      <c r="FC11" s="898"/>
      <c r="FD11" s="898"/>
      <c r="FE11" s="898"/>
      <c r="FF11" s="898"/>
      <c r="FG11" s="898"/>
      <c r="FH11" s="898"/>
      <c r="FI11" s="898"/>
      <c r="FJ11" s="898"/>
      <c r="FK11" s="898"/>
      <c r="FL11" s="898"/>
      <c r="FM11" s="898"/>
      <c r="FN11" s="898"/>
      <c r="FO11" s="898"/>
      <c r="FP11" s="898"/>
      <c r="FQ11" s="898"/>
      <c r="FR11" s="898"/>
      <c r="FS11" s="898"/>
      <c r="FT11" s="898"/>
      <c r="FU11" s="898"/>
      <c r="FV11" s="898"/>
      <c r="FW11" s="898"/>
      <c r="FX11" s="898"/>
      <c r="FY11" s="898"/>
      <c r="FZ11" s="898"/>
      <c r="GA11" s="898"/>
      <c r="GB11" s="898"/>
      <c r="GC11" s="898"/>
      <c r="GD11" s="898"/>
      <c r="GE11" s="898"/>
      <c r="GF11" s="898"/>
      <c r="GG11" s="898"/>
      <c r="GH11" s="898"/>
      <c r="GI11" s="898"/>
      <c r="GJ11" s="898"/>
      <c r="GK11" s="898"/>
      <c r="GL11" s="898"/>
      <c r="GM11" s="898"/>
      <c r="GN11" s="898"/>
      <c r="GO11" s="898"/>
      <c r="GP11" s="898"/>
      <c r="GQ11" s="898"/>
      <c r="GR11" s="898"/>
      <c r="GS11" s="898"/>
      <c r="GT11" s="898"/>
      <c r="GU11" s="898"/>
      <c r="GV11" s="898"/>
      <c r="GW11" s="898"/>
      <c r="GX11" s="898"/>
      <c r="GY11" s="898"/>
      <c r="GZ11" s="898"/>
      <c r="HA11" s="898"/>
      <c r="HB11" s="898"/>
      <c r="HC11" s="898"/>
      <c r="HD11" s="898"/>
      <c r="HE11" s="898"/>
      <c r="HF11" s="898"/>
      <c r="HG11" s="898"/>
      <c r="HH11" s="898"/>
      <c r="HI11" s="898"/>
      <c r="HJ11" s="898"/>
      <c r="HK11" s="898"/>
      <c r="HL11" s="898"/>
      <c r="HM11" s="898"/>
      <c r="HN11" s="898"/>
      <c r="HO11" s="898"/>
      <c r="HP11" s="898"/>
      <c r="HQ11" s="898"/>
      <c r="HR11" s="898"/>
      <c r="HS11" s="898"/>
      <c r="HT11" s="898"/>
      <c r="HU11" s="898"/>
      <c r="HV11" s="898"/>
      <c r="HW11" s="898"/>
      <c r="HX11" s="898"/>
      <c r="HY11" s="898"/>
      <c r="HZ11" s="898"/>
      <c r="IA11" s="898"/>
      <c r="IB11" s="898"/>
      <c r="IC11" s="898"/>
      <c r="ID11" s="898"/>
      <c r="IE11" s="898"/>
      <c r="IF11" s="898"/>
      <c r="IG11" s="898"/>
      <c r="IH11" s="898"/>
      <c r="II11" s="898"/>
      <c r="IJ11" s="898"/>
      <c r="IK11" s="898"/>
      <c r="IL11" s="898"/>
      <c r="IM11" s="898"/>
      <c r="IN11" s="898"/>
      <c r="IO11" s="898"/>
      <c r="IP11" s="898"/>
      <c r="IQ11" s="898"/>
      <c r="IR11" s="898"/>
      <c r="IS11" s="898"/>
    </row>
    <row r="12" spans="1:253" x14ac:dyDescent="0.2">
      <c r="A12" s="895"/>
      <c r="B12" s="1655" t="s">
        <v>630</v>
      </c>
      <c r="C12" s="1655"/>
      <c r="D12" s="896">
        <f>SUM(D9:D10)</f>
        <v>24215000</v>
      </c>
      <c r="E12" s="896">
        <f>SUM(E9:E11)</f>
        <v>19491563</v>
      </c>
      <c r="F12" s="896">
        <f>SUM(F9:F11)</f>
        <v>19454370</v>
      </c>
      <c r="G12" s="897"/>
      <c r="H12" s="897">
        <f>SUM(D49)</f>
        <v>4517999.870000001</v>
      </c>
      <c r="I12" s="876" t="s">
        <v>625</v>
      </c>
      <c r="J12" s="893">
        <f t="shared" ref="J12:J42" si="1">SUM(D12*0.34)</f>
        <v>8233100.0000000009</v>
      </c>
      <c r="K12" s="876" t="s">
        <v>626</v>
      </c>
      <c r="L12" s="893">
        <f t="shared" ref="L12:L42" si="2">SUM(D12*0.66)</f>
        <v>15981900</v>
      </c>
      <c r="M12" s="894">
        <f t="shared" si="0"/>
        <v>24215000</v>
      </c>
      <c r="N12" s="898"/>
      <c r="O12" s="898"/>
      <c r="P12" s="898"/>
      <c r="Q12" s="898"/>
      <c r="R12" s="898"/>
      <c r="S12" s="898"/>
      <c r="T12" s="898"/>
      <c r="U12" s="898"/>
      <c r="V12" s="898"/>
      <c r="W12" s="898"/>
      <c r="X12" s="898"/>
      <c r="Y12" s="898"/>
      <c r="Z12" s="898"/>
      <c r="AA12" s="898"/>
      <c r="AB12" s="898"/>
      <c r="AC12" s="898"/>
      <c r="AD12" s="898"/>
      <c r="AE12" s="898"/>
      <c r="AF12" s="898"/>
      <c r="AG12" s="898"/>
      <c r="AH12" s="898"/>
      <c r="AI12" s="898"/>
      <c r="AJ12" s="898"/>
      <c r="AK12" s="898"/>
      <c r="AL12" s="898"/>
      <c r="AM12" s="898"/>
      <c r="AN12" s="898"/>
      <c r="AO12" s="898"/>
      <c r="AP12" s="898"/>
      <c r="AQ12" s="898"/>
      <c r="AR12" s="898"/>
      <c r="AS12" s="898"/>
      <c r="AT12" s="898"/>
      <c r="AU12" s="898"/>
      <c r="AV12" s="898"/>
      <c r="AW12" s="898"/>
      <c r="AX12" s="898"/>
      <c r="AY12" s="898"/>
      <c r="AZ12" s="898"/>
      <c r="BA12" s="898"/>
      <c r="BB12" s="898"/>
      <c r="BC12" s="898"/>
      <c r="BD12" s="898"/>
      <c r="BE12" s="898"/>
      <c r="BF12" s="898"/>
      <c r="BG12" s="898"/>
      <c r="BH12" s="898"/>
      <c r="BI12" s="898"/>
      <c r="BJ12" s="898"/>
      <c r="BK12" s="898"/>
      <c r="BL12" s="898"/>
      <c r="BM12" s="898"/>
      <c r="BN12" s="898"/>
      <c r="BO12" s="898"/>
      <c r="BP12" s="898"/>
      <c r="BQ12" s="898"/>
      <c r="BR12" s="898"/>
      <c r="BS12" s="898"/>
      <c r="BT12" s="898"/>
      <c r="BU12" s="898"/>
      <c r="BV12" s="898"/>
      <c r="BW12" s="898"/>
      <c r="BX12" s="898"/>
      <c r="BY12" s="898"/>
      <c r="BZ12" s="898"/>
      <c r="CA12" s="898"/>
      <c r="CB12" s="898"/>
      <c r="CC12" s="898"/>
      <c r="CD12" s="898"/>
      <c r="CE12" s="898"/>
      <c r="CF12" s="898"/>
      <c r="CG12" s="898"/>
      <c r="CH12" s="898"/>
      <c r="CI12" s="898"/>
      <c r="CJ12" s="898"/>
      <c r="CK12" s="898"/>
      <c r="CL12" s="898"/>
      <c r="CM12" s="898"/>
      <c r="CN12" s="898"/>
      <c r="CO12" s="898"/>
      <c r="CP12" s="898"/>
      <c r="CQ12" s="898"/>
      <c r="CR12" s="898"/>
      <c r="CS12" s="898"/>
      <c r="CT12" s="898"/>
      <c r="CU12" s="898"/>
      <c r="CV12" s="898"/>
      <c r="CW12" s="898"/>
      <c r="CX12" s="898"/>
      <c r="CY12" s="898"/>
      <c r="CZ12" s="898"/>
      <c r="DA12" s="898"/>
      <c r="DB12" s="898"/>
      <c r="DC12" s="898"/>
      <c r="DD12" s="898"/>
      <c r="DE12" s="898"/>
      <c r="DF12" s="898"/>
      <c r="DG12" s="898"/>
      <c r="DH12" s="898"/>
      <c r="DI12" s="898"/>
      <c r="DJ12" s="898"/>
      <c r="DK12" s="898"/>
      <c r="DL12" s="898"/>
      <c r="DM12" s="898"/>
      <c r="DN12" s="898"/>
      <c r="DO12" s="898"/>
      <c r="DP12" s="898"/>
      <c r="DQ12" s="898"/>
      <c r="DR12" s="898"/>
      <c r="DS12" s="898"/>
      <c r="DT12" s="898"/>
      <c r="DU12" s="898"/>
      <c r="DV12" s="898"/>
      <c r="DW12" s="898"/>
      <c r="DX12" s="898"/>
      <c r="DY12" s="898"/>
      <c r="DZ12" s="898"/>
      <c r="EA12" s="898"/>
      <c r="EB12" s="898"/>
      <c r="EC12" s="898"/>
      <c r="ED12" s="898"/>
      <c r="EE12" s="898"/>
      <c r="EF12" s="898"/>
      <c r="EG12" s="898"/>
      <c r="EH12" s="898"/>
      <c r="EI12" s="898"/>
      <c r="EJ12" s="898"/>
      <c r="EK12" s="898"/>
      <c r="EL12" s="898"/>
      <c r="EM12" s="898"/>
      <c r="EN12" s="898"/>
      <c r="EO12" s="898"/>
      <c r="EP12" s="898"/>
      <c r="EQ12" s="898"/>
      <c r="ER12" s="898"/>
      <c r="ES12" s="898"/>
      <c r="ET12" s="898"/>
      <c r="EU12" s="898"/>
      <c r="EV12" s="898"/>
      <c r="EW12" s="898"/>
      <c r="EX12" s="898"/>
      <c r="EY12" s="898"/>
      <c r="EZ12" s="898"/>
      <c r="FA12" s="898"/>
      <c r="FB12" s="898"/>
      <c r="FC12" s="898"/>
      <c r="FD12" s="898"/>
      <c r="FE12" s="898"/>
      <c r="FF12" s="898"/>
      <c r="FG12" s="898"/>
      <c r="FH12" s="898"/>
      <c r="FI12" s="898"/>
      <c r="FJ12" s="898"/>
      <c r="FK12" s="898"/>
      <c r="FL12" s="898"/>
      <c r="FM12" s="898"/>
      <c r="FN12" s="898"/>
      <c r="FO12" s="898"/>
      <c r="FP12" s="898"/>
      <c r="FQ12" s="898"/>
      <c r="FR12" s="898"/>
      <c r="FS12" s="898"/>
      <c r="FT12" s="898"/>
      <c r="FU12" s="898"/>
      <c r="FV12" s="898"/>
      <c r="FW12" s="898"/>
      <c r="FX12" s="898"/>
      <c r="FY12" s="898"/>
      <c r="FZ12" s="898"/>
      <c r="GA12" s="898"/>
      <c r="GB12" s="898"/>
      <c r="GC12" s="898"/>
      <c r="GD12" s="898"/>
      <c r="GE12" s="898"/>
      <c r="GF12" s="898"/>
      <c r="GG12" s="898"/>
      <c r="GH12" s="898"/>
      <c r="GI12" s="898"/>
      <c r="GJ12" s="898"/>
      <c r="GK12" s="898"/>
      <c r="GL12" s="898"/>
      <c r="GM12" s="898"/>
      <c r="GN12" s="898"/>
      <c r="GO12" s="898"/>
      <c r="GP12" s="898"/>
      <c r="GQ12" s="898"/>
      <c r="GR12" s="898"/>
      <c r="GS12" s="898"/>
      <c r="GT12" s="898"/>
      <c r="GU12" s="898"/>
      <c r="GV12" s="898"/>
      <c r="GW12" s="898"/>
      <c r="GX12" s="898"/>
      <c r="GY12" s="898"/>
      <c r="GZ12" s="898"/>
      <c r="HA12" s="898"/>
      <c r="HB12" s="898"/>
      <c r="HC12" s="898"/>
      <c r="HD12" s="898"/>
      <c r="HE12" s="898"/>
      <c r="HF12" s="898"/>
      <c r="HG12" s="898"/>
      <c r="HH12" s="898"/>
      <c r="HI12" s="898"/>
      <c r="HJ12" s="898"/>
      <c r="HK12" s="898"/>
      <c r="HL12" s="898"/>
      <c r="HM12" s="898"/>
      <c r="HN12" s="898"/>
      <c r="HO12" s="898"/>
      <c r="HP12" s="898"/>
      <c r="HQ12" s="898"/>
      <c r="HR12" s="898"/>
      <c r="HS12" s="898"/>
      <c r="HT12" s="898"/>
      <c r="HU12" s="898"/>
      <c r="HV12" s="898"/>
      <c r="HW12" s="898"/>
      <c r="HX12" s="898"/>
      <c r="HY12" s="898"/>
      <c r="HZ12" s="898"/>
      <c r="IA12" s="898"/>
      <c r="IB12" s="898"/>
      <c r="IC12" s="898"/>
      <c r="ID12" s="898"/>
      <c r="IE12" s="898"/>
      <c r="IF12" s="898"/>
      <c r="IG12" s="898"/>
      <c r="IH12" s="898"/>
      <c r="II12" s="898"/>
      <c r="IJ12" s="898"/>
      <c r="IK12" s="898"/>
      <c r="IL12" s="898"/>
      <c r="IM12" s="898"/>
      <c r="IN12" s="898"/>
      <c r="IO12" s="898"/>
      <c r="IP12" s="898"/>
      <c r="IQ12" s="898"/>
      <c r="IR12" s="898"/>
      <c r="IS12" s="898"/>
    </row>
    <row r="13" spans="1:253" ht="20.25" x14ac:dyDescent="0.3">
      <c r="A13" s="888"/>
      <c r="B13" s="1652" t="s">
        <v>74</v>
      </c>
      <c r="C13" s="1653"/>
      <c r="D13" s="901">
        <f>D8+D12</f>
        <v>29168000</v>
      </c>
      <c r="E13" s="901">
        <f>E8+E12</f>
        <v>24190903.170000002</v>
      </c>
      <c r="F13" s="901">
        <f>F8+F12</f>
        <v>23691375.370000001</v>
      </c>
      <c r="G13" s="902"/>
      <c r="H13" s="902">
        <f>SUM(H10:H12)</f>
        <v>28732999.870000001</v>
      </c>
      <c r="I13" s="903" t="s">
        <v>625</v>
      </c>
      <c r="J13" s="893">
        <f t="shared" si="1"/>
        <v>9917120</v>
      </c>
      <c r="K13" s="903" t="s">
        <v>626</v>
      </c>
      <c r="L13" s="893">
        <f t="shared" si="2"/>
        <v>19250880</v>
      </c>
      <c r="M13" s="894">
        <f t="shared" si="0"/>
        <v>29168000</v>
      </c>
    </row>
    <row r="14" spans="1:253" x14ac:dyDescent="0.2">
      <c r="A14" s="888"/>
      <c r="B14" s="889" t="s">
        <v>574</v>
      </c>
      <c r="C14" s="890" t="s">
        <v>521</v>
      </c>
      <c r="D14" s="891">
        <f>(12132000)*0.68+700000+240</f>
        <v>8950000</v>
      </c>
      <c r="E14" s="891">
        <v>8092500</v>
      </c>
      <c r="F14" s="891">
        <v>8021046</v>
      </c>
      <c r="G14" s="892"/>
      <c r="H14" s="892"/>
      <c r="I14" s="876" t="s">
        <v>625</v>
      </c>
      <c r="J14" s="893">
        <f t="shared" si="1"/>
        <v>3043000</v>
      </c>
      <c r="K14" s="876" t="s">
        <v>626</v>
      </c>
      <c r="L14" s="893">
        <f t="shared" si="2"/>
        <v>5907000</v>
      </c>
      <c r="M14" s="894">
        <f t="shared" si="0"/>
        <v>8950000</v>
      </c>
    </row>
    <row r="15" spans="1:253" x14ac:dyDescent="0.2">
      <c r="A15" s="888"/>
      <c r="B15" s="889">
        <v>511031</v>
      </c>
      <c r="C15" s="890" t="s">
        <v>522</v>
      </c>
      <c r="D15" s="891">
        <v>0</v>
      </c>
      <c r="E15" s="891">
        <v>133000</v>
      </c>
      <c r="F15" s="891">
        <v>133000</v>
      </c>
      <c r="G15" s="892"/>
      <c r="H15" s="892"/>
      <c r="J15" s="893"/>
      <c r="L15" s="893"/>
      <c r="M15" s="894"/>
    </row>
    <row r="16" spans="1:253" x14ac:dyDescent="0.2">
      <c r="A16" s="888"/>
      <c r="B16" s="904" t="s">
        <v>631</v>
      </c>
      <c r="C16" s="890" t="s">
        <v>632</v>
      </c>
      <c r="D16" s="891">
        <f>250000*0.68+37500+500</f>
        <v>208000</v>
      </c>
      <c r="E16" s="891">
        <v>195000</v>
      </c>
      <c r="F16" s="891">
        <v>192782</v>
      </c>
      <c r="G16" s="892"/>
      <c r="H16" s="892"/>
      <c r="I16" s="876" t="s">
        <v>625</v>
      </c>
      <c r="J16" s="893">
        <f t="shared" si="1"/>
        <v>70720</v>
      </c>
      <c r="K16" s="876" t="s">
        <v>626</v>
      </c>
      <c r="L16" s="893">
        <f t="shared" si="2"/>
        <v>137280</v>
      </c>
      <c r="M16" s="894">
        <f t="shared" si="0"/>
        <v>208000</v>
      </c>
    </row>
    <row r="17" spans="1:253" x14ac:dyDescent="0.2">
      <c r="A17" s="888"/>
      <c r="B17" s="889" t="s">
        <v>576</v>
      </c>
      <c r="C17" s="890" t="s">
        <v>85</v>
      </c>
      <c r="D17" s="891">
        <f>585501*0.68+859</f>
        <v>398999.68000000005</v>
      </c>
      <c r="E17" s="891">
        <v>152700</v>
      </c>
      <c r="F17" s="891">
        <v>152633</v>
      </c>
      <c r="G17" s="892"/>
      <c r="H17" s="892"/>
      <c r="I17" s="876" t="s">
        <v>625</v>
      </c>
      <c r="J17" s="893">
        <f t="shared" si="1"/>
        <v>135659.89120000001</v>
      </c>
      <c r="K17" s="876" t="s">
        <v>626</v>
      </c>
      <c r="L17" s="893">
        <f t="shared" si="2"/>
        <v>263339.78880000004</v>
      </c>
      <c r="M17" s="894">
        <f t="shared" si="0"/>
        <v>398999.68000000005</v>
      </c>
    </row>
    <row r="18" spans="1:253" x14ac:dyDescent="0.2">
      <c r="A18" s="888"/>
      <c r="B18" s="889" t="s">
        <v>530</v>
      </c>
      <c r="C18" s="890" t="s">
        <v>86</v>
      </c>
      <c r="D18" s="891">
        <f>123000+0.68-1</f>
        <v>122999.67999999999</v>
      </c>
      <c r="E18" s="891">
        <f>123000+0.68-1</f>
        <v>122999.67999999999</v>
      </c>
      <c r="F18" s="891">
        <v>82290</v>
      </c>
      <c r="G18" s="892"/>
      <c r="H18" s="892"/>
      <c r="I18" s="876" t="s">
        <v>625</v>
      </c>
      <c r="J18" s="893">
        <f t="shared" si="1"/>
        <v>41819.891199999998</v>
      </c>
      <c r="K18" s="876" t="s">
        <v>626</v>
      </c>
      <c r="L18" s="893">
        <f t="shared" si="2"/>
        <v>81179.788799999995</v>
      </c>
      <c r="M18" s="894">
        <f t="shared" si="0"/>
        <v>122999.67999999999</v>
      </c>
    </row>
    <row r="19" spans="1:253" x14ac:dyDescent="0.2">
      <c r="A19" s="888"/>
      <c r="B19" s="889" t="s">
        <v>577</v>
      </c>
      <c r="C19" s="890" t="s">
        <v>79</v>
      </c>
      <c r="D19" s="891">
        <f>72000*0.68+200+3000+840</f>
        <v>53000</v>
      </c>
      <c r="E19" s="891">
        <f>72000*0.68+200+3000+840</f>
        <v>53000</v>
      </c>
      <c r="F19" s="891">
        <v>40199</v>
      </c>
      <c r="G19" s="892"/>
      <c r="H19" s="892"/>
      <c r="I19" s="876" t="s">
        <v>625</v>
      </c>
      <c r="J19" s="893">
        <f t="shared" si="1"/>
        <v>18020</v>
      </c>
      <c r="K19" s="876" t="s">
        <v>626</v>
      </c>
      <c r="L19" s="893">
        <f t="shared" si="2"/>
        <v>34980</v>
      </c>
      <c r="M19" s="894">
        <f t="shared" si="0"/>
        <v>53000</v>
      </c>
    </row>
    <row r="20" spans="1:253" x14ac:dyDescent="0.2">
      <c r="A20" s="895"/>
      <c r="B20" s="1654" t="s">
        <v>166</v>
      </c>
      <c r="C20" s="1654"/>
      <c r="D20" s="896">
        <f>SUM(D14:D19)+1</f>
        <v>9733000.3599999994</v>
      </c>
      <c r="E20" s="896">
        <f>SUM(E14:E19)</f>
        <v>8749199.6799999997</v>
      </c>
      <c r="F20" s="896">
        <f>SUM(F14:F19)</f>
        <v>8621950</v>
      </c>
      <c r="G20" s="897"/>
      <c r="H20" s="897"/>
      <c r="I20" s="876" t="s">
        <v>625</v>
      </c>
      <c r="J20" s="893">
        <f t="shared" si="1"/>
        <v>3309220.1224000002</v>
      </c>
      <c r="K20" s="876" t="s">
        <v>626</v>
      </c>
      <c r="L20" s="893">
        <f t="shared" si="2"/>
        <v>6423780.2375999996</v>
      </c>
      <c r="M20" s="894">
        <f t="shared" si="0"/>
        <v>9733000.3599999994</v>
      </c>
      <c r="N20" s="898"/>
      <c r="O20" s="898"/>
      <c r="P20" s="898"/>
      <c r="Q20" s="898"/>
      <c r="R20" s="898"/>
      <c r="S20" s="898"/>
      <c r="T20" s="898"/>
      <c r="U20" s="898"/>
      <c r="V20" s="898"/>
      <c r="W20" s="898"/>
      <c r="X20" s="898"/>
      <c r="Y20" s="898"/>
      <c r="Z20" s="898"/>
      <c r="AA20" s="898"/>
      <c r="AB20" s="898"/>
      <c r="AC20" s="898"/>
      <c r="AD20" s="898"/>
      <c r="AE20" s="898"/>
      <c r="AF20" s="898"/>
      <c r="AG20" s="898"/>
      <c r="AH20" s="898"/>
      <c r="AI20" s="898"/>
      <c r="AJ20" s="898"/>
      <c r="AK20" s="898"/>
      <c r="AL20" s="898"/>
      <c r="AM20" s="898"/>
      <c r="AN20" s="898"/>
      <c r="AO20" s="898"/>
      <c r="AP20" s="898"/>
      <c r="AQ20" s="898"/>
      <c r="AR20" s="898"/>
      <c r="AS20" s="898"/>
      <c r="AT20" s="898"/>
      <c r="AU20" s="898"/>
      <c r="AV20" s="898"/>
      <c r="AW20" s="898"/>
      <c r="AX20" s="898"/>
      <c r="AY20" s="898"/>
      <c r="AZ20" s="898"/>
      <c r="BA20" s="898"/>
      <c r="BB20" s="898"/>
      <c r="BC20" s="898"/>
      <c r="BD20" s="898"/>
      <c r="BE20" s="898"/>
      <c r="BF20" s="898"/>
      <c r="BG20" s="898"/>
      <c r="BH20" s="898"/>
      <c r="BI20" s="898"/>
      <c r="BJ20" s="898"/>
      <c r="BK20" s="898"/>
      <c r="BL20" s="898"/>
      <c r="BM20" s="898"/>
      <c r="BN20" s="898"/>
      <c r="BO20" s="898"/>
      <c r="BP20" s="898"/>
      <c r="BQ20" s="898"/>
      <c r="BR20" s="898"/>
      <c r="BS20" s="898"/>
      <c r="BT20" s="898"/>
      <c r="BU20" s="898"/>
      <c r="BV20" s="898"/>
      <c r="BW20" s="898"/>
      <c r="BX20" s="898"/>
      <c r="BY20" s="898"/>
      <c r="BZ20" s="898"/>
      <c r="CA20" s="898"/>
      <c r="CB20" s="898"/>
      <c r="CC20" s="898"/>
      <c r="CD20" s="898"/>
      <c r="CE20" s="898"/>
      <c r="CF20" s="898"/>
      <c r="CG20" s="898"/>
      <c r="CH20" s="898"/>
      <c r="CI20" s="898"/>
      <c r="CJ20" s="898"/>
      <c r="CK20" s="898"/>
      <c r="CL20" s="898"/>
      <c r="CM20" s="898"/>
      <c r="CN20" s="898"/>
      <c r="CO20" s="898"/>
      <c r="CP20" s="898"/>
      <c r="CQ20" s="898"/>
      <c r="CR20" s="898"/>
      <c r="CS20" s="898"/>
      <c r="CT20" s="898"/>
      <c r="CU20" s="898"/>
      <c r="CV20" s="898"/>
      <c r="CW20" s="898"/>
      <c r="CX20" s="898"/>
      <c r="CY20" s="898"/>
      <c r="CZ20" s="898"/>
      <c r="DA20" s="898"/>
      <c r="DB20" s="898"/>
      <c r="DC20" s="898"/>
      <c r="DD20" s="898"/>
      <c r="DE20" s="898"/>
      <c r="DF20" s="898"/>
      <c r="DG20" s="898"/>
      <c r="DH20" s="898"/>
      <c r="DI20" s="898"/>
      <c r="DJ20" s="898"/>
      <c r="DK20" s="898"/>
      <c r="DL20" s="898"/>
      <c r="DM20" s="898"/>
      <c r="DN20" s="898"/>
      <c r="DO20" s="898"/>
      <c r="DP20" s="898"/>
      <c r="DQ20" s="898"/>
      <c r="DR20" s="898"/>
      <c r="DS20" s="898"/>
      <c r="DT20" s="898"/>
      <c r="DU20" s="898"/>
      <c r="DV20" s="898"/>
      <c r="DW20" s="898"/>
      <c r="DX20" s="898"/>
      <c r="DY20" s="898"/>
      <c r="DZ20" s="898"/>
      <c r="EA20" s="898"/>
      <c r="EB20" s="898"/>
      <c r="EC20" s="898"/>
      <c r="ED20" s="898"/>
      <c r="EE20" s="898"/>
      <c r="EF20" s="898"/>
      <c r="EG20" s="898"/>
      <c r="EH20" s="898"/>
      <c r="EI20" s="898"/>
      <c r="EJ20" s="898"/>
      <c r="EK20" s="898"/>
      <c r="EL20" s="898"/>
      <c r="EM20" s="898"/>
      <c r="EN20" s="898"/>
      <c r="EO20" s="898"/>
      <c r="EP20" s="898"/>
      <c r="EQ20" s="898"/>
      <c r="ER20" s="898"/>
      <c r="ES20" s="898"/>
      <c r="ET20" s="898"/>
      <c r="EU20" s="898"/>
      <c r="EV20" s="898"/>
      <c r="EW20" s="898"/>
      <c r="EX20" s="898"/>
      <c r="EY20" s="898"/>
      <c r="EZ20" s="898"/>
      <c r="FA20" s="898"/>
      <c r="FB20" s="898"/>
      <c r="FC20" s="898"/>
      <c r="FD20" s="898"/>
      <c r="FE20" s="898"/>
      <c r="FF20" s="898"/>
      <c r="FG20" s="898"/>
      <c r="FH20" s="898"/>
      <c r="FI20" s="898"/>
      <c r="FJ20" s="898"/>
      <c r="FK20" s="898"/>
      <c r="FL20" s="898"/>
      <c r="FM20" s="898"/>
      <c r="FN20" s="898"/>
      <c r="FO20" s="898"/>
      <c r="FP20" s="898"/>
      <c r="FQ20" s="898"/>
      <c r="FR20" s="898"/>
      <c r="FS20" s="898"/>
      <c r="FT20" s="898"/>
      <c r="FU20" s="898"/>
      <c r="FV20" s="898"/>
      <c r="FW20" s="898"/>
      <c r="FX20" s="898"/>
      <c r="FY20" s="898"/>
      <c r="FZ20" s="898"/>
      <c r="GA20" s="898"/>
      <c r="GB20" s="898"/>
      <c r="GC20" s="898"/>
      <c r="GD20" s="898"/>
      <c r="GE20" s="898"/>
      <c r="GF20" s="898"/>
      <c r="GG20" s="898"/>
      <c r="GH20" s="898"/>
      <c r="GI20" s="898"/>
      <c r="GJ20" s="898"/>
      <c r="GK20" s="898"/>
      <c r="GL20" s="898"/>
      <c r="GM20" s="898"/>
      <c r="GN20" s="898"/>
      <c r="GO20" s="898"/>
      <c r="GP20" s="898"/>
      <c r="GQ20" s="898"/>
      <c r="GR20" s="898"/>
      <c r="GS20" s="898"/>
      <c r="GT20" s="898"/>
      <c r="GU20" s="898"/>
      <c r="GV20" s="898"/>
      <c r="GW20" s="898"/>
      <c r="GX20" s="898"/>
      <c r="GY20" s="898"/>
      <c r="GZ20" s="898"/>
      <c r="HA20" s="898"/>
      <c r="HB20" s="898"/>
      <c r="HC20" s="898"/>
      <c r="HD20" s="898"/>
      <c r="HE20" s="898"/>
      <c r="HF20" s="898"/>
      <c r="HG20" s="898"/>
      <c r="HH20" s="898"/>
      <c r="HI20" s="898"/>
      <c r="HJ20" s="898"/>
      <c r="HK20" s="898"/>
      <c r="HL20" s="898"/>
      <c r="HM20" s="898"/>
      <c r="HN20" s="898"/>
      <c r="HO20" s="898"/>
      <c r="HP20" s="898"/>
      <c r="HQ20" s="898"/>
      <c r="HR20" s="898"/>
      <c r="HS20" s="898"/>
      <c r="HT20" s="898"/>
      <c r="HU20" s="898"/>
      <c r="HV20" s="898"/>
      <c r="HW20" s="898"/>
      <c r="HX20" s="898"/>
      <c r="HY20" s="898"/>
      <c r="HZ20" s="898"/>
      <c r="IA20" s="898"/>
      <c r="IB20" s="898"/>
      <c r="IC20" s="898"/>
      <c r="ID20" s="898"/>
      <c r="IE20" s="898"/>
      <c r="IF20" s="898"/>
      <c r="IG20" s="898"/>
      <c r="IH20" s="898"/>
      <c r="II20" s="898"/>
      <c r="IJ20" s="898"/>
      <c r="IK20" s="898"/>
      <c r="IL20" s="898"/>
      <c r="IM20" s="898"/>
      <c r="IN20" s="898"/>
      <c r="IO20" s="898"/>
      <c r="IP20" s="898"/>
      <c r="IQ20" s="898"/>
      <c r="IR20" s="898"/>
      <c r="IS20" s="898"/>
    </row>
    <row r="21" spans="1:253" x14ac:dyDescent="0.2">
      <c r="A21" s="888"/>
      <c r="B21" s="905" t="s">
        <v>633</v>
      </c>
      <c r="C21" s="906" t="s">
        <v>94</v>
      </c>
      <c r="D21" s="907">
        <f>2323133*0.68+(600000*0.175)+270</f>
        <v>1685000.4400000002</v>
      </c>
      <c r="E21" s="907">
        <v>1412000</v>
      </c>
      <c r="F21" s="907">
        <v>1409797</v>
      </c>
      <c r="G21" s="908"/>
      <c r="H21" s="908"/>
      <c r="I21" s="876" t="s">
        <v>625</v>
      </c>
      <c r="J21" s="893">
        <f t="shared" si="1"/>
        <v>572900.14960000012</v>
      </c>
      <c r="K21" s="876" t="s">
        <v>626</v>
      </c>
      <c r="L21" s="893">
        <f t="shared" si="2"/>
        <v>1112100.2904000001</v>
      </c>
      <c r="M21" s="894">
        <f t="shared" si="0"/>
        <v>1685000.4400000002</v>
      </c>
    </row>
    <row r="22" spans="1:253" x14ac:dyDescent="0.2">
      <c r="A22" s="888"/>
      <c r="B22" s="889" t="s">
        <v>536</v>
      </c>
      <c r="C22" s="890" t="s">
        <v>634</v>
      </c>
      <c r="D22" s="891">
        <v>30000</v>
      </c>
      <c r="E22" s="891">
        <v>30000</v>
      </c>
      <c r="F22" s="891">
        <v>0</v>
      </c>
      <c r="G22" s="892"/>
      <c r="H22" s="892"/>
      <c r="I22" s="876" t="s">
        <v>625</v>
      </c>
      <c r="J22" s="893">
        <f t="shared" si="1"/>
        <v>10200</v>
      </c>
      <c r="K22" s="876" t="s">
        <v>626</v>
      </c>
      <c r="L22" s="893">
        <f t="shared" si="2"/>
        <v>19800</v>
      </c>
      <c r="M22" s="894">
        <f t="shared" si="0"/>
        <v>30000</v>
      </c>
    </row>
    <row r="23" spans="1:253" x14ac:dyDescent="0.2">
      <c r="A23" s="888"/>
      <c r="B23" s="909" t="s">
        <v>537</v>
      </c>
      <c r="C23" s="890" t="s">
        <v>635</v>
      </c>
      <c r="D23" s="891">
        <f>8850000+150000</f>
        <v>9000000</v>
      </c>
      <c r="E23" s="891">
        <v>7277781</v>
      </c>
      <c r="F23" s="891">
        <v>7077495</v>
      </c>
      <c r="G23" s="892"/>
      <c r="H23" s="892"/>
      <c r="I23" s="876" t="s">
        <v>625</v>
      </c>
      <c r="J23" s="893">
        <f t="shared" si="1"/>
        <v>3060000</v>
      </c>
      <c r="K23" s="876" t="s">
        <v>626</v>
      </c>
      <c r="L23" s="893">
        <f t="shared" si="2"/>
        <v>5940000</v>
      </c>
      <c r="M23" s="894">
        <f t="shared" si="0"/>
        <v>9000000</v>
      </c>
    </row>
    <row r="24" spans="1:253" x14ac:dyDescent="0.2">
      <c r="A24" s="888"/>
      <c r="B24" s="889" t="s">
        <v>636</v>
      </c>
      <c r="C24" s="890" t="s">
        <v>637</v>
      </c>
      <c r="D24" s="1176">
        <f>7600000+350000</f>
        <v>7950000</v>
      </c>
      <c r="E24" s="1176">
        <v>5600000</v>
      </c>
      <c r="F24" s="1176">
        <v>5598323</v>
      </c>
      <c r="G24" s="892"/>
      <c r="H24" s="892"/>
      <c r="I24" s="876" t="s">
        <v>625</v>
      </c>
      <c r="J24" s="893">
        <f t="shared" si="1"/>
        <v>2703000</v>
      </c>
      <c r="K24" s="876" t="s">
        <v>626</v>
      </c>
      <c r="L24" s="893">
        <f t="shared" si="2"/>
        <v>5247000</v>
      </c>
      <c r="M24" s="894">
        <f t="shared" si="0"/>
        <v>7950000</v>
      </c>
    </row>
    <row r="25" spans="1:253" x14ac:dyDescent="0.2">
      <c r="A25" s="888"/>
      <c r="B25" s="889" t="s">
        <v>600</v>
      </c>
      <c r="C25" s="890" t="s">
        <v>184</v>
      </c>
      <c r="D25" s="891">
        <v>100000</v>
      </c>
      <c r="E25" s="891">
        <v>100000</v>
      </c>
      <c r="F25" s="891">
        <v>77034</v>
      </c>
      <c r="G25" s="892"/>
      <c r="H25" s="892"/>
      <c r="I25" s="876" t="s">
        <v>625</v>
      </c>
      <c r="J25" s="893">
        <f t="shared" si="1"/>
        <v>34000</v>
      </c>
      <c r="K25" s="876" t="s">
        <v>626</v>
      </c>
      <c r="L25" s="893">
        <f t="shared" si="2"/>
        <v>66000</v>
      </c>
      <c r="M25" s="894">
        <f t="shared" si="0"/>
        <v>100000</v>
      </c>
    </row>
    <row r="26" spans="1:253" x14ac:dyDescent="0.2">
      <c r="A26" s="888"/>
      <c r="B26" s="889" t="s">
        <v>602</v>
      </c>
      <c r="C26" s="890" t="s">
        <v>89</v>
      </c>
      <c r="D26" s="891">
        <v>48000</v>
      </c>
      <c r="E26" s="891">
        <v>48000</v>
      </c>
      <c r="F26" s="891">
        <v>13834</v>
      </c>
      <c r="G26" s="892"/>
      <c r="H26" s="892"/>
      <c r="I26" s="876" t="s">
        <v>625</v>
      </c>
      <c r="J26" s="893">
        <f t="shared" si="1"/>
        <v>16320.000000000002</v>
      </c>
      <c r="K26" s="876" t="s">
        <v>626</v>
      </c>
      <c r="L26" s="893">
        <f t="shared" si="2"/>
        <v>31680</v>
      </c>
      <c r="M26" s="894">
        <f t="shared" si="0"/>
        <v>48000</v>
      </c>
    </row>
    <row r="27" spans="1:253" x14ac:dyDescent="0.2">
      <c r="A27" s="888"/>
      <c r="B27" s="889" t="s">
        <v>546</v>
      </c>
      <c r="C27" s="890" t="s">
        <v>638</v>
      </c>
      <c r="D27" s="891">
        <v>630000</v>
      </c>
      <c r="E27" s="891">
        <v>388000</v>
      </c>
      <c r="F27" s="891">
        <v>387422</v>
      </c>
      <c r="G27" s="892"/>
      <c r="H27" s="892"/>
      <c r="I27" s="876" t="s">
        <v>625</v>
      </c>
      <c r="J27" s="893">
        <f t="shared" si="1"/>
        <v>214200.00000000003</v>
      </c>
      <c r="K27" s="876" t="s">
        <v>626</v>
      </c>
      <c r="L27" s="893">
        <f t="shared" si="2"/>
        <v>415800</v>
      </c>
      <c r="M27" s="894">
        <f t="shared" si="0"/>
        <v>630000</v>
      </c>
    </row>
    <row r="28" spans="1:253" x14ac:dyDescent="0.2">
      <c r="A28" s="888"/>
      <c r="B28" s="889" t="s">
        <v>550</v>
      </c>
      <c r="C28" s="890" t="s">
        <v>90</v>
      </c>
      <c r="D28" s="891">
        <v>800000</v>
      </c>
      <c r="E28" s="891">
        <v>274457</v>
      </c>
      <c r="F28" s="891">
        <v>274257</v>
      </c>
      <c r="G28" s="892"/>
      <c r="H28" s="892"/>
      <c r="I28" s="876" t="s">
        <v>625</v>
      </c>
      <c r="J28" s="893">
        <f t="shared" si="1"/>
        <v>272000</v>
      </c>
      <c r="K28" s="876" t="s">
        <v>626</v>
      </c>
      <c r="L28" s="893">
        <f t="shared" si="2"/>
        <v>528000</v>
      </c>
      <c r="M28" s="894">
        <f t="shared" si="0"/>
        <v>800000</v>
      </c>
    </row>
    <row r="29" spans="1:253" x14ac:dyDescent="0.2">
      <c r="A29" s="888"/>
      <c r="B29" s="889" t="s">
        <v>551</v>
      </c>
      <c r="C29" s="890" t="s">
        <v>603</v>
      </c>
      <c r="D29" s="891">
        <v>150000</v>
      </c>
      <c r="E29" s="891">
        <v>0</v>
      </c>
      <c r="F29" s="891">
        <v>0</v>
      </c>
      <c r="G29" s="892"/>
      <c r="H29" s="892"/>
      <c r="I29" s="876" t="s">
        <v>625</v>
      </c>
      <c r="J29" s="893">
        <f t="shared" si="1"/>
        <v>51000.000000000007</v>
      </c>
      <c r="K29" s="876" t="s">
        <v>626</v>
      </c>
      <c r="L29" s="893">
        <f t="shared" si="2"/>
        <v>99000</v>
      </c>
      <c r="M29" s="894">
        <f t="shared" si="0"/>
        <v>150000</v>
      </c>
    </row>
    <row r="30" spans="1:253" x14ac:dyDescent="0.2">
      <c r="A30" s="888"/>
      <c r="B30" s="889" t="s">
        <v>606</v>
      </c>
      <c r="C30" s="890" t="s">
        <v>29</v>
      </c>
      <c r="D30" s="891">
        <v>460000</v>
      </c>
      <c r="E30" s="891">
        <v>170000</v>
      </c>
      <c r="F30" s="891">
        <v>143814</v>
      </c>
      <c r="G30" s="892"/>
      <c r="H30" s="892"/>
      <c r="I30" s="876" t="s">
        <v>625</v>
      </c>
      <c r="J30" s="893">
        <f t="shared" si="1"/>
        <v>156400</v>
      </c>
      <c r="K30" s="876" t="s">
        <v>626</v>
      </c>
      <c r="L30" s="893">
        <f t="shared" si="2"/>
        <v>303600</v>
      </c>
      <c r="M30" s="894">
        <f t="shared" si="0"/>
        <v>460000</v>
      </c>
    </row>
    <row r="31" spans="1:253" x14ac:dyDescent="0.2">
      <c r="A31" s="888"/>
      <c r="B31" s="889" t="s">
        <v>555</v>
      </c>
      <c r="C31" s="890" t="s">
        <v>91</v>
      </c>
      <c r="D31" s="891">
        <v>60000</v>
      </c>
      <c r="E31" s="891">
        <v>0</v>
      </c>
      <c r="F31" s="891">
        <v>0</v>
      </c>
      <c r="G31" s="892"/>
      <c r="H31" s="892"/>
      <c r="I31" s="876" t="s">
        <v>625</v>
      </c>
      <c r="J31" s="893">
        <f t="shared" si="1"/>
        <v>20400</v>
      </c>
      <c r="K31" s="876" t="s">
        <v>626</v>
      </c>
      <c r="L31" s="893">
        <f t="shared" si="2"/>
        <v>39600</v>
      </c>
      <c r="M31" s="894">
        <f t="shared" si="0"/>
        <v>60000</v>
      </c>
    </row>
    <row r="32" spans="1:253" x14ac:dyDescent="0.2">
      <c r="A32" s="888"/>
      <c r="B32" s="889" t="s">
        <v>556</v>
      </c>
      <c r="C32" s="890" t="s">
        <v>557</v>
      </c>
      <c r="D32" s="891">
        <f>SUM(D22+D23+D25+D26+D27+D28+D29+D30)*0.27+3140</f>
        <v>3032000</v>
      </c>
      <c r="E32" s="891">
        <v>1820829</v>
      </c>
      <c r="F32" s="891">
        <v>1499234</v>
      </c>
      <c r="G32" s="892"/>
      <c r="H32" s="892"/>
      <c r="I32" s="876" t="s">
        <v>625</v>
      </c>
      <c r="J32" s="893">
        <f t="shared" si="1"/>
        <v>1030880.0000000001</v>
      </c>
      <c r="K32" s="876" t="s">
        <v>626</v>
      </c>
      <c r="L32" s="893">
        <f t="shared" si="2"/>
        <v>2001120</v>
      </c>
      <c r="M32" s="894">
        <f t="shared" si="0"/>
        <v>3032000</v>
      </c>
    </row>
    <row r="33" spans="1:253" x14ac:dyDescent="0.2">
      <c r="A33" s="888"/>
      <c r="B33" s="909" t="s">
        <v>639</v>
      </c>
      <c r="C33" s="890" t="s">
        <v>640</v>
      </c>
      <c r="D33" s="891">
        <v>800000</v>
      </c>
      <c r="E33" s="891">
        <v>206335</v>
      </c>
      <c r="F33" s="891">
        <v>85000</v>
      </c>
      <c r="G33" s="892"/>
      <c r="H33" s="892"/>
      <c r="I33" s="876" t="s">
        <v>625</v>
      </c>
      <c r="J33" s="893">
        <f t="shared" si="1"/>
        <v>272000</v>
      </c>
      <c r="K33" s="876" t="s">
        <v>626</v>
      </c>
      <c r="L33" s="893">
        <f t="shared" si="2"/>
        <v>528000</v>
      </c>
      <c r="M33" s="894">
        <f t="shared" si="0"/>
        <v>800000</v>
      </c>
    </row>
    <row r="34" spans="1:253" x14ac:dyDescent="0.2">
      <c r="A34" s="888"/>
      <c r="B34" s="889" t="s">
        <v>609</v>
      </c>
      <c r="C34" s="890" t="s">
        <v>610</v>
      </c>
      <c r="D34" s="891">
        <v>100000</v>
      </c>
      <c r="E34" s="891">
        <v>1000</v>
      </c>
      <c r="F34" s="891">
        <v>1</v>
      </c>
      <c r="G34" s="892"/>
      <c r="H34" s="892"/>
      <c r="I34" s="876" t="s">
        <v>625</v>
      </c>
      <c r="J34" s="893">
        <f t="shared" si="1"/>
        <v>34000</v>
      </c>
      <c r="K34" s="876" t="s">
        <v>626</v>
      </c>
      <c r="L34" s="893">
        <f t="shared" si="2"/>
        <v>66000</v>
      </c>
      <c r="M34" s="894">
        <f t="shared" si="0"/>
        <v>100000</v>
      </c>
    </row>
    <row r="35" spans="1:253" x14ac:dyDescent="0.2">
      <c r="A35" s="895"/>
      <c r="B35" s="1655" t="s">
        <v>168</v>
      </c>
      <c r="C35" s="1655"/>
      <c r="D35" s="896">
        <f>SUM(D22:D34)-D24</f>
        <v>15210000</v>
      </c>
      <c r="E35" s="896">
        <f>SUM(E22:E34)-E24</f>
        <v>10316402</v>
      </c>
      <c r="F35" s="896">
        <f>SUM(F22:F34)-F24</f>
        <v>9558091</v>
      </c>
      <c r="G35" s="897"/>
      <c r="H35" s="897"/>
      <c r="I35" s="876" t="s">
        <v>625</v>
      </c>
      <c r="J35" s="893">
        <f t="shared" si="1"/>
        <v>5171400</v>
      </c>
      <c r="K35" s="876" t="s">
        <v>626</v>
      </c>
      <c r="L35" s="893">
        <f t="shared" si="2"/>
        <v>10038600</v>
      </c>
      <c r="M35" s="894">
        <f t="shared" si="0"/>
        <v>15210000</v>
      </c>
      <c r="N35" s="898"/>
      <c r="O35" s="898"/>
      <c r="P35" s="898"/>
      <c r="Q35" s="898"/>
      <c r="R35" s="898"/>
      <c r="S35" s="898"/>
      <c r="T35" s="898"/>
      <c r="U35" s="898"/>
      <c r="V35" s="898"/>
      <c r="W35" s="898"/>
      <c r="X35" s="898"/>
      <c r="Y35" s="898"/>
      <c r="Z35" s="898"/>
      <c r="AA35" s="898"/>
      <c r="AB35" s="898"/>
      <c r="AC35" s="898"/>
      <c r="AD35" s="898"/>
      <c r="AE35" s="898"/>
      <c r="AF35" s="898"/>
      <c r="AG35" s="898"/>
      <c r="AH35" s="898"/>
      <c r="AI35" s="898"/>
      <c r="AJ35" s="898"/>
      <c r="AK35" s="898"/>
      <c r="AL35" s="898"/>
      <c r="AM35" s="898"/>
      <c r="AN35" s="898"/>
      <c r="AO35" s="898"/>
      <c r="AP35" s="898"/>
      <c r="AQ35" s="898"/>
      <c r="AR35" s="898"/>
      <c r="AS35" s="898"/>
      <c r="AT35" s="898"/>
      <c r="AU35" s="898"/>
      <c r="AV35" s="898"/>
      <c r="AW35" s="898"/>
      <c r="AX35" s="898"/>
      <c r="AY35" s="898"/>
      <c r="AZ35" s="898"/>
      <c r="BA35" s="898"/>
      <c r="BB35" s="898"/>
      <c r="BC35" s="898"/>
      <c r="BD35" s="898"/>
      <c r="BE35" s="898"/>
      <c r="BF35" s="898"/>
      <c r="BG35" s="898"/>
      <c r="BH35" s="898"/>
      <c r="BI35" s="898"/>
      <c r="BJ35" s="898"/>
      <c r="BK35" s="898"/>
      <c r="BL35" s="898"/>
      <c r="BM35" s="898"/>
      <c r="BN35" s="898"/>
      <c r="BO35" s="898"/>
      <c r="BP35" s="898"/>
      <c r="BQ35" s="898"/>
      <c r="BR35" s="898"/>
      <c r="BS35" s="898"/>
      <c r="BT35" s="898"/>
      <c r="BU35" s="898"/>
      <c r="BV35" s="898"/>
      <c r="BW35" s="898"/>
      <c r="BX35" s="898"/>
      <c r="BY35" s="898"/>
      <c r="BZ35" s="898"/>
      <c r="CA35" s="898"/>
      <c r="CB35" s="898"/>
      <c r="CC35" s="898"/>
      <c r="CD35" s="898"/>
      <c r="CE35" s="898"/>
      <c r="CF35" s="898"/>
      <c r="CG35" s="898"/>
      <c r="CH35" s="898"/>
      <c r="CI35" s="898"/>
      <c r="CJ35" s="898"/>
      <c r="CK35" s="898"/>
      <c r="CL35" s="898"/>
      <c r="CM35" s="898"/>
      <c r="CN35" s="898"/>
      <c r="CO35" s="898"/>
      <c r="CP35" s="898"/>
      <c r="CQ35" s="898"/>
      <c r="CR35" s="898"/>
      <c r="CS35" s="898"/>
      <c r="CT35" s="898"/>
      <c r="CU35" s="898"/>
      <c r="CV35" s="898"/>
      <c r="CW35" s="898"/>
      <c r="CX35" s="898"/>
      <c r="CY35" s="898"/>
      <c r="CZ35" s="898"/>
      <c r="DA35" s="898"/>
      <c r="DB35" s="898"/>
      <c r="DC35" s="898"/>
      <c r="DD35" s="898"/>
      <c r="DE35" s="898"/>
      <c r="DF35" s="898"/>
      <c r="DG35" s="898"/>
      <c r="DH35" s="898"/>
      <c r="DI35" s="898"/>
      <c r="DJ35" s="898"/>
      <c r="DK35" s="898"/>
      <c r="DL35" s="898"/>
      <c r="DM35" s="898"/>
      <c r="DN35" s="898"/>
      <c r="DO35" s="898"/>
      <c r="DP35" s="898"/>
      <c r="DQ35" s="898"/>
      <c r="DR35" s="898"/>
      <c r="DS35" s="898"/>
      <c r="DT35" s="898"/>
      <c r="DU35" s="898"/>
      <c r="DV35" s="898"/>
      <c r="DW35" s="898"/>
      <c r="DX35" s="898"/>
      <c r="DY35" s="898"/>
      <c r="DZ35" s="898"/>
      <c r="EA35" s="898"/>
      <c r="EB35" s="898"/>
      <c r="EC35" s="898"/>
      <c r="ED35" s="898"/>
      <c r="EE35" s="898"/>
      <c r="EF35" s="898"/>
      <c r="EG35" s="898"/>
      <c r="EH35" s="898"/>
      <c r="EI35" s="898"/>
      <c r="EJ35" s="898"/>
      <c r="EK35" s="898"/>
      <c r="EL35" s="898"/>
      <c r="EM35" s="898"/>
      <c r="EN35" s="898"/>
      <c r="EO35" s="898"/>
      <c r="EP35" s="898"/>
      <c r="EQ35" s="898"/>
      <c r="ER35" s="898"/>
      <c r="ES35" s="898"/>
      <c r="ET35" s="898"/>
      <c r="EU35" s="898"/>
      <c r="EV35" s="898"/>
      <c r="EW35" s="898"/>
      <c r="EX35" s="898"/>
      <c r="EY35" s="898"/>
      <c r="EZ35" s="898"/>
      <c r="FA35" s="898"/>
      <c r="FB35" s="898"/>
      <c r="FC35" s="898"/>
      <c r="FD35" s="898"/>
      <c r="FE35" s="898"/>
      <c r="FF35" s="898"/>
      <c r="FG35" s="898"/>
      <c r="FH35" s="898"/>
      <c r="FI35" s="898"/>
      <c r="FJ35" s="898"/>
      <c r="FK35" s="898"/>
      <c r="FL35" s="898"/>
      <c r="FM35" s="898"/>
      <c r="FN35" s="898"/>
      <c r="FO35" s="898"/>
      <c r="FP35" s="898"/>
      <c r="FQ35" s="898"/>
      <c r="FR35" s="898"/>
      <c r="FS35" s="898"/>
      <c r="FT35" s="898"/>
      <c r="FU35" s="898"/>
      <c r="FV35" s="898"/>
      <c r="FW35" s="898"/>
      <c r="FX35" s="898"/>
      <c r="FY35" s="898"/>
      <c r="FZ35" s="898"/>
      <c r="GA35" s="898"/>
      <c r="GB35" s="898"/>
      <c r="GC35" s="898"/>
      <c r="GD35" s="898"/>
      <c r="GE35" s="898"/>
      <c r="GF35" s="898"/>
      <c r="GG35" s="898"/>
      <c r="GH35" s="898"/>
      <c r="GI35" s="898"/>
      <c r="GJ35" s="898"/>
      <c r="GK35" s="898"/>
      <c r="GL35" s="898"/>
      <c r="GM35" s="898"/>
      <c r="GN35" s="898"/>
      <c r="GO35" s="898"/>
      <c r="GP35" s="898"/>
      <c r="GQ35" s="898"/>
      <c r="GR35" s="898"/>
      <c r="GS35" s="898"/>
      <c r="GT35" s="898"/>
      <c r="GU35" s="898"/>
      <c r="GV35" s="898"/>
      <c r="GW35" s="898"/>
      <c r="GX35" s="898"/>
      <c r="GY35" s="898"/>
      <c r="GZ35" s="898"/>
      <c r="HA35" s="898"/>
      <c r="HB35" s="898"/>
      <c r="HC35" s="898"/>
      <c r="HD35" s="898"/>
      <c r="HE35" s="898"/>
      <c r="HF35" s="898"/>
      <c r="HG35" s="898"/>
      <c r="HH35" s="898"/>
      <c r="HI35" s="898"/>
      <c r="HJ35" s="898"/>
      <c r="HK35" s="898"/>
      <c r="HL35" s="898"/>
      <c r="HM35" s="898"/>
      <c r="HN35" s="898"/>
      <c r="HO35" s="898"/>
      <c r="HP35" s="898"/>
      <c r="HQ35" s="898"/>
      <c r="HR35" s="898"/>
      <c r="HS35" s="898"/>
      <c r="HT35" s="898"/>
      <c r="HU35" s="898"/>
      <c r="HV35" s="898"/>
      <c r="HW35" s="898"/>
      <c r="HX35" s="898"/>
      <c r="HY35" s="898"/>
      <c r="HZ35" s="898"/>
      <c r="IA35" s="898"/>
      <c r="IB35" s="898"/>
      <c r="IC35" s="898"/>
      <c r="ID35" s="898"/>
      <c r="IE35" s="898"/>
      <c r="IF35" s="898"/>
      <c r="IG35" s="898"/>
      <c r="IH35" s="898"/>
      <c r="II35" s="898"/>
      <c r="IJ35" s="898"/>
      <c r="IK35" s="898"/>
      <c r="IL35" s="898"/>
      <c r="IM35" s="898"/>
      <c r="IN35" s="898"/>
      <c r="IO35" s="898"/>
      <c r="IP35" s="898"/>
      <c r="IQ35" s="898"/>
      <c r="IR35" s="898"/>
      <c r="IS35" s="898"/>
    </row>
    <row r="36" spans="1:253" x14ac:dyDescent="0.2">
      <c r="A36" s="895"/>
      <c r="B36" s="910" t="s">
        <v>611</v>
      </c>
      <c r="C36" s="1320" t="s">
        <v>641</v>
      </c>
      <c r="D36" s="911">
        <v>2000000</v>
      </c>
      <c r="E36" s="911">
        <v>1628563</v>
      </c>
      <c r="F36" s="911">
        <v>1628164</v>
      </c>
      <c r="G36" s="912"/>
      <c r="H36" s="912"/>
      <c r="I36" s="876" t="s">
        <v>625</v>
      </c>
      <c r="J36" s="893">
        <f t="shared" si="1"/>
        <v>680000</v>
      </c>
      <c r="K36" s="876" t="s">
        <v>626</v>
      </c>
      <c r="L36" s="893">
        <f t="shared" si="2"/>
        <v>1320000</v>
      </c>
      <c r="M36" s="894">
        <f t="shared" si="0"/>
        <v>2000000</v>
      </c>
      <c r="N36" s="898"/>
      <c r="O36" s="898"/>
      <c r="P36" s="898"/>
      <c r="Q36" s="898"/>
      <c r="R36" s="898"/>
      <c r="S36" s="898"/>
      <c r="T36" s="898"/>
      <c r="U36" s="898"/>
      <c r="V36" s="898"/>
      <c r="W36" s="898"/>
      <c r="X36" s="898"/>
      <c r="Y36" s="898"/>
      <c r="Z36" s="898"/>
      <c r="AA36" s="898"/>
      <c r="AB36" s="898"/>
      <c r="AC36" s="898"/>
      <c r="AD36" s="898"/>
      <c r="AE36" s="898"/>
      <c r="AF36" s="898"/>
      <c r="AG36" s="898"/>
      <c r="AH36" s="898"/>
      <c r="AI36" s="898"/>
      <c r="AJ36" s="898"/>
      <c r="AK36" s="898"/>
      <c r="AL36" s="898"/>
      <c r="AM36" s="898"/>
      <c r="AN36" s="898"/>
      <c r="AO36" s="898"/>
      <c r="AP36" s="898"/>
      <c r="AQ36" s="898"/>
      <c r="AR36" s="898"/>
      <c r="AS36" s="898"/>
      <c r="AT36" s="898"/>
      <c r="AU36" s="898"/>
      <c r="AV36" s="898"/>
      <c r="AW36" s="898"/>
      <c r="AX36" s="898"/>
      <c r="AY36" s="898"/>
      <c r="AZ36" s="898"/>
      <c r="BA36" s="898"/>
      <c r="BB36" s="898"/>
      <c r="BC36" s="898"/>
      <c r="BD36" s="898"/>
      <c r="BE36" s="898"/>
      <c r="BF36" s="898"/>
      <c r="BG36" s="898"/>
      <c r="BH36" s="898"/>
      <c r="BI36" s="898"/>
      <c r="BJ36" s="898"/>
      <c r="BK36" s="898"/>
      <c r="BL36" s="898"/>
      <c r="BM36" s="898"/>
      <c r="BN36" s="898"/>
      <c r="BO36" s="898"/>
      <c r="BP36" s="898"/>
      <c r="BQ36" s="898"/>
      <c r="BR36" s="898"/>
      <c r="BS36" s="898"/>
      <c r="BT36" s="898"/>
      <c r="BU36" s="898"/>
      <c r="BV36" s="898"/>
      <c r="BW36" s="898"/>
      <c r="BX36" s="898"/>
      <c r="BY36" s="898"/>
      <c r="BZ36" s="898"/>
      <c r="CA36" s="898"/>
      <c r="CB36" s="898"/>
      <c r="CC36" s="898"/>
      <c r="CD36" s="898"/>
      <c r="CE36" s="898"/>
      <c r="CF36" s="898"/>
      <c r="CG36" s="898"/>
      <c r="CH36" s="898"/>
      <c r="CI36" s="898"/>
      <c r="CJ36" s="898"/>
      <c r="CK36" s="898"/>
      <c r="CL36" s="898"/>
      <c r="CM36" s="898"/>
      <c r="CN36" s="898"/>
      <c r="CO36" s="898"/>
      <c r="CP36" s="898"/>
      <c r="CQ36" s="898"/>
      <c r="CR36" s="898"/>
      <c r="CS36" s="898"/>
      <c r="CT36" s="898"/>
      <c r="CU36" s="898"/>
      <c r="CV36" s="898"/>
      <c r="CW36" s="898"/>
      <c r="CX36" s="898"/>
      <c r="CY36" s="898"/>
      <c r="CZ36" s="898"/>
      <c r="DA36" s="898"/>
      <c r="DB36" s="898"/>
      <c r="DC36" s="898"/>
      <c r="DD36" s="898"/>
      <c r="DE36" s="898"/>
      <c r="DF36" s="898"/>
      <c r="DG36" s="898"/>
      <c r="DH36" s="898"/>
      <c r="DI36" s="898"/>
      <c r="DJ36" s="898"/>
      <c r="DK36" s="898"/>
      <c r="DL36" s="898"/>
      <c r="DM36" s="898"/>
      <c r="DN36" s="898"/>
      <c r="DO36" s="898"/>
      <c r="DP36" s="898"/>
      <c r="DQ36" s="898"/>
      <c r="DR36" s="898"/>
      <c r="DS36" s="898"/>
      <c r="DT36" s="898"/>
      <c r="DU36" s="898"/>
      <c r="DV36" s="898"/>
      <c r="DW36" s="898"/>
      <c r="DX36" s="898"/>
      <c r="DY36" s="898"/>
      <c r="DZ36" s="898"/>
      <c r="EA36" s="898"/>
      <c r="EB36" s="898"/>
      <c r="EC36" s="898"/>
      <c r="ED36" s="898"/>
      <c r="EE36" s="898"/>
      <c r="EF36" s="898"/>
      <c r="EG36" s="898"/>
      <c r="EH36" s="898"/>
      <c r="EI36" s="898"/>
      <c r="EJ36" s="898"/>
      <c r="EK36" s="898"/>
      <c r="EL36" s="898"/>
      <c r="EM36" s="898"/>
      <c r="EN36" s="898"/>
      <c r="EO36" s="898"/>
      <c r="EP36" s="898"/>
      <c r="EQ36" s="898"/>
      <c r="ER36" s="898"/>
      <c r="ES36" s="898"/>
      <c r="ET36" s="898"/>
      <c r="EU36" s="898"/>
      <c r="EV36" s="898"/>
      <c r="EW36" s="898"/>
      <c r="EX36" s="898"/>
      <c r="EY36" s="898"/>
      <c r="EZ36" s="898"/>
      <c r="FA36" s="898"/>
      <c r="FB36" s="898"/>
      <c r="FC36" s="898"/>
      <c r="FD36" s="898"/>
      <c r="FE36" s="898"/>
      <c r="FF36" s="898"/>
      <c r="FG36" s="898"/>
      <c r="FH36" s="898"/>
      <c r="FI36" s="898"/>
      <c r="FJ36" s="898"/>
      <c r="FK36" s="898"/>
      <c r="FL36" s="898"/>
      <c r="FM36" s="898"/>
      <c r="FN36" s="898"/>
      <c r="FO36" s="898"/>
      <c r="FP36" s="898"/>
      <c r="FQ36" s="898"/>
      <c r="FR36" s="898"/>
      <c r="FS36" s="898"/>
      <c r="FT36" s="898"/>
      <c r="FU36" s="898"/>
      <c r="FV36" s="898"/>
      <c r="FW36" s="898"/>
      <c r="FX36" s="898"/>
      <c r="FY36" s="898"/>
      <c r="FZ36" s="898"/>
      <c r="GA36" s="898"/>
      <c r="GB36" s="898"/>
      <c r="GC36" s="898"/>
      <c r="GD36" s="898"/>
      <c r="GE36" s="898"/>
      <c r="GF36" s="898"/>
      <c r="GG36" s="898"/>
      <c r="GH36" s="898"/>
      <c r="GI36" s="898"/>
      <c r="GJ36" s="898"/>
      <c r="GK36" s="898"/>
      <c r="GL36" s="898"/>
      <c r="GM36" s="898"/>
      <c r="GN36" s="898"/>
      <c r="GO36" s="898"/>
      <c r="GP36" s="898"/>
      <c r="GQ36" s="898"/>
      <c r="GR36" s="898"/>
      <c r="GS36" s="898"/>
      <c r="GT36" s="898"/>
      <c r="GU36" s="898"/>
      <c r="GV36" s="898"/>
      <c r="GW36" s="898"/>
      <c r="GX36" s="898"/>
      <c r="GY36" s="898"/>
      <c r="GZ36" s="898"/>
      <c r="HA36" s="898"/>
      <c r="HB36" s="898"/>
      <c r="HC36" s="898"/>
      <c r="HD36" s="898"/>
      <c r="HE36" s="898"/>
      <c r="HF36" s="898"/>
      <c r="HG36" s="898"/>
      <c r="HH36" s="898"/>
      <c r="HI36" s="898"/>
      <c r="HJ36" s="898"/>
      <c r="HK36" s="898"/>
      <c r="HL36" s="898"/>
      <c r="HM36" s="898"/>
      <c r="HN36" s="898"/>
      <c r="HO36" s="898"/>
      <c r="HP36" s="898"/>
      <c r="HQ36" s="898"/>
      <c r="HR36" s="898"/>
      <c r="HS36" s="898"/>
      <c r="HT36" s="898"/>
      <c r="HU36" s="898"/>
      <c r="HV36" s="898"/>
      <c r="HW36" s="898"/>
      <c r="HX36" s="898"/>
      <c r="HY36" s="898"/>
      <c r="HZ36" s="898"/>
      <c r="IA36" s="898"/>
      <c r="IB36" s="898"/>
      <c r="IC36" s="898"/>
      <c r="ID36" s="898"/>
      <c r="IE36" s="898"/>
      <c r="IF36" s="898"/>
      <c r="IG36" s="898"/>
      <c r="IH36" s="898"/>
      <c r="II36" s="898"/>
      <c r="IJ36" s="898"/>
      <c r="IK36" s="898"/>
      <c r="IL36" s="898"/>
      <c r="IM36" s="898"/>
      <c r="IN36" s="898"/>
      <c r="IO36" s="898"/>
      <c r="IP36" s="898"/>
      <c r="IQ36" s="898"/>
      <c r="IR36" s="898"/>
      <c r="IS36" s="898"/>
    </row>
    <row r="37" spans="1:253" x14ac:dyDescent="0.2">
      <c r="A37" s="895"/>
      <c r="B37" s="910" t="s">
        <v>558</v>
      </c>
      <c r="C37" s="1320" t="s">
        <v>642</v>
      </c>
      <c r="D37" s="913">
        <f>D36*0.27</f>
        <v>540000</v>
      </c>
      <c r="E37" s="913">
        <v>440046</v>
      </c>
      <c r="F37" s="913">
        <f>F36*0.27</f>
        <v>439604.28</v>
      </c>
      <c r="G37" s="914"/>
      <c r="H37" s="914"/>
      <c r="I37" s="876" t="s">
        <v>625</v>
      </c>
      <c r="J37" s="893">
        <f t="shared" si="1"/>
        <v>183600</v>
      </c>
      <c r="K37" s="876" t="s">
        <v>626</v>
      </c>
      <c r="L37" s="893">
        <f t="shared" si="2"/>
        <v>356400</v>
      </c>
      <c r="M37" s="894">
        <f t="shared" si="0"/>
        <v>540000</v>
      </c>
      <c r="N37" s="898"/>
      <c r="O37" s="898"/>
      <c r="P37" s="898"/>
      <c r="Q37" s="898"/>
      <c r="R37" s="898"/>
      <c r="S37" s="898"/>
      <c r="T37" s="898"/>
      <c r="U37" s="898"/>
      <c r="V37" s="898"/>
      <c r="W37" s="898"/>
      <c r="X37" s="898"/>
      <c r="Y37" s="898"/>
      <c r="Z37" s="898"/>
      <c r="AA37" s="898"/>
      <c r="AB37" s="898"/>
      <c r="AC37" s="898"/>
      <c r="AD37" s="898"/>
      <c r="AE37" s="898"/>
      <c r="AF37" s="898"/>
      <c r="AG37" s="898"/>
      <c r="AH37" s="898"/>
      <c r="AI37" s="898"/>
      <c r="AJ37" s="898"/>
      <c r="AK37" s="898"/>
      <c r="AL37" s="898"/>
      <c r="AM37" s="898"/>
      <c r="AN37" s="898"/>
      <c r="AO37" s="898"/>
      <c r="AP37" s="898"/>
      <c r="AQ37" s="898"/>
      <c r="AR37" s="898"/>
      <c r="AS37" s="898"/>
      <c r="AT37" s="898"/>
      <c r="AU37" s="898"/>
      <c r="AV37" s="898"/>
      <c r="AW37" s="898"/>
      <c r="AX37" s="898"/>
      <c r="AY37" s="898"/>
      <c r="AZ37" s="898"/>
      <c r="BA37" s="898"/>
      <c r="BB37" s="898"/>
      <c r="BC37" s="898"/>
      <c r="BD37" s="898"/>
      <c r="BE37" s="898"/>
      <c r="BF37" s="898"/>
      <c r="BG37" s="898"/>
      <c r="BH37" s="898"/>
      <c r="BI37" s="898"/>
      <c r="BJ37" s="898"/>
      <c r="BK37" s="898"/>
      <c r="BL37" s="898"/>
      <c r="BM37" s="898"/>
      <c r="BN37" s="898"/>
      <c r="BO37" s="898"/>
      <c r="BP37" s="898"/>
      <c r="BQ37" s="898"/>
      <c r="BR37" s="898"/>
      <c r="BS37" s="898"/>
      <c r="BT37" s="898"/>
      <c r="BU37" s="898"/>
      <c r="BV37" s="898"/>
      <c r="BW37" s="898"/>
      <c r="BX37" s="898"/>
      <c r="BY37" s="898"/>
      <c r="BZ37" s="898"/>
      <c r="CA37" s="898"/>
      <c r="CB37" s="898"/>
      <c r="CC37" s="898"/>
      <c r="CD37" s="898"/>
      <c r="CE37" s="898"/>
      <c r="CF37" s="898"/>
      <c r="CG37" s="898"/>
      <c r="CH37" s="898"/>
      <c r="CI37" s="898"/>
      <c r="CJ37" s="898"/>
      <c r="CK37" s="898"/>
      <c r="CL37" s="898"/>
      <c r="CM37" s="898"/>
      <c r="CN37" s="898"/>
      <c r="CO37" s="898"/>
      <c r="CP37" s="898"/>
      <c r="CQ37" s="898"/>
      <c r="CR37" s="898"/>
      <c r="CS37" s="898"/>
      <c r="CT37" s="898"/>
      <c r="CU37" s="898"/>
      <c r="CV37" s="898"/>
      <c r="CW37" s="898"/>
      <c r="CX37" s="898"/>
      <c r="CY37" s="898"/>
      <c r="CZ37" s="898"/>
      <c r="DA37" s="898"/>
      <c r="DB37" s="898"/>
      <c r="DC37" s="898"/>
      <c r="DD37" s="898"/>
      <c r="DE37" s="898"/>
      <c r="DF37" s="898"/>
      <c r="DG37" s="898"/>
      <c r="DH37" s="898"/>
      <c r="DI37" s="898"/>
      <c r="DJ37" s="898"/>
      <c r="DK37" s="898"/>
      <c r="DL37" s="898"/>
      <c r="DM37" s="898"/>
      <c r="DN37" s="898"/>
      <c r="DO37" s="898"/>
      <c r="DP37" s="898"/>
      <c r="DQ37" s="898"/>
      <c r="DR37" s="898"/>
      <c r="DS37" s="898"/>
      <c r="DT37" s="898"/>
      <c r="DU37" s="898"/>
      <c r="DV37" s="898"/>
      <c r="DW37" s="898"/>
      <c r="DX37" s="898"/>
      <c r="DY37" s="898"/>
      <c r="DZ37" s="898"/>
      <c r="EA37" s="898"/>
      <c r="EB37" s="898"/>
      <c r="EC37" s="898"/>
      <c r="ED37" s="898"/>
      <c r="EE37" s="898"/>
      <c r="EF37" s="898"/>
      <c r="EG37" s="898"/>
      <c r="EH37" s="898"/>
      <c r="EI37" s="898"/>
      <c r="EJ37" s="898"/>
      <c r="EK37" s="898"/>
      <c r="EL37" s="898"/>
      <c r="EM37" s="898"/>
      <c r="EN37" s="898"/>
      <c r="EO37" s="898"/>
      <c r="EP37" s="898"/>
      <c r="EQ37" s="898"/>
      <c r="ER37" s="898"/>
      <c r="ES37" s="898"/>
      <c r="ET37" s="898"/>
      <c r="EU37" s="898"/>
      <c r="EV37" s="898"/>
      <c r="EW37" s="898"/>
      <c r="EX37" s="898"/>
      <c r="EY37" s="898"/>
      <c r="EZ37" s="898"/>
      <c r="FA37" s="898"/>
      <c r="FB37" s="898"/>
      <c r="FC37" s="898"/>
      <c r="FD37" s="898"/>
      <c r="FE37" s="898"/>
      <c r="FF37" s="898"/>
      <c r="FG37" s="898"/>
      <c r="FH37" s="898"/>
      <c r="FI37" s="898"/>
      <c r="FJ37" s="898"/>
      <c r="FK37" s="898"/>
      <c r="FL37" s="898"/>
      <c r="FM37" s="898"/>
      <c r="FN37" s="898"/>
      <c r="FO37" s="898"/>
      <c r="FP37" s="898"/>
      <c r="FQ37" s="898"/>
      <c r="FR37" s="898"/>
      <c r="FS37" s="898"/>
      <c r="FT37" s="898"/>
      <c r="FU37" s="898"/>
      <c r="FV37" s="898"/>
      <c r="FW37" s="898"/>
      <c r="FX37" s="898"/>
      <c r="FY37" s="898"/>
      <c r="FZ37" s="898"/>
      <c r="GA37" s="898"/>
      <c r="GB37" s="898"/>
      <c r="GC37" s="898"/>
      <c r="GD37" s="898"/>
      <c r="GE37" s="898"/>
      <c r="GF37" s="898"/>
      <c r="GG37" s="898"/>
      <c r="GH37" s="898"/>
      <c r="GI37" s="898"/>
      <c r="GJ37" s="898"/>
      <c r="GK37" s="898"/>
      <c r="GL37" s="898"/>
      <c r="GM37" s="898"/>
      <c r="GN37" s="898"/>
      <c r="GO37" s="898"/>
      <c r="GP37" s="898"/>
      <c r="GQ37" s="898"/>
      <c r="GR37" s="898"/>
      <c r="GS37" s="898"/>
      <c r="GT37" s="898"/>
      <c r="GU37" s="898"/>
      <c r="GV37" s="898"/>
      <c r="GW37" s="898"/>
      <c r="GX37" s="898"/>
      <c r="GY37" s="898"/>
      <c r="GZ37" s="898"/>
      <c r="HA37" s="898"/>
      <c r="HB37" s="898"/>
      <c r="HC37" s="898"/>
      <c r="HD37" s="898"/>
      <c r="HE37" s="898"/>
      <c r="HF37" s="898"/>
      <c r="HG37" s="898"/>
      <c r="HH37" s="898"/>
      <c r="HI37" s="898"/>
      <c r="HJ37" s="898"/>
      <c r="HK37" s="898"/>
      <c r="HL37" s="898"/>
      <c r="HM37" s="898"/>
      <c r="HN37" s="898"/>
      <c r="HO37" s="898"/>
      <c r="HP37" s="898"/>
      <c r="HQ37" s="898"/>
      <c r="HR37" s="898"/>
      <c r="HS37" s="898"/>
      <c r="HT37" s="898"/>
      <c r="HU37" s="898"/>
      <c r="HV37" s="898"/>
      <c r="HW37" s="898"/>
      <c r="HX37" s="898"/>
      <c r="HY37" s="898"/>
      <c r="HZ37" s="898"/>
      <c r="IA37" s="898"/>
      <c r="IB37" s="898"/>
      <c r="IC37" s="898"/>
      <c r="ID37" s="898"/>
      <c r="IE37" s="898"/>
      <c r="IF37" s="898"/>
      <c r="IG37" s="898"/>
      <c r="IH37" s="898"/>
      <c r="II37" s="898"/>
      <c r="IJ37" s="898"/>
      <c r="IK37" s="898"/>
      <c r="IL37" s="898"/>
      <c r="IM37" s="898"/>
      <c r="IN37" s="898"/>
      <c r="IO37" s="898"/>
      <c r="IP37" s="898"/>
      <c r="IQ37" s="898"/>
      <c r="IR37" s="898"/>
      <c r="IS37" s="898"/>
    </row>
    <row r="38" spans="1:253" s="920" customFormat="1" ht="18" x14ac:dyDescent="0.25">
      <c r="A38" s="915"/>
      <c r="B38" s="1655" t="s">
        <v>12</v>
      </c>
      <c r="C38" s="1655"/>
      <c r="D38" s="916">
        <f>SUM(D36:D37)</f>
        <v>2540000</v>
      </c>
      <c r="E38" s="916">
        <f>SUM(E36:E37)</f>
        <v>2068609</v>
      </c>
      <c r="F38" s="916">
        <f>SUM(F36:F37)</f>
        <v>2067768.28</v>
      </c>
      <c r="G38" s="917"/>
      <c r="H38" s="917"/>
      <c r="I38" s="918" t="s">
        <v>625</v>
      </c>
      <c r="J38" s="893">
        <f t="shared" si="1"/>
        <v>863600.00000000012</v>
      </c>
      <c r="K38" s="918" t="s">
        <v>626</v>
      </c>
      <c r="L38" s="893">
        <f t="shared" si="2"/>
        <v>1676400</v>
      </c>
      <c r="M38" s="894">
        <f t="shared" si="0"/>
        <v>2540000</v>
      </c>
      <c r="N38" s="919"/>
      <c r="O38" s="919"/>
      <c r="P38" s="919"/>
      <c r="Q38" s="919"/>
      <c r="R38" s="919"/>
      <c r="S38" s="919"/>
      <c r="T38" s="919"/>
      <c r="U38" s="919"/>
      <c r="V38" s="919"/>
      <c r="W38" s="919"/>
      <c r="X38" s="919"/>
      <c r="Y38" s="919"/>
      <c r="Z38" s="919"/>
      <c r="AA38" s="919"/>
      <c r="AB38" s="919"/>
      <c r="AC38" s="919"/>
      <c r="AD38" s="919"/>
      <c r="AE38" s="919"/>
      <c r="AF38" s="919"/>
      <c r="AG38" s="919"/>
      <c r="AH38" s="919"/>
      <c r="AI38" s="919"/>
      <c r="AJ38" s="919"/>
      <c r="AK38" s="919"/>
      <c r="AL38" s="919"/>
      <c r="AM38" s="919"/>
      <c r="AN38" s="919"/>
      <c r="AO38" s="919"/>
      <c r="AP38" s="919"/>
      <c r="AQ38" s="919"/>
      <c r="AR38" s="919"/>
      <c r="AS38" s="919"/>
      <c r="AT38" s="919"/>
      <c r="AU38" s="919"/>
      <c r="AV38" s="919"/>
      <c r="AW38" s="919"/>
      <c r="AX38" s="919"/>
      <c r="AY38" s="919"/>
      <c r="AZ38" s="919"/>
      <c r="BA38" s="919"/>
      <c r="BB38" s="919"/>
      <c r="BC38" s="919"/>
      <c r="BD38" s="919"/>
      <c r="BE38" s="919"/>
      <c r="BF38" s="919"/>
      <c r="BG38" s="919"/>
      <c r="BH38" s="919"/>
      <c r="BI38" s="919"/>
      <c r="BJ38" s="919"/>
      <c r="BK38" s="919"/>
      <c r="BL38" s="919"/>
      <c r="BM38" s="919"/>
      <c r="BN38" s="919"/>
      <c r="BO38" s="919"/>
      <c r="BP38" s="919"/>
      <c r="BQ38" s="919"/>
      <c r="BR38" s="919"/>
      <c r="BS38" s="919"/>
      <c r="BT38" s="919"/>
      <c r="BU38" s="919"/>
      <c r="BV38" s="919"/>
      <c r="BW38" s="919"/>
      <c r="BX38" s="919"/>
      <c r="BY38" s="919"/>
      <c r="BZ38" s="919"/>
      <c r="CA38" s="919"/>
      <c r="CB38" s="919"/>
      <c r="CC38" s="919"/>
      <c r="CD38" s="919"/>
      <c r="CE38" s="919"/>
      <c r="CF38" s="919"/>
      <c r="CG38" s="919"/>
      <c r="CH38" s="919"/>
      <c r="CI38" s="919"/>
      <c r="CJ38" s="919"/>
      <c r="CK38" s="919"/>
      <c r="CL38" s="919"/>
      <c r="CM38" s="919"/>
      <c r="CN38" s="919"/>
      <c r="CO38" s="919"/>
      <c r="CP38" s="919"/>
      <c r="CQ38" s="919"/>
      <c r="CR38" s="919"/>
      <c r="CS38" s="919"/>
      <c r="CT38" s="919"/>
      <c r="CU38" s="919"/>
      <c r="CV38" s="919"/>
      <c r="CW38" s="919"/>
      <c r="CX38" s="919"/>
      <c r="CY38" s="919"/>
      <c r="CZ38" s="919"/>
      <c r="DA38" s="919"/>
      <c r="DB38" s="919"/>
      <c r="DC38" s="919"/>
      <c r="DD38" s="919"/>
      <c r="DE38" s="919"/>
      <c r="DF38" s="919"/>
      <c r="DG38" s="919"/>
      <c r="DH38" s="919"/>
      <c r="DI38" s="919"/>
      <c r="DJ38" s="919"/>
      <c r="DK38" s="919"/>
      <c r="DL38" s="919"/>
      <c r="DM38" s="919"/>
      <c r="DN38" s="919"/>
      <c r="DO38" s="919"/>
      <c r="DP38" s="919"/>
      <c r="DQ38" s="919"/>
      <c r="DR38" s="919"/>
      <c r="DS38" s="919"/>
      <c r="DT38" s="919"/>
      <c r="DU38" s="919"/>
      <c r="DV38" s="919"/>
      <c r="DW38" s="919"/>
      <c r="DX38" s="919"/>
      <c r="DY38" s="919"/>
      <c r="DZ38" s="919"/>
      <c r="EA38" s="919"/>
      <c r="EB38" s="919"/>
      <c r="EC38" s="919"/>
      <c r="ED38" s="919"/>
      <c r="EE38" s="919"/>
      <c r="EF38" s="919"/>
      <c r="EG38" s="919"/>
      <c r="EH38" s="919"/>
      <c r="EI38" s="919"/>
      <c r="EJ38" s="919"/>
      <c r="EK38" s="919"/>
      <c r="EL38" s="919"/>
      <c r="EM38" s="919"/>
      <c r="EN38" s="919"/>
      <c r="EO38" s="919"/>
      <c r="EP38" s="919"/>
      <c r="EQ38" s="919"/>
      <c r="ER38" s="919"/>
      <c r="ES38" s="919"/>
      <c r="ET38" s="919"/>
      <c r="EU38" s="919"/>
      <c r="EV38" s="919"/>
      <c r="EW38" s="919"/>
      <c r="EX38" s="919"/>
      <c r="EY38" s="919"/>
      <c r="EZ38" s="919"/>
      <c r="FA38" s="919"/>
      <c r="FB38" s="919"/>
      <c r="FC38" s="919"/>
      <c r="FD38" s="919"/>
      <c r="FE38" s="919"/>
      <c r="FF38" s="919"/>
      <c r="FG38" s="919"/>
      <c r="FH38" s="919"/>
      <c r="FI38" s="919"/>
      <c r="FJ38" s="919"/>
      <c r="FK38" s="919"/>
      <c r="FL38" s="919"/>
      <c r="FM38" s="919"/>
      <c r="FN38" s="919"/>
      <c r="FO38" s="919"/>
      <c r="FP38" s="919"/>
      <c r="FQ38" s="919"/>
      <c r="FR38" s="919"/>
      <c r="FS38" s="919"/>
      <c r="FT38" s="919"/>
      <c r="FU38" s="919"/>
      <c r="FV38" s="919"/>
      <c r="FW38" s="919"/>
      <c r="FX38" s="919"/>
      <c r="FY38" s="919"/>
      <c r="FZ38" s="919"/>
      <c r="GA38" s="919"/>
      <c r="GB38" s="919"/>
      <c r="GC38" s="919"/>
      <c r="GD38" s="919"/>
      <c r="GE38" s="919"/>
      <c r="GF38" s="919"/>
      <c r="GG38" s="919"/>
      <c r="GH38" s="919"/>
      <c r="GI38" s="919"/>
      <c r="GJ38" s="919"/>
      <c r="GK38" s="919"/>
      <c r="GL38" s="919"/>
      <c r="GM38" s="919"/>
      <c r="GN38" s="919"/>
      <c r="GO38" s="919"/>
      <c r="GP38" s="919"/>
      <c r="GQ38" s="919"/>
      <c r="GR38" s="919"/>
      <c r="GS38" s="919"/>
      <c r="GT38" s="919"/>
      <c r="GU38" s="919"/>
      <c r="GV38" s="919"/>
      <c r="GW38" s="919"/>
      <c r="GX38" s="919"/>
      <c r="GY38" s="919"/>
      <c r="GZ38" s="919"/>
      <c r="HA38" s="919"/>
      <c r="HB38" s="919"/>
      <c r="HC38" s="919"/>
      <c r="HD38" s="919"/>
      <c r="HE38" s="919"/>
      <c r="HF38" s="919"/>
      <c r="HG38" s="919"/>
      <c r="HH38" s="919"/>
      <c r="HI38" s="919"/>
      <c r="HJ38" s="919"/>
      <c r="HK38" s="919"/>
      <c r="HL38" s="919"/>
      <c r="HM38" s="919"/>
      <c r="HN38" s="919"/>
      <c r="HO38" s="919"/>
      <c r="HP38" s="919"/>
      <c r="HQ38" s="919"/>
      <c r="HR38" s="919"/>
      <c r="HS38" s="919"/>
      <c r="HT38" s="919"/>
      <c r="HU38" s="919"/>
      <c r="HV38" s="919"/>
      <c r="HW38" s="919"/>
      <c r="HX38" s="919"/>
      <c r="HY38" s="919"/>
      <c r="HZ38" s="919"/>
      <c r="IA38" s="919"/>
      <c r="IB38" s="919"/>
      <c r="IC38" s="919"/>
      <c r="ID38" s="919"/>
      <c r="IE38" s="919"/>
      <c r="IF38" s="919"/>
      <c r="IG38" s="919"/>
      <c r="IH38" s="919"/>
      <c r="II38" s="919"/>
      <c r="IJ38" s="919"/>
      <c r="IK38" s="919"/>
      <c r="IL38" s="919"/>
      <c r="IM38" s="919"/>
      <c r="IN38" s="919"/>
      <c r="IO38" s="919"/>
      <c r="IP38" s="919"/>
      <c r="IQ38" s="919"/>
      <c r="IR38" s="919"/>
      <c r="IS38" s="919"/>
    </row>
    <row r="39" spans="1:253" s="920" customFormat="1" ht="18" x14ac:dyDescent="0.25">
      <c r="A39" s="915"/>
      <c r="B39" s="910" t="s">
        <v>614</v>
      </c>
      <c r="C39" s="1320" t="s">
        <v>265</v>
      </c>
      <c r="D39" s="911">
        <v>0</v>
      </c>
      <c r="E39" s="911">
        <v>1295021</v>
      </c>
      <c r="F39" s="911">
        <v>1295021</v>
      </c>
      <c r="G39" s="917"/>
      <c r="H39" s="917"/>
      <c r="I39" s="918"/>
      <c r="J39" s="893"/>
      <c r="K39" s="918"/>
      <c r="L39" s="893"/>
      <c r="M39" s="894"/>
      <c r="N39" s="919"/>
      <c r="O39" s="919"/>
      <c r="P39" s="919"/>
      <c r="Q39" s="919"/>
      <c r="R39" s="919"/>
      <c r="S39" s="919"/>
      <c r="T39" s="919"/>
      <c r="U39" s="919"/>
      <c r="V39" s="919"/>
      <c r="W39" s="919"/>
      <c r="X39" s="919"/>
      <c r="Y39" s="919"/>
      <c r="Z39" s="919"/>
      <c r="AA39" s="919"/>
      <c r="AB39" s="919"/>
      <c r="AC39" s="919"/>
      <c r="AD39" s="919"/>
      <c r="AE39" s="919"/>
      <c r="AF39" s="919"/>
      <c r="AG39" s="919"/>
      <c r="AH39" s="919"/>
      <c r="AI39" s="919"/>
      <c r="AJ39" s="919"/>
      <c r="AK39" s="919"/>
      <c r="AL39" s="919"/>
      <c r="AM39" s="919"/>
      <c r="AN39" s="919"/>
      <c r="AO39" s="919"/>
      <c r="AP39" s="919"/>
      <c r="AQ39" s="919"/>
      <c r="AR39" s="919"/>
      <c r="AS39" s="919"/>
      <c r="AT39" s="919"/>
      <c r="AU39" s="919"/>
      <c r="AV39" s="919"/>
      <c r="AW39" s="919"/>
      <c r="AX39" s="919"/>
      <c r="AY39" s="919"/>
      <c r="AZ39" s="919"/>
      <c r="BA39" s="919"/>
      <c r="BB39" s="919"/>
      <c r="BC39" s="919"/>
      <c r="BD39" s="919"/>
      <c r="BE39" s="919"/>
      <c r="BF39" s="919"/>
      <c r="BG39" s="919"/>
      <c r="BH39" s="919"/>
      <c r="BI39" s="919"/>
      <c r="BJ39" s="919"/>
      <c r="BK39" s="919"/>
      <c r="BL39" s="919"/>
      <c r="BM39" s="919"/>
      <c r="BN39" s="919"/>
      <c r="BO39" s="919"/>
      <c r="BP39" s="919"/>
      <c r="BQ39" s="919"/>
      <c r="BR39" s="919"/>
      <c r="BS39" s="919"/>
      <c r="BT39" s="919"/>
      <c r="BU39" s="919"/>
      <c r="BV39" s="919"/>
      <c r="BW39" s="919"/>
      <c r="BX39" s="919"/>
      <c r="BY39" s="919"/>
      <c r="BZ39" s="919"/>
      <c r="CA39" s="919"/>
      <c r="CB39" s="919"/>
      <c r="CC39" s="919"/>
      <c r="CD39" s="919"/>
      <c r="CE39" s="919"/>
      <c r="CF39" s="919"/>
      <c r="CG39" s="919"/>
      <c r="CH39" s="919"/>
      <c r="CI39" s="919"/>
      <c r="CJ39" s="919"/>
      <c r="CK39" s="919"/>
      <c r="CL39" s="919"/>
      <c r="CM39" s="919"/>
      <c r="CN39" s="919"/>
      <c r="CO39" s="919"/>
      <c r="CP39" s="919"/>
      <c r="CQ39" s="919"/>
      <c r="CR39" s="919"/>
      <c r="CS39" s="919"/>
      <c r="CT39" s="919"/>
      <c r="CU39" s="919"/>
      <c r="CV39" s="919"/>
      <c r="CW39" s="919"/>
      <c r="CX39" s="919"/>
      <c r="CY39" s="919"/>
      <c r="CZ39" s="919"/>
      <c r="DA39" s="919"/>
      <c r="DB39" s="919"/>
      <c r="DC39" s="919"/>
      <c r="DD39" s="919"/>
      <c r="DE39" s="919"/>
      <c r="DF39" s="919"/>
      <c r="DG39" s="919"/>
      <c r="DH39" s="919"/>
      <c r="DI39" s="919"/>
      <c r="DJ39" s="919"/>
      <c r="DK39" s="919"/>
      <c r="DL39" s="919"/>
      <c r="DM39" s="919"/>
      <c r="DN39" s="919"/>
      <c r="DO39" s="919"/>
      <c r="DP39" s="919"/>
      <c r="DQ39" s="919"/>
      <c r="DR39" s="919"/>
      <c r="DS39" s="919"/>
      <c r="DT39" s="919"/>
      <c r="DU39" s="919"/>
      <c r="DV39" s="919"/>
      <c r="DW39" s="919"/>
      <c r="DX39" s="919"/>
      <c r="DY39" s="919"/>
      <c r="DZ39" s="919"/>
      <c r="EA39" s="919"/>
      <c r="EB39" s="919"/>
      <c r="EC39" s="919"/>
      <c r="ED39" s="919"/>
      <c r="EE39" s="919"/>
      <c r="EF39" s="919"/>
      <c r="EG39" s="919"/>
      <c r="EH39" s="919"/>
      <c r="EI39" s="919"/>
      <c r="EJ39" s="919"/>
      <c r="EK39" s="919"/>
      <c r="EL39" s="919"/>
      <c r="EM39" s="919"/>
      <c r="EN39" s="919"/>
      <c r="EO39" s="919"/>
      <c r="EP39" s="919"/>
      <c r="EQ39" s="919"/>
      <c r="ER39" s="919"/>
      <c r="ES39" s="919"/>
      <c r="ET39" s="919"/>
      <c r="EU39" s="919"/>
      <c r="EV39" s="919"/>
      <c r="EW39" s="919"/>
      <c r="EX39" s="919"/>
      <c r="EY39" s="919"/>
      <c r="EZ39" s="919"/>
      <c r="FA39" s="919"/>
      <c r="FB39" s="919"/>
      <c r="FC39" s="919"/>
      <c r="FD39" s="919"/>
      <c r="FE39" s="919"/>
      <c r="FF39" s="919"/>
      <c r="FG39" s="919"/>
      <c r="FH39" s="919"/>
      <c r="FI39" s="919"/>
      <c r="FJ39" s="919"/>
      <c r="FK39" s="919"/>
      <c r="FL39" s="919"/>
      <c r="FM39" s="919"/>
      <c r="FN39" s="919"/>
      <c r="FO39" s="919"/>
      <c r="FP39" s="919"/>
      <c r="FQ39" s="919"/>
      <c r="FR39" s="919"/>
      <c r="FS39" s="919"/>
      <c r="FT39" s="919"/>
      <c r="FU39" s="919"/>
      <c r="FV39" s="919"/>
      <c r="FW39" s="919"/>
      <c r="FX39" s="919"/>
      <c r="FY39" s="919"/>
      <c r="FZ39" s="919"/>
      <c r="GA39" s="919"/>
      <c r="GB39" s="919"/>
      <c r="GC39" s="919"/>
      <c r="GD39" s="919"/>
      <c r="GE39" s="919"/>
      <c r="GF39" s="919"/>
      <c r="GG39" s="919"/>
      <c r="GH39" s="919"/>
      <c r="GI39" s="919"/>
      <c r="GJ39" s="919"/>
      <c r="GK39" s="919"/>
      <c r="GL39" s="919"/>
      <c r="GM39" s="919"/>
      <c r="GN39" s="919"/>
      <c r="GO39" s="919"/>
      <c r="GP39" s="919"/>
      <c r="GQ39" s="919"/>
      <c r="GR39" s="919"/>
      <c r="GS39" s="919"/>
      <c r="GT39" s="919"/>
      <c r="GU39" s="919"/>
      <c r="GV39" s="919"/>
      <c r="GW39" s="919"/>
      <c r="GX39" s="919"/>
      <c r="GY39" s="919"/>
      <c r="GZ39" s="919"/>
      <c r="HA39" s="919"/>
      <c r="HB39" s="919"/>
      <c r="HC39" s="919"/>
      <c r="HD39" s="919"/>
      <c r="HE39" s="919"/>
      <c r="HF39" s="919"/>
      <c r="HG39" s="919"/>
      <c r="HH39" s="919"/>
      <c r="HI39" s="919"/>
      <c r="HJ39" s="919"/>
      <c r="HK39" s="919"/>
      <c r="HL39" s="919"/>
      <c r="HM39" s="919"/>
      <c r="HN39" s="919"/>
      <c r="HO39" s="919"/>
      <c r="HP39" s="919"/>
      <c r="HQ39" s="919"/>
      <c r="HR39" s="919"/>
      <c r="HS39" s="919"/>
      <c r="HT39" s="919"/>
      <c r="HU39" s="919"/>
      <c r="HV39" s="919"/>
      <c r="HW39" s="919"/>
      <c r="HX39" s="919"/>
      <c r="HY39" s="919"/>
      <c r="HZ39" s="919"/>
      <c r="IA39" s="919"/>
      <c r="IB39" s="919"/>
      <c r="IC39" s="919"/>
      <c r="ID39" s="919"/>
      <c r="IE39" s="919"/>
      <c r="IF39" s="919"/>
      <c r="IG39" s="919"/>
      <c r="IH39" s="919"/>
      <c r="II39" s="919"/>
      <c r="IJ39" s="919"/>
      <c r="IK39" s="919"/>
      <c r="IL39" s="919"/>
      <c r="IM39" s="919"/>
      <c r="IN39" s="919"/>
      <c r="IO39" s="919"/>
      <c r="IP39" s="919"/>
      <c r="IQ39" s="919"/>
      <c r="IR39" s="919"/>
      <c r="IS39" s="919"/>
    </row>
    <row r="40" spans="1:253" s="920" customFormat="1" ht="18" x14ac:dyDescent="0.25">
      <c r="A40" s="915"/>
      <c r="B40" s="910" t="s">
        <v>558</v>
      </c>
      <c r="C40" s="1320" t="s">
        <v>678</v>
      </c>
      <c r="D40" s="913">
        <v>0</v>
      </c>
      <c r="E40" s="913">
        <v>349671</v>
      </c>
      <c r="F40" s="913">
        <v>349656</v>
      </c>
      <c r="G40" s="917"/>
      <c r="H40" s="917"/>
      <c r="I40" s="918"/>
      <c r="J40" s="893"/>
      <c r="K40" s="918"/>
      <c r="L40" s="893"/>
      <c r="M40" s="894"/>
      <c r="N40" s="919"/>
      <c r="O40" s="919"/>
      <c r="P40" s="919"/>
      <c r="Q40" s="919"/>
      <c r="R40" s="919"/>
      <c r="S40" s="919"/>
      <c r="T40" s="919"/>
      <c r="U40" s="919"/>
      <c r="V40" s="919"/>
      <c r="W40" s="919"/>
      <c r="X40" s="919"/>
      <c r="Y40" s="919"/>
      <c r="Z40" s="919"/>
      <c r="AA40" s="919"/>
      <c r="AB40" s="919"/>
      <c r="AC40" s="919"/>
      <c r="AD40" s="919"/>
      <c r="AE40" s="919"/>
      <c r="AF40" s="919"/>
      <c r="AG40" s="919"/>
      <c r="AH40" s="919"/>
      <c r="AI40" s="919"/>
      <c r="AJ40" s="919"/>
      <c r="AK40" s="919"/>
      <c r="AL40" s="919"/>
      <c r="AM40" s="919"/>
      <c r="AN40" s="919"/>
      <c r="AO40" s="919"/>
      <c r="AP40" s="919"/>
      <c r="AQ40" s="919"/>
      <c r="AR40" s="919"/>
      <c r="AS40" s="919"/>
      <c r="AT40" s="919"/>
      <c r="AU40" s="919"/>
      <c r="AV40" s="919"/>
      <c r="AW40" s="919"/>
      <c r="AX40" s="919"/>
      <c r="AY40" s="919"/>
      <c r="AZ40" s="919"/>
      <c r="BA40" s="919"/>
      <c r="BB40" s="919"/>
      <c r="BC40" s="919"/>
      <c r="BD40" s="919"/>
      <c r="BE40" s="919"/>
      <c r="BF40" s="919"/>
      <c r="BG40" s="919"/>
      <c r="BH40" s="919"/>
      <c r="BI40" s="919"/>
      <c r="BJ40" s="919"/>
      <c r="BK40" s="919"/>
      <c r="BL40" s="919"/>
      <c r="BM40" s="919"/>
      <c r="BN40" s="919"/>
      <c r="BO40" s="919"/>
      <c r="BP40" s="919"/>
      <c r="BQ40" s="919"/>
      <c r="BR40" s="919"/>
      <c r="BS40" s="919"/>
      <c r="BT40" s="919"/>
      <c r="BU40" s="919"/>
      <c r="BV40" s="919"/>
      <c r="BW40" s="919"/>
      <c r="BX40" s="919"/>
      <c r="BY40" s="919"/>
      <c r="BZ40" s="919"/>
      <c r="CA40" s="919"/>
      <c r="CB40" s="919"/>
      <c r="CC40" s="919"/>
      <c r="CD40" s="919"/>
      <c r="CE40" s="919"/>
      <c r="CF40" s="919"/>
      <c r="CG40" s="919"/>
      <c r="CH40" s="919"/>
      <c r="CI40" s="919"/>
      <c r="CJ40" s="919"/>
      <c r="CK40" s="919"/>
      <c r="CL40" s="919"/>
      <c r="CM40" s="919"/>
      <c r="CN40" s="919"/>
      <c r="CO40" s="919"/>
      <c r="CP40" s="919"/>
      <c r="CQ40" s="919"/>
      <c r="CR40" s="919"/>
      <c r="CS40" s="919"/>
      <c r="CT40" s="919"/>
      <c r="CU40" s="919"/>
      <c r="CV40" s="919"/>
      <c r="CW40" s="919"/>
      <c r="CX40" s="919"/>
      <c r="CY40" s="919"/>
      <c r="CZ40" s="919"/>
      <c r="DA40" s="919"/>
      <c r="DB40" s="919"/>
      <c r="DC40" s="919"/>
      <c r="DD40" s="919"/>
      <c r="DE40" s="919"/>
      <c r="DF40" s="919"/>
      <c r="DG40" s="919"/>
      <c r="DH40" s="919"/>
      <c r="DI40" s="919"/>
      <c r="DJ40" s="919"/>
      <c r="DK40" s="919"/>
      <c r="DL40" s="919"/>
      <c r="DM40" s="919"/>
      <c r="DN40" s="919"/>
      <c r="DO40" s="919"/>
      <c r="DP40" s="919"/>
      <c r="DQ40" s="919"/>
      <c r="DR40" s="919"/>
      <c r="DS40" s="919"/>
      <c r="DT40" s="919"/>
      <c r="DU40" s="919"/>
      <c r="DV40" s="919"/>
      <c r="DW40" s="919"/>
      <c r="DX40" s="919"/>
      <c r="DY40" s="919"/>
      <c r="DZ40" s="919"/>
      <c r="EA40" s="919"/>
      <c r="EB40" s="919"/>
      <c r="EC40" s="919"/>
      <c r="ED40" s="919"/>
      <c r="EE40" s="919"/>
      <c r="EF40" s="919"/>
      <c r="EG40" s="919"/>
      <c r="EH40" s="919"/>
      <c r="EI40" s="919"/>
      <c r="EJ40" s="919"/>
      <c r="EK40" s="919"/>
      <c r="EL40" s="919"/>
      <c r="EM40" s="919"/>
      <c r="EN40" s="919"/>
      <c r="EO40" s="919"/>
      <c r="EP40" s="919"/>
      <c r="EQ40" s="919"/>
      <c r="ER40" s="919"/>
      <c r="ES40" s="919"/>
      <c r="ET40" s="919"/>
      <c r="EU40" s="919"/>
      <c r="EV40" s="919"/>
      <c r="EW40" s="919"/>
      <c r="EX40" s="919"/>
      <c r="EY40" s="919"/>
      <c r="EZ40" s="919"/>
      <c r="FA40" s="919"/>
      <c r="FB40" s="919"/>
      <c r="FC40" s="919"/>
      <c r="FD40" s="919"/>
      <c r="FE40" s="919"/>
      <c r="FF40" s="919"/>
      <c r="FG40" s="919"/>
      <c r="FH40" s="919"/>
      <c r="FI40" s="919"/>
      <c r="FJ40" s="919"/>
      <c r="FK40" s="919"/>
      <c r="FL40" s="919"/>
      <c r="FM40" s="919"/>
      <c r="FN40" s="919"/>
      <c r="FO40" s="919"/>
      <c r="FP40" s="919"/>
      <c r="FQ40" s="919"/>
      <c r="FR40" s="919"/>
      <c r="FS40" s="919"/>
      <c r="FT40" s="919"/>
      <c r="FU40" s="919"/>
      <c r="FV40" s="919"/>
      <c r="FW40" s="919"/>
      <c r="FX40" s="919"/>
      <c r="FY40" s="919"/>
      <c r="FZ40" s="919"/>
      <c r="GA40" s="919"/>
      <c r="GB40" s="919"/>
      <c r="GC40" s="919"/>
      <c r="GD40" s="919"/>
      <c r="GE40" s="919"/>
      <c r="GF40" s="919"/>
      <c r="GG40" s="919"/>
      <c r="GH40" s="919"/>
      <c r="GI40" s="919"/>
      <c r="GJ40" s="919"/>
      <c r="GK40" s="919"/>
      <c r="GL40" s="919"/>
      <c r="GM40" s="919"/>
      <c r="GN40" s="919"/>
      <c r="GO40" s="919"/>
      <c r="GP40" s="919"/>
      <c r="GQ40" s="919"/>
      <c r="GR40" s="919"/>
      <c r="GS40" s="919"/>
      <c r="GT40" s="919"/>
      <c r="GU40" s="919"/>
      <c r="GV40" s="919"/>
      <c r="GW40" s="919"/>
      <c r="GX40" s="919"/>
      <c r="GY40" s="919"/>
      <c r="GZ40" s="919"/>
      <c r="HA40" s="919"/>
      <c r="HB40" s="919"/>
      <c r="HC40" s="919"/>
      <c r="HD40" s="919"/>
      <c r="HE40" s="919"/>
      <c r="HF40" s="919"/>
      <c r="HG40" s="919"/>
      <c r="HH40" s="919"/>
      <c r="HI40" s="919"/>
      <c r="HJ40" s="919"/>
      <c r="HK40" s="919"/>
      <c r="HL40" s="919"/>
      <c r="HM40" s="919"/>
      <c r="HN40" s="919"/>
      <c r="HO40" s="919"/>
      <c r="HP40" s="919"/>
      <c r="HQ40" s="919"/>
      <c r="HR40" s="919"/>
      <c r="HS40" s="919"/>
      <c r="HT40" s="919"/>
      <c r="HU40" s="919"/>
      <c r="HV40" s="919"/>
      <c r="HW40" s="919"/>
      <c r="HX40" s="919"/>
      <c r="HY40" s="919"/>
      <c r="HZ40" s="919"/>
      <c r="IA40" s="919"/>
      <c r="IB40" s="919"/>
      <c r="IC40" s="919"/>
      <c r="ID40" s="919"/>
      <c r="IE40" s="919"/>
      <c r="IF40" s="919"/>
      <c r="IG40" s="919"/>
      <c r="IH40" s="919"/>
      <c r="II40" s="919"/>
      <c r="IJ40" s="919"/>
      <c r="IK40" s="919"/>
      <c r="IL40" s="919"/>
      <c r="IM40" s="919"/>
      <c r="IN40" s="919"/>
      <c r="IO40" s="919"/>
      <c r="IP40" s="919"/>
      <c r="IQ40" s="919"/>
      <c r="IR40" s="919"/>
      <c r="IS40" s="919"/>
    </row>
    <row r="41" spans="1:253" s="920" customFormat="1" ht="18" x14ac:dyDescent="0.25">
      <c r="A41" s="915"/>
      <c r="B41" s="1655" t="s">
        <v>11</v>
      </c>
      <c r="C41" s="1655"/>
      <c r="D41" s="916">
        <f>SUM(D39:D40)</f>
        <v>0</v>
      </c>
      <c r="E41" s="916">
        <f>SUM(E39:E40)</f>
        <v>1644692</v>
      </c>
      <c r="F41" s="916">
        <f>SUM(F39:F40)</f>
        <v>1644677</v>
      </c>
      <c r="G41" s="917"/>
      <c r="H41" s="917"/>
      <c r="I41" s="918"/>
      <c r="J41" s="893"/>
      <c r="K41" s="918"/>
      <c r="L41" s="893"/>
      <c r="M41" s="894"/>
      <c r="N41" s="919"/>
      <c r="O41" s="919"/>
      <c r="P41" s="919"/>
      <c r="Q41" s="919"/>
      <c r="R41" s="919"/>
      <c r="S41" s="919"/>
      <c r="T41" s="919"/>
      <c r="U41" s="919"/>
      <c r="V41" s="919"/>
      <c r="W41" s="919"/>
      <c r="X41" s="919"/>
      <c r="Y41" s="919"/>
      <c r="Z41" s="919"/>
      <c r="AA41" s="919"/>
      <c r="AB41" s="919"/>
      <c r="AC41" s="919"/>
      <c r="AD41" s="919"/>
      <c r="AE41" s="919"/>
      <c r="AF41" s="919"/>
      <c r="AG41" s="919"/>
      <c r="AH41" s="919"/>
      <c r="AI41" s="919"/>
      <c r="AJ41" s="919"/>
      <c r="AK41" s="919"/>
      <c r="AL41" s="919"/>
      <c r="AM41" s="919"/>
      <c r="AN41" s="919"/>
      <c r="AO41" s="919"/>
      <c r="AP41" s="919"/>
      <c r="AQ41" s="919"/>
      <c r="AR41" s="919"/>
      <c r="AS41" s="919"/>
      <c r="AT41" s="919"/>
      <c r="AU41" s="919"/>
      <c r="AV41" s="919"/>
      <c r="AW41" s="919"/>
      <c r="AX41" s="919"/>
      <c r="AY41" s="919"/>
      <c r="AZ41" s="919"/>
      <c r="BA41" s="919"/>
      <c r="BB41" s="919"/>
      <c r="BC41" s="919"/>
      <c r="BD41" s="919"/>
      <c r="BE41" s="919"/>
      <c r="BF41" s="919"/>
      <c r="BG41" s="919"/>
      <c r="BH41" s="919"/>
      <c r="BI41" s="919"/>
      <c r="BJ41" s="919"/>
      <c r="BK41" s="919"/>
      <c r="BL41" s="919"/>
      <c r="BM41" s="919"/>
      <c r="BN41" s="919"/>
      <c r="BO41" s="919"/>
      <c r="BP41" s="919"/>
      <c r="BQ41" s="919"/>
      <c r="BR41" s="919"/>
      <c r="BS41" s="919"/>
      <c r="BT41" s="919"/>
      <c r="BU41" s="919"/>
      <c r="BV41" s="919"/>
      <c r="BW41" s="919"/>
      <c r="BX41" s="919"/>
      <c r="BY41" s="919"/>
      <c r="BZ41" s="919"/>
      <c r="CA41" s="919"/>
      <c r="CB41" s="919"/>
      <c r="CC41" s="919"/>
      <c r="CD41" s="919"/>
      <c r="CE41" s="919"/>
      <c r="CF41" s="919"/>
      <c r="CG41" s="919"/>
      <c r="CH41" s="919"/>
      <c r="CI41" s="919"/>
      <c r="CJ41" s="919"/>
      <c r="CK41" s="919"/>
      <c r="CL41" s="919"/>
      <c r="CM41" s="919"/>
      <c r="CN41" s="919"/>
      <c r="CO41" s="919"/>
      <c r="CP41" s="919"/>
      <c r="CQ41" s="919"/>
      <c r="CR41" s="919"/>
      <c r="CS41" s="919"/>
      <c r="CT41" s="919"/>
      <c r="CU41" s="919"/>
      <c r="CV41" s="919"/>
      <c r="CW41" s="919"/>
      <c r="CX41" s="919"/>
      <c r="CY41" s="919"/>
      <c r="CZ41" s="919"/>
      <c r="DA41" s="919"/>
      <c r="DB41" s="919"/>
      <c r="DC41" s="919"/>
      <c r="DD41" s="919"/>
      <c r="DE41" s="919"/>
      <c r="DF41" s="919"/>
      <c r="DG41" s="919"/>
      <c r="DH41" s="919"/>
      <c r="DI41" s="919"/>
      <c r="DJ41" s="919"/>
      <c r="DK41" s="919"/>
      <c r="DL41" s="919"/>
      <c r="DM41" s="919"/>
      <c r="DN41" s="919"/>
      <c r="DO41" s="919"/>
      <c r="DP41" s="919"/>
      <c r="DQ41" s="919"/>
      <c r="DR41" s="919"/>
      <c r="DS41" s="919"/>
      <c r="DT41" s="919"/>
      <c r="DU41" s="919"/>
      <c r="DV41" s="919"/>
      <c r="DW41" s="919"/>
      <c r="DX41" s="919"/>
      <c r="DY41" s="919"/>
      <c r="DZ41" s="919"/>
      <c r="EA41" s="919"/>
      <c r="EB41" s="919"/>
      <c r="EC41" s="919"/>
      <c r="ED41" s="919"/>
      <c r="EE41" s="919"/>
      <c r="EF41" s="919"/>
      <c r="EG41" s="919"/>
      <c r="EH41" s="919"/>
      <c r="EI41" s="919"/>
      <c r="EJ41" s="919"/>
      <c r="EK41" s="919"/>
      <c r="EL41" s="919"/>
      <c r="EM41" s="919"/>
      <c r="EN41" s="919"/>
      <c r="EO41" s="919"/>
      <c r="EP41" s="919"/>
      <c r="EQ41" s="919"/>
      <c r="ER41" s="919"/>
      <c r="ES41" s="919"/>
      <c r="ET41" s="919"/>
      <c r="EU41" s="919"/>
      <c r="EV41" s="919"/>
      <c r="EW41" s="919"/>
      <c r="EX41" s="919"/>
      <c r="EY41" s="919"/>
      <c r="EZ41" s="919"/>
      <c r="FA41" s="919"/>
      <c r="FB41" s="919"/>
      <c r="FC41" s="919"/>
      <c r="FD41" s="919"/>
      <c r="FE41" s="919"/>
      <c r="FF41" s="919"/>
      <c r="FG41" s="919"/>
      <c r="FH41" s="919"/>
      <c r="FI41" s="919"/>
      <c r="FJ41" s="919"/>
      <c r="FK41" s="919"/>
      <c r="FL41" s="919"/>
      <c r="FM41" s="919"/>
      <c r="FN41" s="919"/>
      <c r="FO41" s="919"/>
      <c r="FP41" s="919"/>
      <c r="FQ41" s="919"/>
      <c r="FR41" s="919"/>
      <c r="FS41" s="919"/>
      <c r="FT41" s="919"/>
      <c r="FU41" s="919"/>
      <c r="FV41" s="919"/>
      <c r="FW41" s="919"/>
      <c r="FX41" s="919"/>
      <c r="FY41" s="919"/>
      <c r="FZ41" s="919"/>
      <c r="GA41" s="919"/>
      <c r="GB41" s="919"/>
      <c r="GC41" s="919"/>
      <c r="GD41" s="919"/>
      <c r="GE41" s="919"/>
      <c r="GF41" s="919"/>
      <c r="GG41" s="919"/>
      <c r="GH41" s="919"/>
      <c r="GI41" s="919"/>
      <c r="GJ41" s="919"/>
      <c r="GK41" s="919"/>
      <c r="GL41" s="919"/>
      <c r="GM41" s="919"/>
      <c r="GN41" s="919"/>
      <c r="GO41" s="919"/>
      <c r="GP41" s="919"/>
      <c r="GQ41" s="919"/>
      <c r="GR41" s="919"/>
      <c r="GS41" s="919"/>
      <c r="GT41" s="919"/>
      <c r="GU41" s="919"/>
      <c r="GV41" s="919"/>
      <c r="GW41" s="919"/>
      <c r="GX41" s="919"/>
      <c r="GY41" s="919"/>
      <c r="GZ41" s="919"/>
      <c r="HA41" s="919"/>
      <c r="HB41" s="919"/>
      <c r="HC41" s="919"/>
      <c r="HD41" s="919"/>
      <c r="HE41" s="919"/>
      <c r="HF41" s="919"/>
      <c r="HG41" s="919"/>
      <c r="HH41" s="919"/>
      <c r="HI41" s="919"/>
      <c r="HJ41" s="919"/>
      <c r="HK41" s="919"/>
      <c r="HL41" s="919"/>
      <c r="HM41" s="919"/>
      <c r="HN41" s="919"/>
      <c r="HO41" s="919"/>
      <c r="HP41" s="919"/>
      <c r="HQ41" s="919"/>
      <c r="HR41" s="919"/>
      <c r="HS41" s="919"/>
      <c r="HT41" s="919"/>
      <c r="HU41" s="919"/>
      <c r="HV41" s="919"/>
      <c r="HW41" s="919"/>
      <c r="HX41" s="919"/>
      <c r="HY41" s="919"/>
      <c r="HZ41" s="919"/>
      <c r="IA41" s="919"/>
      <c r="IB41" s="919"/>
      <c r="IC41" s="919"/>
      <c r="ID41" s="919"/>
      <c r="IE41" s="919"/>
      <c r="IF41" s="919"/>
      <c r="IG41" s="919"/>
      <c r="IH41" s="919"/>
      <c r="II41" s="919"/>
      <c r="IJ41" s="919"/>
      <c r="IK41" s="919"/>
      <c r="IL41" s="919"/>
      <c r="IM41" s="919"/>
      <c r="IN41" s="919"/>
      <c r="IO41" s="919"/>
      <c r="IP41" s="919"/>
      <c r="IQ41" s="919"/>
      <c r="IR41" s="919"/>
      <c r="IS41" s="919"/>
    </row>
    <row r="42" spans="1:253" ht="20.25" x14ac:dyDescent="0.3">
      <c r="A42" s="888"/>
      <c r="B42" s="1656" t="s">
        <v>73</v>
      </c>
      <c r="C42" s="1657"/>
      <c r="D42" s="921">
        <f>D35+D21+D20+D38-1+D41</f>
        <v>29167999.800000001</v>
      </c>
      <c r="E42" s="921">
        <f>E35+E21+E20+E38+E41</f>
        <v>24190902.68</v>
      </c>
      <c r="F42" s="921">
        <f>F35+F21+F20+F38+F41</f>
        <v>23302283.280000001</v>
      </c>
      <c r="G42" s="922">
        <f>SUM(D42-D13)</f>
        <v>-0.19999999925494194</v>
      </c>
      <c r="H42" s="922"/>
      <c r="I42" s="903" t="s">
        <v>625</v>
      </c>
      <c r="J42" s="893">
        <f t="shared" si="1"/>
        <v>9917119.9320000019</v>
      </c>
      <c r="K42" s="903" t="s">
        <v>626</v>
      </c>
      <c r="L42" s="893">
        <f t="shared" si="2"/>
        <v>19250879.868000001</v>
      </c>
      <c r="M42" s="894">
        <f t="shared" si="0"/>
        <v>29167999.800000004</v>
      </c>
    </row>
    <row r="43" spans="1:253" ht="27.75" customHeight="1" thickBot="1" x14ac:dyDescent="0.25">
      <c r="A43" s="883" t="s">
        <v>187</v>
      </c>
      <c r="B43" s="923" t="s">
        <v>643</v>
      </c>
      <c r="C43" s="924" t="s">
        <v>644</v>
      </c>
      <c r="D43" s="925"/>
      <c r="E43" s="925"/>
      <c r="F43" s="925"/>
      <c r="G43" s="926"/>
      <c r="H43" s="926"/>
      <c r="K43" s="927"/>
    </row>
    <row r="44" spans="1:253" ht="24.75" thickBot="1" x14ac:dyDescent="0.25">
      <c r="A44" s="885"/>
      <c r="B44" s="886" t="s">
        <v>645</v>
      </c>
      <c r="C44" s="886" t="s">
        <v>71</v>
      </c>
      <c r="D44" s="821" t="s">
        <v>569</v>
      </c>
      <c r="E44" s="226" t="s">
        <v>665</v>
      </c>
      <c r="F44" s="226" t="s">
        <v>666</v>
      </c>
      <c r="G44" s="887"/>
      <c r="H44" s="887"/>
    </row>
    <row r="45" spans="1:253" x14ac:dyDescent="0.2">
      <c r="A45" s="888"/>
      <c r="B45" s="889" t="s">
        <v>623</v>
      </c>
      <c r="C45" s="890" t="s">
        <v>624</v>
      </c>
      <c r="D45" s="891">
        <v>6300000</v>
      </c>
      <c r="E45" s="891">
        <v>7881859</v>
      </c>
      <c r="F45" s="891">
        <f>7464426-30695-11000</f>
        <v>7422731</v>
      </c>
      <c r="G45" s="892"/>
      <c r="H45" s="892"/>
    </row>
    <row r="46" spans="1:253" x14ac:dyDescent="0.2">
      <c r="A46" s="888"/>
      <c r="B46" s="889" t="s">
        <v>627</v>
      </c>
      <c r="C46" s="890" t="s">
        <v>628</v>
      </c>
      <c r="D46" s="891">
        <f>SUM(D45*0.27)</f>
        <v>1701000</v>
      </c>
      <c r="E46" s="891">
        <v>2062687</v>
      </c>
      <c r="F46" s="891">
        <v>2015388</v>
      </c>
      <c r="G46" s="892"/>
      <c r="H46" s="892"/>
      <c r="I46" s="898"/>
      <c r="J46" s="898"/>
      <c r="K46" s="898"/>
      <c r="L46" s="898"/>
      <c r="M46" s="898"/>
      <c r="N46" s="898"/>
      <c r="O46" s="898"/>
      <c r="P46" s="898"/>
      <c r="Q46" s="898"/>
      <c r="R46" s="898"/>
      <c r="S46" s="898"/>
      <c r="T46" s="898"/>
      <c r="U46" s="898"/>
      <c r="V46" s="898"/>
      <c r="W46" s="898"/>
      <c r="X46" s="898"/>
      <c r="Y46" s="898"/>
      <c r="Z46" s="898"/>
      <c r="AA46" s="898"/>
      <c r="AB46" s="898"/>
      <c r="AC46" s="898"/>
      <c r="AD46" s="898"/>
      <c r="AE46" s="898"/>
      <c r="AF46" s="898"/>
      <c r="AG46" s="898"/>
      <c r="AH46" s="898"/>
      <c r="AI46" s="898"/>
      <c r="AJ46" s="898"/>
      <c r="AK46" s="898"/>
      <c r="AL46" s="898"/>
      <c r="AM46" s="898"/>
      <c r="AN46" s="898"/>
      <c r="AO46" s="898"/>
      <c r="AP46" s="898"/>
      <c r="AQ46" s="898"/>
      <c r="AR46" s="898"/>
      <c r="AS46" s="898"/>
      <c r="AT46" s="898"/>
      <c r="AU46" s="898"/>
      <c r="AV46" s="898"/>
      <c r="AW46" s="898"/>
      <c r="AX46" s="898"/>
      <c r="AY46" s="898"/>
      <c r="AZ46" s="898"/>
      <c r="BA46" s="898"/>
      <c r="BB46" s="898"/>
      <c r="BC46" s="898"/>
      <c r="BD46" s="898"/>
      <c r="BE46" s="898"/>
      <c r="BF46" s="898"/>
      <c r="BG46" s="898"/>
      <c r="BH46" s="898"/>
      <c r="BI46" s="898"/>
      <c r="BJ46" s="898"/>
      <c r="BK46" s="898"/>
      <c r="BL46" s="898"/>
      <c r="BM46" s="898"/>
      <c r="BN46" s="898"/>
      <c r="BO46" s="898"/>
      <c r="BP46" s="898"/>
      <c r="BQ46" s="898"/>
      <c r="BR46" s="898"/>
      <c r="BS46" s="898"/>
      <c r="BT46" s="898"/>
      <c r="BU46" s="898"/>
      <c r="BV46" s="898"/>
      <c r="BW46" s="898"/>
      <c r="BX46" s="898"/>
      <c r="BY46" s="898"/>
      <c r="BZ46" s="898"/>
      <c r="CA46" s="898"/>
      <c r="CB46" s="898"/>
      <c r="CC46" s="898"/>
      <c r="CD46" s="898"/>
      <c r="CE46" s="898"/>
      <c r="CF46" s="898"/>
      <c r="CG46" s="898"/>
      <c r="CH46" s="898"/>
      <c r="CI46" s="898"/>
      <c r="CJ46" s="898"/>
      <c r="CK46" s="898"/>
      <c r="CL46" s="898"/>
      <c r="CM46" s="898"/>
      <c r="CN46" s="898"/>
      <c r="CO46" s="898"/>
      <c r="CP46" s="898"/>
      <c r="CQ46" s="898"/>
      <c r="CR46" s="898"/>
      <c r="CS46" s="898"/>
      <c r="CT46" s="898"/>
      <c r="CU46" s="898"/>
      <c r="CV46" s="898"/>
      <c r="CW46" s="898"/>
      <c r="CX46" s="898"/>
      <c r="CY46" s="898"/>
      <c r="CZ46" s="898"/>
      <c r="DA46" s="898"/>
      <c r="DB46" s="898"/>
      <c r="DC46" s="898"/>
      <c r="DD46" s="898"/>
      <c r="DE46" s="898"/>
      <c r="DF46" s="898"/>
      <c r="DG46" s="898"/>
      <c r="DH46" s="898"/>
      <c r="DI46" s="898"/>
      <c r="DJ46" s="898"/>
      <c r="DK46" s="898"/>
      <c r="DL46" s="898"/>
      <c r="DM46" s="898"/>
      <c r="DN46" s="898"/>
      <c r="DO46" s="898"/>
      <c r="DP46" s="898"/>
      <c r="DQ46" s="898"/>
      <c r="DR46" s="898"/>
      <c r="DS46" s="898"/>
      <c r="DT46" s="898"/>
      <c r="DU46" s="898"/>
      <c r="DV46" s="898"/>
      <c r="DW46" s="898"/>
      <c r="DX46" s="898"/>
      <c r="DY46" s="898"/>
      <c r="DZ46" s="898"/>
      <c r="EA46" s="898"/>
      <c r="EB46" s="898"/>
      <c r="EC46" s="898"/>
      <c r="ED46" s="898"/>
      <c r="EE46" s="898"/>
      <c r="EF46" s="898"/>
      <c r="EG46" s="898"/>
      <c r="EH46" s="898"/>
      <c r="EI46" s="898"/>
      <c r="EJ46" s="898"/>
      <c r="EK46" s="898"/>
      <c r="EL46" s="898"/>
      <c r="EM46" s="898"/>
      <c r="EN46" s="898"/>
      <c r="EO46" s="898"/>
      <c r="EP46" s="898"/>
      <c r="EQ46" s="898"/>
      <c r="ER46" s="898"/>
      <c r="ES46" s="898"/>
      <c r="ET46" s="898"/>
      <c r="EU46" s="898"/>
      <c r="EV46" s="898"/>
      <c r="EW46" s="898"/>
      <c r="EX46" s="898"/>
      <c r="EY46" s="898"/>
      <c r="EZ46" s="898"/>
      <c r="FA46" s="898"/>
      <c r="FB46" s="898"/>
      <c r="FC46" s="898"/>
      <c r="FD46" s="898"/>
      <c r="FE46" s="898"/>
      <c r="FF46" s="898"/>
      <c r="FG46" s="898"/>
      <c r="FH46" s="898"/>
      <c r="FI46" s="898"/>
      <c r="FJ46" s="898"/>
      <c r="FK46" s="898"/>
      <c r="FL46" s="898"/>
      <c r="FM46" s="898"/>
      <c r="FN46" s="898"/>
      <c r="FO46" s="898"/>
      <c r="FP46" s="898"/>
      <c r="FQ46" s="898"/>
      <c r="FR46" s="898"/>
      <c r="FS46" s="898"/>
      <c r="FT46" s="898"/>
      <c r="FU46" s="898"/>
      <c r="FV46" s="898"/>
      <c r="FW46" s="898"/>
      <c r="FX46" s="898"/>
      <c r="FY46" s="898"/>
      <c r="FZ46" s="898"/>
      <c r="GA46" s="898"/>
      <c r="GB46" s="898"/>
      <c r="GC46" s="898"/>
      <c r="GD46" s="898"/>
      <c r="GE46" s="898"/>
      <c r="GF46" s="898"/>
      <c r="GG46" s="898"/>
      <c r="GH46" s="898"/>
      <c r="GI46" s="898"/>
      <c r="GJ46" s="898"/>
      <c r="GK46" s="898"/>
      <c r="GL46" s="898"/>
      <c r="GM46" s="898"/>
      <c r="GN46" s="898"/>
      <c r="GO46" s="898"/>
      <c r="GP46" s="898"/>
      <c r="GQ46" s="898"/>
      <c r="GR46" s="898"/>
      <c r="GS46" s="898"/>
      <c r="GT46" s="898"/>
      <c r="GU46" s="898"/>
      <c r="GV46" s="898"/>
      <c r="GW46" s="898"/>
      <c r="GX46" s="898"/>
      <c r="GY46" s="898"/>
      <c r="GZ46" s="898"/>
      <c r="HA46" s="898"/>
      <c r="HB46" s="898"/>
      <c r="HC46" s="898"/>
      <c r="HD46" s="898"/>
      <c r="HE46" s="898"/>
      <c r="HF46" s="898"/>
      <c r="HG46" s="898"/>
      <c r="HH46" s="898"/>
      <c r="HI46" s="898"/>
      <c r="HJ46" s="898"/>
      <c r="HK46" s="898"/>
      <c r="HL46" s="898"/>
      <c r="HM46" s="898"/>
      <c r="HN46" s="898"/>
      <c r="HO46" s="898"/>
      <c r="HP46" s="898"/>
      <c r="HQ46" s="898"/>
      <c r="HR46" s="898"/>
      <c r="HS46" s="898"/>
      <c r="HT46" s="898"/>
      <c r="HU46" s="898"/>
      <c r="HV46" s="898"/>
      <c r="HW46" s="898"/>
      <c r="HX46" s="898"/>
      <c r="HY46" s="898"/>
      <c r="HZ46" s="898"/>
      <c r="IA46" s="898"/>
      <c r="IB46" s="898"/>
      <c r="IC46" s="898"/>
      <c r="ID46" s="898"/>
      <c r="IE46" s="898"/>
      <c r="IF46" s="898"/>
      <c r="IG46" s="898"/>
      <c r="IH46" s="898"/>
      <c r="II46" s="898"/>
      <c r="IJ46" s="898"/>
      <c r="IK46" s="898"/>
      <c r="IL46" s="898"/>
      <c r="IM46" s="898"/>
      <c r="IN46" s="898"/>
      <c r="IO46" s="898"/>
      <c r="IP46" s="898"/>
      <c r="IQ46" s="898"/>
      <c r="IR46" s="898"/>
      <c r="IS46" s="898"/>
    </row>
    <row r="47" spans="1:253" x14ac:dyDescent="0.2">
      <c r="A47" s="888"/>
      <c r="B47" s="904" t="s">
        <v>517</v>
      </c>
      <c r="C47" s="890" t="s">
        <v>676</v>
      </c>
      <c r="D47" s="891"/>
      <c r="E47" s="891">
        <v>524</v>
      </c>
      <c r="F47" s="891">
        <f>524+2672</f>
        <v>3196</v>
      </c>
      <c r="G47" s="892"/>
      <c r="H47" s="892"/>
      <c r="I47" s="898"/>
      <c r="J47" s="898"/>
      <c r="K47" s="898"/>
      <c r="L47" s="898"/>
      <c r="M47" s="898"/>
      <c r="N47" s="898"/>
      <c r="O47" s="898"/>
      <c r="P47" s="898"/>
      <c r="Q47" s="898"/>
      <c r="R47" s="898"/>
      <c r="S47" s="898"/>
      <c r="T47" s="898"/>
      <c r="U47" s="898"/>
      <c r="V47" s="898"/>
      <c r="W47" s="898"/>
      <c r="X47" s="898"/>
      <c r="Y47" s="898"/>
      <c r="Z47" s="898"/>
      <c r="AA47" s="898"/>
      <c r="AB47" s="898"/>
      <c r="AC47" s="898"/>
      <c r="AD47" s="898"/>
      <c r="AE47" s="898"/>
      <c r="AF47" s="898"/>
      <c r="AG47" s="898"/>
      <c r="AH47" s="898"/>
      <c r="AI47" s="898"/>
      <c r="AJ47" s="898"/>
      <c r="AK47" s="898"/>
      <c r="AL47" s="898"/>
      <c r="AM47" s="898"/>
      <c r="AN47" s="898"/>
      <c r="AO47" s="898"/>
      <c r="AP47" s="898"/>
      <c r="AQ47" s="898"/>
      <c r="AR47" s="898"/>
      <c r="AS47" s="898"/>
      <c r="AT47" s="898"/>
      <c r="AU47" s="898"/>
      <c r="AV47" s="898"/>
      <c r="AW47" s="898"/>
      <c r="AX47" s="898"/>
      <c r="AY47" s="898"/>
      <c r="AZ47" s="898"/>
      <c r="BA47" s="898"/>
      <c r="BB47" s="898"/>
      <c r="BC47" s="898"/>
      <c r="BD47" s="898"/>
      <c r="BE47" s="898"/>
      <c r="BF47" s="898"/>
      <c r="BG47" s="898"/>
      <c r="BH47" s="898"/>
      <c r="BI47" s="898"/>
      <c r="BJ47" s="898"/>
      <c r="BK47" s="898"/>
      <c r="BL47" s="898"/>
      <c r="BM47" s="898"/>
      <c r="BN47" s="898"/>
      <c r="BO47" s="898"/>
      <c r="BP47" s="898"/>
      <c r="BQ47" s="898"/>
      <c r="BR47" s="898"/>
      <c r="BS47" s="898"/>
      <c r="BT47" s="898"/>
      <c r="BU47" s="898"/>
      <c r="BV47" s="898"/>
      <c r="BW47" s="898"/>
      <c r="BX47" s="898"/>
      <c r="BY47" s="898"/>
      <c r="BZ47" s="898"/>
      <c r="CA47" s="898"/>
      <c r="CB47" s="898"/>
      <c r="CC47" s="898"/>
      <c r="CD47" s="898"/>
      <c r="CE47" s="898"/>
      <c r="CF47" s="898"/>
      <c r="CG47" s="898"/>
      <c r="CH47" s="898"/>
      <c r="CI47" s="898"/>
      <c r="CJ47" s="898"/>
      <c r="CK47" s="898"/>
      <c r="CL47" s="898"/>
      <c r="CM47" s="898"/>
      <c r="CN47" s="898"/>
      <c r="CO47" s="898"/>
      <c r="CP47" s="898"/>
      <c r="CQ47" s="898"/>
      <c r="CR47" s="898"/>
      <c r="CS47" s="898"/>
      <c r="CT47" s="898"/>
      <c r="CU47" s="898"/>
      <c r="CV47" s="898"/>
      <c r="CW47" s="898"/>
      <c r="CX47" s="898"/>
      <c r="CY47" s="898"/>
      <c r="CZ47" s="898"/>
      <c r="DA47" s="898"/>
      <c r="DB47" s="898"/>
      <c r="DC47" s="898"/>
      <c r="DD47" s="898"/>
      <c r="DE47" s="898"/>
      <c r="DF47" s="898"/>
      <c r="DG47" s="898"/>
      <c r="DH47" s="898"/>
      <c r="DI47" s="898"/>
      <c r="DJ47" s="898"/>
      <c r="DK47" s="898"/>
      <c r="DL47" s="898"/>
      <c r="DM47" s="898"/>
      <c r="DN47" s="898"/>
      <c r="DO47" s="898"/>
      <c r="DP47" s="898"/>
      <c r="DQ47" s="898"/>
      <c r="DR47" s="898"/>
      <c r="DS47" s="898"/>
      <c r="DT47" s="898"/>
      <c r="DU47" s="898"/>
      <c r="DV47" s="898"/>
      <c r="DW47" s="898"/>
      <c r="DX47" s="898"/>
      <c r="DY47" s="898"/>
      <c r="DZ47" s="898"/>
      <c r="EA47" s="898"/>
      <c r="EB47" s="898"/>
      <c r="EC47" s="898"/>
      <c r="ED47" s="898"/>
      <c r="EE47" s="898"/>
      <c r="EF47" s="898"/>
      <c r="EG47" s="898"/>
      <c r="EH47" s="898"/>
      <c r="EI47" s="898"/>
      <c r="EJ47" s="898"/>
      <c r="EK47" s="898"/>
      <c r="EL47" s="898"/>
      <c r="EM47" s="898"/>
      <c r="EN47" s="898"/>
      <c r="EO47" s="898"/>
      <c r="EP47" s="898"/>
      <c r="EQ47" s="898"/>
      <c r="ER47" s="898"/>
      <c r="ES47" s="898"/>
      <c r="ET47" s="898"/>
      <c r="EU47" s="898"/>
      <c r="EV47" s="898"/>
      <c r="EW47" s="898"/>
      <c r="EX47" s="898"/>
      <c r="EY47" s="898"/>
      <c r="EZ47" s="898"/>
      <c r="FA47" s="898"/>
      <c r="FB47" s="898"/>
      <c r="FC47" s="898"/>
      <c r="FD47" s="898"/>
      <c r="FE47" s="898"/>
      <c r="FF47" s="898"/>
      <c r="FG47" s="898"/>
      <c r="FH47" s="898"/>
      <c r="FI47" s="898"/>
      <c r="FJ47" s="898"/>
      <c r="FK47" s="898"/>
      <c r="FL47" s="898"/>
      <c r="FM47" s="898"/>
      <c r="FN47" s="898"/>
      <c r="FO47" s="898"/>
      <c r="FP47" s="898"/>
      <c r="FQ47" s="898"/>
      <c r="FR47" s="898"/>
      <c r="FS47" s="898"/>
      <c r="FT47" s="898"/>
      <c r="FU47" s="898"/>
      <c r="FV47" s="898"/>
      <c r="FW47" s="898"/>
      <c r="FX47" s="898"/>
      <c r="FY47" s="898"/>
      <c r="FZ47" s="898"/>
      <c r="GA47" s="898"/>
      <c r="GB47" s="898"/>
      <c r="GC47" s="898"/>
      <c r="GD47" s="898"/>
      <c r="GE47" s="898"/>
      <c r="GF47" s="898"/>
      <c r="GG47" s="898"/>
      <c r="GH47" s="898"/>
      <c r="GI47" s="898"/>
      <c r="GJ47" s="898"/>
      <c r="GK47" s="898"/>
      <c r="GL47" s="898"/>
      <c r="GM47" s="898"/>
      <c r="GN47" s="898"/>
      <c r="GO47" s="898"/>
      <c r="GP47" s="898"/>
      <c r="GQ47" s="898"/>
      <c r="GR47" s="898"/>
      <c r="GS47" s="898"/>
      <c r="GT47" s="898"/>
      <c r="GU47" s="898"/>
      <c r="GV47" s="898"/>
      <c r="GW47" s="898"/>
      <c r="GX47" s="898"/>
      <c r="GY47" s="898"/>
      <c r="GZ47" s="898"/>
      <c r="HA47" s="898"/>
      <c r="HB47" s="898"/>
      <c r="HC47" s="898"/>
      <c r="HD47" s="898"/>
      <c r="HE47" s="898"/>
      <c r="HF47" s="898"/>
      <c r="HG47" s="898"/>
      <c r="HH47" s="898"/>
      <c r="HI47" s="898"/>
      <c r="HJ47" s="898"/>
      <c r="HK47" s="898"/>
      <c r="HL47" s="898"/>
      <c r="HM47" s="898"/>
      <c r="HN47" s="898"/>
      <c r="HO47" s="898"/>
      <c r="HP47" s="898"/>
      <c r="HQ47" s="898"/>
      <c r="HR47" s="898"/>
      <c r="HS47" s="898"/>
      <c r="HT47" s="898"/>
      <c r="HU47" s="898"/>
      <c r="HV47" s="898"/>
      <c r="HW47" s="898"/>
      <c r="HX47" s="898"/>
      <c r="HY47" s="898"/>
      <c r="HZ47" s="898"/>
      <c r="IA47" s="898"/>
      <c r="IB47" s="898"/>
      <c r="IC47" s="898"/>
      <c r="ID47" s="898"/>
      <c r="IE47" s="898"/>
      <c r="IF47" s="898"/>
      <c r="IG47" s="898"/>
      <c r="IH47" s="898"/>
      <c r="II47" s="898"/>
      <c r="IJ47" s="898"/>
      <c r="IK47" s="898"/>
      <c r="IL47" s="898"/>
      <c r="IM47" s="898"/>
      <c r="IN47" s="898"/>
      <c r="IO47" s="898"/>
      <c r="IP47" s="898"/>
      <c r="IQ47" s="898"/>
      <c r="IR47" s="898"/>
      <c r="IS47" s="898"/>
    </row>
    <row r="48" spans="1:253" x14ac:dyDescent="0.2">
      <c r="A48" s="895"/>
      <c r="B48" s="1655" t="s">
        <v>20</v>
      </c>
      <c r="C48" s="1655"/>
      <c r="D48" s="896">
        <f>SUM(D45:D47)</f>
        <v>8001000</v>
      </c>
      <c r="E48" s="896">
        <f>SUM(E45:E47)</f>
        <v>9945070</v>
      </c>
      <c r="F48" s="896">
        <f>SUM(F45:F47)</f>
        <v>9441315</v>
      </c>
      <c r="G48" s="897"/>
      <c r="H48" s="897"/>
      <c r="L48" s="928"/>
    </row>
    <row r="49" spans="1:253" x14ac:dyDescent="0.2">
      <c r="A49" s="895"/>
      <c r="B49" s="899" t="s">
        <v>513</v>
      </c>
      <c r="C49" s="900" t="s">
        <v>956</v>
      </c>
      <c r="D49" s="891">
        <f>D79-D48</f>
        <v>4517999.870000001</v>
      </c>
      <c r="E49" s="891">
        <f>E79-E48</f>
        <v>1141394</v>
      </c>
      <c r="F49" s="891">
        <f>F79-F48</f>
        <v>1176915</v>
      </c>
      <c r="G49" s="891">
        <v>18585602</v>
      </c>
      <c r="H49" s="892"/>
      <c r="L49" s="928"/>
    </row>
    <row r="50" spans="1:253" x14ac:dyDescent="0.2">
      <c r="A50" s="895"/>
      <c r="B50" s="1655" t="s">
        <v>630</v>
      </c>
      <c r="C50" s="1655"/>
      <c r="D50" s="896">
        <f>SUM(D49)</f>
        <v>4517999.870000001</v>
      </c>
      <c r="E50" s="896">
        <f>SUM(E49)</f>
        <v>1141394</v>
      </c>
      <c r="F50" s="896">
        <f>SUM(F49)</f>
        <v>1176915</v>
      </c>
      <c r="G50" s="891">
        <f>800576+102000</f>
        <v>902576</v>
      </c>
      <c r="H50" s="897"/>
      <c r="L50" s="928"/>
    </row>
    <row r="51" spans="1:253" x14ac:dyDescent="0.2">
      <c r="A51" s="888"/>
      <c r="B51" s="1652" t="s">
        <v>74</v>
      </c>
      <c r="C51" s="1653"/>
      <c r="D51" s="901">
        <f>D48+D50</f>
        <v>12518999.870000001</v>
      </c>
      <c r="E51" s="901">
        <f>E48+E50</f>
        <v>11086464</v>
      </c>
      <c r="F51" s="901">
        <f>F48+F50</f>
        <v>10618230</v>
      </c>
      <c r="G51" s="902"/>
      <c r="H51" s="902"/>
    </row>
    <row r="52" spans="1:253" x14ac:dyDescent="0.2">
      <c r="A52" s="888"/>
      <c r="B52" s="889" t="s">
        <v>574</v>
      </c>
      <c r="C52" s="890" t="s">
        <v>521</v>
      </c>
      <c r="D52" s="891">
        <f>(12132000)*0.32+760</f>
        <v>3883000</v>
      </c>
      <c r="E52" s="891">
        <v>3956000</v>
      </c>
      <c r="F52" s="891">
        <v>3955209</v>
      </c>
      <c r="G52" s="892"/>
      <c r="H52" s="892"/>
    </row>
    <row r="53" spans="1:253" x14ac:dyDescent="0.2">
      <c r="A53" s="888"/>
      <c r="B53" s="904" t="s">
        <v>631</v>
      </c>
      <c r="C53" s="890" t="s">
        <v>632</v>
      </c>
      <c r="D53" s="891">
        <f>250000*0.32</f>
        <v>80000</v>
      </c>
      <c r="E53" s="891">
        <v>155000</v>
      </c>
      <c r="F53" s="891">
        <v>109820</v>
      </c>
      <c r="G53" s="892"/>
      <c r="H53" s="892"/>
    </row>
    <row r="54" spans="1:253" x14ac:dyDescent="0.2">
      <c r="A54" s="888"/>
      <c r="B54" s="889" t="s">
        <v>576</v>
      </c>
      <c r="C54" s="890" t="s">
        <v>85</v>
      </c>
      <c r="D54" s="891">
        <f>750000*0.32</f>
        <v>240000</v>
      </c>
      <c r="E54" s="891">
        <v>240300</v>
      </c>
      <c r="F54" s="891">
        <v>91008</v>
      </c>
      <c r="G54" s="892"/>
      <c r="H54" s="892"/>
    </row>
    <row r="55" spans="1:253" x14ac:dyDescent="0.2">
      <c r="A55" s="888"/>
      <c r="B55" s="889" t="s">
        <v>530</v>
      </c>
      <c r="C55" s="890" t="s">
        <v>86</v>
      </c>
      <c r="D55" s="891">
        <f>123000+0.32</f>
        <v>123000.32000000001</v>
      </c>
      <c r="E55" s="891">
        <v>78000</v>
      </c>
      <c r="F55" s="891">
        <v>40530</v>
      </c>
      <c r="G55" s="892"/>
      <c r="H55" s="892"/>
      <c r="I55" s="898"/>
      <c r="J55" s="898"/>
      <c r="K55" s="898"/>
      <c r="L55" s="898"/>
      <c r="M55" s="898"/>
      <c r="N55" s="898"/>
      <c r="O55" s="898"/>
      <c r="P55" s="898"/>
      <c r="Q55" s="898"/>
      <c r="R55" s="898"/>
      <c r="S55" s="898"/>
      <c r="T55" s="898"/>
      <c r="U55" s="898"/>
      <c r="V55" s="898"/>
      <c r="W55" s="898"/>
      <c r="X55" s="898"/>
      <c r="Y55" s="898"/>
      <c r="Z55" s="898"/>
      <c r="AA55" s="898"/>
      <c r="AB55" s="898"/>
      <c r="AC55" s="898"/>
      <c r="AD55" s="898"/>
      <c r="AE55" s="898"/>
      <c r="AF55" s="898"/>
      <c r="AG55" s="898"/>
      <c r="AH55" s="898"/>
      <c r="AI55" s="898"/>
      <c r="AJ55" s="898"/>
      <c r="AK55" s="898"/>
      <c r="AL55" s="898"/>
      <c r="AM55" s="898"/>
      <c r="AN55" s="898"/>
      <c r="AO55" s="898"/>
      <c r="AP55" s="898"/>
      <c r="AQ55" s="898"/>
      <c r="AR55" s="898"/>
      <c r="AS55" s="898"/>
      <c r="AT55" s="898"/>
      <c r="AU55" s="898"/>
      <c r="AV55" s="898"/>
      <c r="AW55" s="898"/>
      <c r="AX55" s="898"/>
      <c r="AY55" s="898"/>
      <c r="AZ55" s="898"/>
      <c r="BA55" s="898"/>
      <c r="BB55" s="898"/>
      <c r="BC55" s="898"/>
      <c r="BD55" s="898"/>
      <c r="BE55" s="898"/>
      <c r="BF55" s="898"/>
      <c r="BG55" s="898"/>
      <c r="BH55" s="898"/>
      <c r="BI55" s="898"/>
      <c r="BJ55" s="898"/>
      <c r="BK55" s="898"/>
      <c r="BL55" s="898"/>
      <c r="BM55" s="898"/>
      <c r="BN55" s="898"/>
      <c r="BO55" s="898"/>
      <c r="BP55" s="898"/>
      <c r="BQ55" s="898"/>
      <c r="BR55" s="898"/>
      <c r="BS55" s="898"/>
      <c r="BT55" s="898"/>
      <c r="BU55" s="898"/>
      <c r="BV55" s="898"/>
      <c r="BW55" s="898"/>
      <c r="BX55" s="898"/>
      <c r="BY55" s="898"/>
      <c r="BZ55" s="898"/>
      <c r="CA55" s="898"/>
      <c r="CB55" s="898"/>
      <c r="CC55" s="898"/>
      <c r="CD55" s="898"/>
      <c r="CE55" s="898"/>
      <c r="CF55" s="898"/>
      <c r="CG55" s="898"/>
      <c r="CH55" s="898"/>
      <c r="CI55" s="898"/>
      <c r="CJ55" s="898"/>
      <c r="CK55" s="898"/>
      <c r="CL55" s="898"/>
      <c r="CM55" s="898"/>
      <c r="CN55" s="898"/>
      <c r="CO55" s="898"/>
      <c r="CP55" s="898"/>
      <c r="CQ55" s="898"/>
      <c r="CR55" s="898"/>
      <c r="CS55" s="898"/>
      <c r="CT55" s="898"/>
      <c r="CU55" s="898"/>
      <c r="CV55" s="898"/>
      <c r="CW55" s="898"/>
      <c r="CX55" s="898"/>
      <c r="CY55" s="898"/>
      <c r="CZ55" s="898"/>
      <c r="DA55" s="898"/>
      <c r="DB55" s="898"/>
      <c r="DC55" s="898"/>
      <c r="DD55" s="898"/>
      <c r="DE55" s="898"/>
      <c r="DF55" s="898"/>
      <c r="DG55" s="898"/>
      <c r="DH55" s="898"/>
      <c r="DI55" s="898"/>
      <c r="DJ55" s="898"/>
      <c r="DK55" s="898"/>
      <c r="DL55" s="898"/>
      <c r="DM55" s="898"/>
      <c r="DN55" s="898"/>
      <c r="DO55" s="898"/>
      <c r="DP55" s="898"/>
      <c r="DQ55" s="898"/>
      <c r="DR55" s="898"/>
      <c r="DS55" s="898"/>
      <c r="DT55" s="898"/>
      <c r="DU55" s="898"/>
      <c r="DV55" s="898"/>
      <c r="DW55" s="898"/>
      <c r="DX55" s="898"/>
      <c r="DY55" s="898"/>
      <c r="DZ55" s="898"/>
      <c r="EA55" s="898"/>
      <c r="EB55" s="898"/>
      <c r="EC55" s="898"/>
      <c r="ED55" s="898"/>
      <c r="EE55" s="898"/>
      <c r="EF55" s="898"/>
      <c r="EG55" s="898"/>
      <c r="EH55" s="898"/>
      <c r="EI55" s="898"/>
      <c r="EJ55" s="898"/>
      <c r="EK55" s="898"/>
      <c r="EL55" s="898"/>
      <c r="EM55" s="898"/>
      <c r="EN55" s="898"/>
      <c r="EO55" s="898"/>
      <c r="EP55" s="898"/>
      <c r="EQ55" s="898"/>
      <c r="ER55" s="898"/>
      <c r="ES55" s="898"/>
      <c r="ET55" s="898"/>
      <c r="EU55" s="898"/>
      <c r="EV55" s="898"/>
      <c r="EW55" s="898"/>
      <c r="EX55" s="898"/>
      <c r="EY55" s="898"/>
      <c r="EZ55" s="898"/>
      <c r="FA55" s="898"/>
      <c r="FB55" s="898"/>
      <c r="FC55" s="898"/>
      <c r="FD55" s="898"/>
      <c r="FE55" s="898"/>
      <c r="FF55" s="898"/>
      <c r="FG55" s="898"/>
      <c r="FH55" s="898"/>
      <c r="FI55" s="898"/>
      <c r="FJ55" s="898"/>
      <c r="FK55" s="898"/>
      <c r="FL55" s="898"/>
      <c r="FM55" s="898"/>
      <c r="FN55" s="898"/>
      <c r="FO55" s="898"/>
      <c r="FP55" s="898"/>
      <c r="FQ55" s="898"/>
      <c r="FR55" s="898"/>
      <c r="FS55" s="898"/>
      <c r="FT55" s="898"/>
      <c r="FU55" s="898"/>
      <c r="FV55" s="898"/>
      <c r="FW55" s="898"/>
      <c r="FX55" s="898"/>
      <c r="FY55" s="898"/>
      <c r="FZ55" s="898"/>
      <c r="GA55" s="898"/>
      <c r="GB55" s="898"/>
      <c r="GC55" s="898"/>
      <c r="GD55" s="898"/>
      <c r="GE55" s="898"/>
      <c r="GF55" s="898"/>
      <c r="GG55" s="898"/>
      <c r="GH55" s="898"/>
      <c r="GI55" s="898"/>
      <c r="GJ55" s="898"/>
      <c r="GK55" s="898"/>
      <c r="GL55" s="898"/>
      <c r="GM55" s="898"/>
      <c r="GN55" s="898"/>
      <c r="GO55" s="898"/>
      <c r="GP55" s="898"/>
      <c r="GQ55" s="898"/>
      <c r="GR55" s="898"/>
      <c r="GS55" s="898"/>
      <c r="GT55" s="898"/>
      <c r="GU55" s="898"/>
      <c r="GV55" s="898"/>
      <c r="GW55" s="898"/>
      <c r="GX55" s="898"/>
      <c r="GY55" s="898"/>
      <c r="GZ55" s="898"/>
      <c r="HA55" s="898"/>
      <c r="HB55" s="898"/>
      <c r="HC55" s="898"/>
      <c r="HD55" s="898"/>
      <c r="HE55" s="898"/>
      <c r="HF55" s="898"/>
      <c r="HG55" s="898"/>
      <c r="HH55" s="898"/>
      <c r="HI55" s="898"/>
      <c r="HJ55" s="898"/>
      <c r="HK55" s="898"/>
      <c r="HL55" s="898"/>
      <c r="HM55" s="898"/>
      <c r="HN55" s="898"/>
      <c r="HO55" s="898"/>
      <c r="HP55" s="898"/>
      <c r="HQ55" s="898"/>
      <c r="HR55" s="898"/>
      <c r="HS55" s="898"/>
      <c r="HT55" s="898"/>
      <c r="HU55" s="898"/>
      <c r="HV55" s="898"/>
      <c r="HW55" s="898"/>
      <c r="HX55" s="898"/>
      <c r="HY55" s="898"/>
      <c r="HZ55" s="898"/>
      <c r="IA55" s="898"/>
      <c r="IB55" s="898"/>
      <c r="IC55" s="898"/>
      <c r="ID55" s="898"/>
      <c r="IE55" s="898"/>
      <c r="IF55" s="898"/>
      <c r="IG55" s="898"/>
      <c r="IH55" s="898"/>
      <c r="II55" s="898"/>
      <c r="IJ55" s="898"/>
      <c r="IK55" s="898"/>
      <c r="IL55" s="898"/>
      <c r="IM55" s="898"/>
      <c r="IN55" s="898"/>
      <c r="IO55" s="898"/>
      <c r="IP55" s="898"/>
      <c r="IQ55" s="898"/>
      <c r="IR55" s="898"/>
      <c r="IS55" s="898"/>
    </row>
    <row r="56" spans="1:253" x14ac:dyDescent="0.2">
      <c r="A56" s="888"/>
      <c r="B56" s="889" t="s">
        <v>577</v>
      </c>
      <c r="C56" s="890" t="s">
        <v>79</v>
      </c>
      <c r="D56" s="891">
        <f>72000*0.32+800+160</f>
        <v>24000</v>
      </c>
      <c r="E56" s="891">
        <f>72000*0.32+800+160</f>
        <v>24000</v>
      </c>
      <c r="F56" s="891">
        <v>19801</v>
      </c>
      <c r="G56" s="892"/>
      <c r="H56" s="892"/>
    </row>
    <row r="57" spans="1:253" x14ac:dyDescent="0.2">
      <c r="A57" s="895"/>
      <c r="B57" s="1654" t="s">
        <v>166</v>
      </c>
      <c r="C57" s="1654"/>
      <c r="D57" s="891">
        <f>SUM(D52:D56)</f>
        <v>4350000.32</v>
      </c>
      <c r="E57" s="891">
        <f>SUM(E52:E56)</f>
        <v>4453300</v>
      </c>
      <c r="F57" s="891">
        <f>SUM(F52:F56)</f>
        <v>4216368</v>
      </c>
      <c r="G57" s="892"/>
      <c r="H57" s="892"/>
    </row>
    <row r="58" spans="1:253" x14ac:dyDescent="0.2">
      <c r="A58" s="888"/>
      <c r="B58" s="905" t="s">
        <v>633</v>
      </c>
      <c r="C58" s="906" t="s">
        <v>94</v>
      </c>
      <c r="D58" s="891">
        <f>2323133*0.35+903</f>
        <v>813999.54999999993</v>
      </c>
      <c r="E58" s="891">
        <v>707000</v>
      </c>
      <c r="F58" s="891">
        <v>700426</v>
      </c>
      <c r="G58" s="892"/>
      <c r="H58" s="892"/>
    </row>
    <row r="59" spans="1:253" x14ac:dyDescent="0.2">
      <c r="A59" s="888"/>
      <c r="B59" s="889" t="s">
        <v>536</v>
      </c>
      <c r="C59" s="890" t="s">
        <v>634</v>
      </c>
      <c r="D59" s="891">
        <v>7000</v>
      </c>
      <c r="E59" s="891">
        <v>7000</v>
      </c>
      <c r="F59" s="891">
        <v>0</v>
      </c>
      <c r="G59" s="892"/>
      <c r="H59" s="892"/>
    </row>
    <row r="60" spans="1:253" x14ac:dyDescent="0.2">
      <c r="A60" s="888"/>
      <c r="B60" s="909" t="s">
        <v>537</v>
      </c>
      <c r="C60" s="890" t="s">
        <v>635</v>
      </c>
      <c r="D60" s="891">
        <f>4150000+150000</f>
        <v>4300000</v>
      </c>
      <c r="E60" s="891">
        <v>3369849</v>
      </c>
      <c r="F60" s="891">
        <v>3369849</v>
      </c>
      <c r="G60" s="892"/>
      <c r="H60" s="892"/>
    </row>
    <row r="61" spans="1:253" x14ac:dyDescent="0.2">
      <c r="A61" s="888"/>
      <c r="B61" s="889" t="s">
        <v>636</v>
      </c>
      <c r="C61" s="890" t="s">
        <v>637</v>
      </c>
      <c r="D61" s="1176">
        <f>3800000+150000</f>
        <v>3950000</v>
      </c>
      <c r="E61" s="1176">
        <v>2700000</v>
      </c>
      <c r="F61" s="1176">
        <v>2673769</v>
      </c>
      <c r="G61" s="892"/>
      <c r="H61" s="892"/>
    </row>
    <row r="62" spans="1:253" x14ac:dyDescent="0.2">
      <c r="A62" s="888"/>
      <c r="B62" s="889" t="s">
        <v>600</v>
      </c>
      <c r="C62" s="890" t="s">
        <v>184</v>
      </c>
      <c r="D62" s="891">
        <v>43000</v>
      </c>
      <c r="E62" s="891">
        <v>43000</v>
      </c>
      <c r="F62" s="891">
        <v>34675</v>
      </c>
      <c r="G62" s="892"/>
      <c r="H62" s="892"/>
    </row>
    <row r="63" spans="1:253" x14ac:dyDescent="0.2">
      <c r="A63" s="888"/>
      <c r="B63" s="889" t="s">
        <v>602</v>
      </c>
      <c r="C63" s="890" t="s">
        <v>89</v>
      </c>
      <c r="D63" s="891">
        <v>25000</v>
      </c>
      <c r="E63" s="891">
        <v>25000</v>
      </c>
      <c r="F63" s="891">
        <v>6551</v>
      </c>
      <c r="G63" s="892"/>
      <c r="H63" s="892"/>
    </row>
    <row r="64" spans="1:253" x14ac:dyDescent="0.2">
      <c r="A64" s="888"/>
      <c r="B64" s="889" t="s">
        <v>546</v>
      </c>
      <c r="C64" s="890" t="s">
        <v>638</v>
      </c>
      <c r="D64" s="891">
        <v>264000</v>
      </c>
      <c r="E64" s="891">
        <v>178851</v>
      </c>
      <c r="F64" s="891">
        <v>178851</v>
      </c>
      <c r="G64" s="892"/>
      <c r="H64" s="892"/>
    </row>
    <row r="65" spans="1:253" x14ac:dyDescent="0.2">
      <c r="A65" s="888"/>
      <c r="B65" s="889" t="s">
        <v>550</v>
      </c>
      <c r="C65" s="890" t="s">
        <v>90</v>
      </c>
      <c r="D65" s="891">
        <v>400000</v>
      </c>
      <c r="E65" s="891">
        <v>114300</v>
      </c>
      <c r="F65" s="891">
        <v>114155</v>
      </c>
      <c r="G65" s="892"/>
      <c r="H65" s="892"/>
      <c r="I65" s="898"/>
      <c r="J65" s="898"/>
      <c r="K65" s="898"/>
      <c r="L65" s="898"/>
      <c r="M65" s="898"/>
      <c r="N65" s="898"/>
      <c r="O65" s="898"/>
      <c r="P65" s="898"/>
      <c r="Q65" s="898"/>
      <c r="R65" s="898"/>
      <c r="S65" s="898"/>
      <c r="T65" s="898"/>
      <c r="U65" s="898"/>
      <c r="V65" s="898"/>
      <c r="W65" s="898"/>
      <c r="X65" s="898"/>
      <c r="Y65" s="898"/>
      <c r="Z65" s="898"/>
      <c r="AA65" s="898"/>
      <c r="AB65" s="898"/>
      <c r="AC65" s="898"/>
      <c r="AD65" s="898"/>
      <c r="AE65" s="898"/>
      <c r="AF65" s="898"/>
      <c r="AG65" s="898"/>
      <c r="AH65" s="898"/>
      <c r="AI65" s="898"/>
      <c r="AJ65" s="898"/>
      <c r="AK65" s="898"/>
      <c r="AL65" s="898"/>
      <c r="AM65" s="898"/>
      <c r="AN65" s="898"/>
      <c r="AO65" s="898"/>
      <c r="AP65" s="898"/>
      <c r="AQ65" s="898"/>
      <c r="AR65" s="898"/>
      <c r="AS65" s="898"/>
      <c r="AT65" s="898"/>
      <c r="AU65" s="898"/>
      <c r="AV65" s="898"/>
      <c r="AW65" s="898"/>
      <c r="AX65" s="898"/>
      <c r="AY65" s="898"/>
      <c r="AZ65" s="898"/>
      <c r="BA65" s="898"/>
      <c r="BB65" s="898"/>
      <c r="BC65" s="898"/>
      <c r="BD65" s="898"/>
      <c r="BE65" s="898"/>
      <c r="BF65" s="898"/>
      <c r="BG65" s="898"/>
      <c r="BH65" s="898"/>
      <c r="BI65" s="898"/>
      <c r="BJ65" s="898"/>
      <c r="BK65" s="898"/>
      <c r="BL65" s="898"/>
      <c r="BM65" s="898"/>
      <c r="BN65" s="898"/>
      <c r="BO65" s="898"/>
      <c r="BP65" s="898"/>
      <c r="BQ65" s="898"/>
      <c r="BR65" s="898"/>
      <c r="BS65" s="898"/>
      <c r="BT65" s="898"/>
      <c r="BU65" s="898"/>
      <c r="BV65" s="898"/>
      <c r="BW65" s="898"/>
      <c r="BX65" s="898"/>
      <c r="BY65" s="898"/>
      <c r="BZ65" s="898"/>
      <c r="CA65" s="898"/>
      <c r="CB65" s="898"/>
      <c r="CC65" s="898"/>
      <c r="CD65" s="898"/>
      <c r="CE65" s="898"/>
      <c r="CF65" s="898"/>
      <c r="CG65" s="898"/>
      <c r="CH65" s="898"/>
      <c r="CI65" s="898"/>
      <c r="CJ65" s="898"/>
      <c r="CK65" s="898"/>
      <c r="CL65" s="898"/>
      <c r="CM65" s="898"/>
      <c r="CN65" s="898"/>
      <c r="CO65" s="898"/>
      <c r="CP65" s="898"/>
      <c r="CQ65" s="898"/>
      <c r="CR65" s="898"/>
      <c r="CS65" s="898"/>
      <c r="CT65" s="898"/>
      <c r="CU65" s="898"/>
      <c r="CV65" s="898"/>
      <c r="CW65" s="898"/>
      <c r="CX65" s="898"/>
      <c r="CY65" s="898"/>
      <c r="CZ65" s="898"/>
      <c r="DA65" s="898"/>
      <c r="DB65" s="898"/>
      <c r="DC65" s="898"/>
      <c r="DD65" s="898"/>
      <c r="DE65" s="898"/>
      <c r="DF65" s="898"/>
      <c r="DG65" s="898"/>
      <c r="DH65" s="898"/>
      <c r="DI65" s="898"/>
      <c r="DJ65" s="898"/>
      <c r="DK65" s="898"/>
      <c r="DL65" s="898"/>
      <c r="DM65" s="898"/>
      <c r="DN65" s="898"/>
      <c r="DO65" s="898"/>
      <c r="DP65" s="898"/>
      <c r="DQ65" s="898"/>
      <c r="DR65" s="898"/>
      <c r="DS65" s="898"/>
      <c r="DT65" s="898"/>
      <c r="DU65" s="898"/>
      <c r="DV65" s="898"/>
      <c r="DW65" s="898"/>
      <c r="DX65" s="898"/>
      <c r="DY65" s="898"/>
      <c r="DZ65" s="898"/>
      <c r="EA65" s="898"/>
      <c r="EB65" s="898"/>
      <c r="EC65" s="898"/>
      <c r="ED65" s="898"/>
      <c r="EE65" s="898"/>
      <c r="EF65" s="898"/>
      <c r="EG65" s="898"/>
      <c r="EH65" s="898"/>
      <c r="EI65" s="898"/>
      <c r="EJ65" s="898"/>
      <c r="EK65" s="898"/>
      <c r="EL65" s="898"/>
      <c r="EM65" s="898"/>
      <c r="EN65" s="898"/>
      <c r="EO65" s="898"/>
      <c r="EP65" s="898"/>
      <c r="EQ65" s="898"/>
      <c r="ER65" s="898"/>
      <c r="ES65" s="898"/>
      <c r="ET65" s="898"/>
      <c r="EU65" s="898"/>
      <c r="EV65" s="898"/>
      <c r="EW65" s="898"/>
      <c r="EX65" s="898"/>
      <c r="EY65" s="898"/>
      <c r="EZ65" s="898"/>
      <c r="FA65" s="898"/>
      <c r="FB65" s="898"/>
      <c r="FC65" s="898"/>
      <c r="FD65" s="898"/>
      <c r="FE65" s="898"/>
      <c r="FF65" s="898"/>
      <c r="FG65" s="898"/>
      <c r="FH65" s="898"/>
      <c r="FI65" s="898"/>
      <c r="FJ65" s="898"/>
      <c r="FK65" s="898"/>
      <c r="FL65" s="898"/>
      <c r="FM65" s="898"/>
      <c r="FN65" s="898"/>
      <c r="FO65" s="898"/>
      <c r="FP65" s="898"/>
      <c r="FQ65" s="898"/>
      <c r="FR65" s="898"/>
      <c r="FS65" s="898"/>
      <c r="FT65" s="898"/>
      <c r="FU65" s="898"/>
      <c r="FV65" s="898"/>
      <c r="FW65" s="898"/>
      <c r="FX65" s="898"/>
      <c r="FY65" s="898"/>
      <c r="FZ65" s="898"/>
      <c r="GA65" s="898"/>
      <c r="GB65" s="898"/>
      <c r="GC65" s="898"/>
      <c r="GD65" s="898"/>
      <c r="GE65" s="898"/>
      <c r="GF65" s="898"/>
      <c r="GG65" s="898"/>
      <c r="GH65" s="898"/>
      <c r="GI65" s="898"/>
      <c r="GJ65" s="898"/>
      <c r="GK65" s="898"/>
      <c r="GL65" s="898"/>
      <c r="GM65" s="898"/>
      <c r="GN65" s="898"/>
      <c r="GO65" s="898"/>
      <c r="GP65" s="898"/>
      <c r="GQ65" s="898"/>
      <c r="GR65" s="898"/>
      <c r="GS65" s="898"/>
      <c r="GT65" s="898"/>
      <c r="GU65" s="898"/>
      <c r="GV65" s="898"/>
      <c r="GW65" s="898"/>
      <c r="GX65" s="898"/>
      <c r="GY65" s="898"/>
      <c r="GZ65" s="898"/>
      <c r="HA65" s="898"/>
      <c r="HB65" s="898"/>
      <c r="HC65" s="898"/>
      <c r="HD65" s="898"/>
      <c r="HE65" s="898"/>
      <c r="HF65" s="898"/>
      <c r="HG65" s="898"/>
      <c r="HH65" s="898"/>
      <c r="HI65" s="898"/>
      <c r="HJ65" s="898"/>
      <c r="HK65" s="898"/>
      <c r="HL65" s="898"/>
      <c r="HM65" s="898"/>
      <c r="HN65" s="898"/>
      <c r="HO65" s="898"/>
      <c r="HP65" s="898"/>
      <c r="HQ65" s="898"/>
      <c r="HR65" s="898"/>
      <c r="HS65" s="898"/>
      <c r="HT65" s="898"/>
      <c r="HU65" s="898"/>
      <c r="HV65" s="898"/>
      <c r="HW65" s="898"/>
      <c r="HX65" s="898"/>
      <c r="HY65" s="898"/>
      <c r="HZ65" s="898"/>
      <c r="IA65" s="898"/>
      <c r="IB65" s="898"/>
      <c r="IC65" s="898"/>
      <c r="ID65" s="898"/>
      <c r="IE65" s="898"/>
      <c r="IF65" s="898"/>
      <c r="IG65" s="898"/>
      <c r="IH65" s="898"/>
      <c r="II65" s="898"/>
      <c r="IJ65" s="898"/>
      <c r="IK65" s="898"/>
      <c r="IL65" s="898"/>
      <c r="IM65" s="898"/>
      <c r="IN65" s="898"/>
      <c r="IO65" s="898"/>
      <c r="IP65" s="898"/>
      <c r="IQ65" s="898"/>
      <c r="IR65" s="898"/>
      <c r="IS65" s="898"/>
    </row>
    <row r="66" spans="1:253" x14ac:dyDescent="0.2">
      <c r="A66" s="888"/>
      <c r="B66" s="889" t="s">
        <v>551</v>
      </c>
      <c r="C66" s="890" t="s">
        <v>603</v>
      </c>
      <c r="D66" s="891">
        <v>20000</v>
      </c>
      <c r="E66" s="891">
        <v>20000</v>
      </c>
      <c r="F66" s="891">
        <v>0</v>
      </c>
      <c r="G66" s="892"/>
      <c r="H66" s="892"/>
    </row>
    <row r="67" spans="1:253" x14ac:dyDescent="0.2">
      <c r="A67" s="888"/>
      <c r="B67" s="889" t="s">
        <v>606</v>
      </c>
      <c r="C67" s="890" t="s">
        <v>29</v>
      </c>
      <c r="D67" s="891">
        <v>230000</v>
      </c>
      <c r="E67" s="891">
        <v>274295</v>
      </c>
      <c r="F67" s="891">
        <v>271100</v>
      </c>
      <c r="G67" s="892"/>
      <c r="H67" s="892"/>
    </row>
    <row r="68" spans="1:253" x14ac:dyDescent="0.2">
      <c r="A68" s="888"/>
      <c r="B68" s="889" t="s">
        <v>555</v>
      </c>
      <c r="C68" s="890" t="s">
        <v>91</v>
      </c>
      <c r="D68" s="891">
        <v>0</v>
      </c>
      <c r="E68" s="891">
        <v>0</v>
      </c>
      <c r="F68" s="891">
        <v>0</v>
      </c>
      <c r="G68" s="892"/>
      <c r="H68" s="892"/>
    </row>
    <row r="69" spans="1:253" x14ac:dyDescent="0.2">
      <c r="A69" s="888"/>
      <c r="B69" s="889" t="s">
        <v>556</v>
      </c>
      <c r="C69" s="890" t="s">
        <v>557</v>
      </c>
      <c r="D69" s="891">
        <v>900000</v>
      </c>
      <c r="E69" s="891">
        <v>832222</v>
      </c>
      <c r="F69" s="891">
        <v>703855</v>
      </c>
      <c r="G69" s="892"/>
      <c r="H69" s="892"/>
      <c r="I69" s="898"/>
      <c r="J69" s="898"/>
      <c r="K69" s="898"/>
      <c r="L69" s="898"/>
      <c r="M69" s="898"/>
      <c r="N69" s="898"/>
      <c r="O69" s="898"/>
      <c r="P69" s="898"/>
      <c r="Q69" s="898"/>
      <c r="R69" s="898"/>
      <c r="S69" s="898"/>
      <c r="T69" s="898"/>
      <c r="U69" s="898"/>
      <c r="V69" s="898"/>
      <c r="W69" s="898"/>
      <c r="X69" s="898"/>
      <c r="Y69" s="898"/>
      <c r="Z69" s="898"/>
      <c r="AA69" s="898"/>
      <c r="AB69" s="898"/>
      <c r="AC69" s="898"/>
      <c r="AD69" s="898"/>
      <c r="AE69" s="898"/>
      <c r="AF69" s="898"/>
      <c r="AG69" s="898"/>
      <c r="AH69" s="898"/>
      <c r="AI69" s="898"/>
      <c r="AJ69" s="898"/>
      <c r="AK69" s="898"/>
      <c r="AL69" s="898"/>
      <c r="AM69" s="898"/>
      <c r="AN69" s="898"/>
      <c r="AO69" s="898"/>
      <c r="AP69" s="898"/>
      <c r="AQ69" s="898"/>
      <c r="AR69" s="898"/>
      <c r="AS69" s="898"/>
      <c r="AT69" s="898"/>
      <c r="AU69" s="898"/>
      <c r="AV69" s="898"/>
      <c r="AW69" s="898"/>
      <c r="AX69" s="898"/>
      <c r="AY69" s="898"/>
      <c r="AZ69" s="898"/>
      <c r="BA69" s="898"/>
      <c r="BB69" s="898"/>
      <c r="BC69" s="898"/>
      <c r="BD69" s="898"/>
      <c r="BE69" s="898"/>
      <c r="BF69" s="898"/>
      <c r="BG69" s="898"/>
      <c r="BH69" s="898"/>
      <c r="BI69" s="898"/>
      <c r="BJ69" s="898"/>
      <c r="BK69" s="898"/>
      <c r="BL69" s="898"/>
      <c r="BM69" s="898"/>
      <c r="BN69" s="898"/>
      <c r="BO69" s="898"/>
      <c r="BP69" s="898"/>
      <c r="BQ69" s="898"/>
      <c r="BR69" s="898"/>
      <c r="BS69" s="898"/>
      <c r="BT69" s="898"/>
      <c r="BU69" s="898"/>
      <c r="BV69" s="898"/>
      <c r="BW69" s="898"/>
      <c r="BX69" s="898"/>
      <c r="BY69" s="898"/>
      <c r="BZ69" s="898"/>
      <c r="CA69" s="898"/>
      <c r="CB69" s="898"/>
      <c r="CC69" s="898"/>
      <c r="CD69" s="898"/>
      <c r="CE69" s="898"/>
      <c r="CF69" s="898"/>
      <c r="CG69" s="898"/>
      <c r="CH69" s="898"/>
      <c r="CI69" s="898"/>
      <c r="CJ69" s="898"/>
      <c r="CK69" s="898"/>
      <c r="CL69" s="898"/>
      <c r="CM69" s="898"/>
      <c r="CN69" s="898"/>
      <c r="CO69" s="898"/>
      <c r="CP69" s="898"/>
      <c r="CQ69" s="898"/>
      <c r="CR69" s="898"/>
      <c r="CS69" s="898"/>
      <c r="CT69" s="898"/>
      <c r="CU69" s="898"/>
      <c r="CV69" s="898"/>
      <c r="CW69" s="898"/>
      <c r="CX69" s="898"/>
      <c r="CY69" s="898"/>
      <c r="CZ69" s="898"/>
      <c r="DA69" s="898"/>
      <c r="DB69" s="898"/>
      <c r="DC69" s="898"/>
      <c r="DD69" s="898"/>
      <c r="DE69" s="898"/>
      <c r="DF69" s="898"/>
      <c r="DG69" s="898"/>
      <c r="DH69" s="898"/>
      <c r="DI69" s="898"/>
      <c r="DJ69" s="898"/>
      <c r="DK69" s="898"/>
      <c r="DL69" s="898"/>
      <c r="DM69" s="898"/>
      <c r="DN69" s="898"/>
      <c r="DO69" s="898"/>
      <c r="DP69" s="898"/>
      <c r="DQ69" s="898"/>
      <c r="DR69" s="898"/>
      <c r="DS69" s="898"/>
      <c r="DT69" s="898"/>
      <c r="DU69" s="898"/>
      <c r="DV69" s="898"/>
      <c r="DW69" s="898"/>
      <c r="DX69" s="898"/>
      <c r="DY69" s="898"/>
      <c r="DZ69" s="898"/>
      <c r="EA69" s="898"/>
      <c r="EB69" s="898"/>
      <c r="EC69" s="898"/>
      <c r="ED69" s="898"/>
      <c r="EE69" s="898"/>
      <c r="EF69" s="898"/>
      <c r="EG69" s="898"/>
      <c r="EH69" s="898"/>
      <c r="EI69" s="898"/>
      <c r="EJ69" s="898"/>
      <c r="EK69" s="898"/>
      <c r="EL69" s="898"/>
      <c r="EM69" s="898"/>
      <c r="EN69" s="898"/>
      <c r="EO69" s="898"/>
      <c r="EP69" s="898"/>
      <c r="EQ69" s="898"/>
      <c r="ER69" s="898"/>
      <c r="ES69" s="898"/>
      <c r="ET69" s="898"/>
      <c r="EU69" s="898"/>
      <c r="EV69" s="898"/>
      <c r="EW69" s="898"/>
      <c r="EX69" s="898"/>
      <c r="EY69" s="898"/>
      <c r="EZ69" s="898"/>
      <c r="FA69" s="898"/>
      <c r="FB69" s="898"/>
      <c r="FC69" s="898"/>
      <c r="FD69" s="898"/>
      <c r="FE69" s="898"/>
      <c r="FF69" s="898"/>
      <c r="FG69" s="898"/>
      <c r="FH69" s="898"/>
      <c r="FI69" s="898"/>
      <c r="FJ69" s="898"/>
      <c r="FK69" s="898"/>
      <c r="FL69" s="898"/>
      <c r="FM69" s="898"/>
      <c r="FN69" s="898"/>
      <c r="FO69" s="898"/>
      <c r="FP69" s="898"/>
      <c r="FQ69" s="898"/>
      <c r="FR69" s="898"/>
      <c r="FS69" s="898"/>
      <c r="FT69" s="898"/>
      <c r="FU69" s="898"/>
      <c r="FV69" s="898"/>
      <c r="FW69" s="898"/>
      <c r="FX69" s="898"/>
      <c r="FY69" s="898"/>
      <c r="FZ69" s="898"/>
      <c r="GA69" s="898"/>
      <c r="GB69" s="898"/>
      <c r="GC69" s="898"/>
      <c r="GD69" s="898"/>
      <c r="GE69" s="898"/>
      <c r="GF69" s="898"/>
      <c r="GG69" s="898"/>
      <c r="GH69" s="898"/>
      <c r="GI69" s="898"/>
      <c r="GJ69" s="898"/>
      <c r="GK69" s="898"/>
      <c r="GL69" s="898"/>
      <c r="GM69" s="898"/>
      <c r="GN69" s="898"/>
      <c r="GO69" s="898"/>
      <c r="GP69" s="898"/>
      <c r="GQ69" s="898"/>
      <c r="GR69" s="898"/>
      <c r="GS69" s="898"/>
      <c r="GT69" s="898"/>
      <c r="GU69" s="898"/>
      <c r="GV69" s="898"/>
      <c r="GW69" s="898"/>
      <c r="GX69" s="898"/>
      <c r="GY69" s="898"/>
      <c r="GZ69" s="898"/>
      <c r="HA69" s="898"/>
      <c r="HB69" s="898"/>
      <c r="HC69" s="898"/>
      <c r="HD69" s="898"/>
      <c r="HE69" s="898"/>
      <c r="HF69" s="898"/>
      <c r="HG69" s="898"/>
      <c r="HH69" s="898"/>
      <c r="HI69" s="898"/>
      <c r="HJ69" s="898"/>
      <c r="HK69" s="898"/>
      <c r="HL69" s="898"/>
      <c r="HM69" s="898"/>
      <c r="HN69" s="898"/>
      <c r="HO69" s="898"/>
      <c r="HP69" s="898"/>
      <c r="HQ69" s="898"/>
      <c r="HR69" s="898"/>
      <c r="HS69" s="898"/>
      <c r="HT69" s="898"/>
      <c r="HU69" s="898"/>
      <c r="HV69" s="898"/>
      <c r="HW69" s="898"/>
      <c r="HX69" s="898"/>
      <c r="HY69" s="898"/>
      <c r="HZ69" s="898"/>
      <c r="IA69" s="898"/>
      <c r="IB69" s="898"/>
      <c r="IC69" s="898"/>
      <c r="ID69" s="898"/>
      <c r="IE69" s="898"/>
      <c r="IF69" s="898"/>
      <c r="IG69" s="898"/>
      <c r="IH69" s="898"/>
      <c r="II69" s="898"/>
      <c r="IJ69" s="898"/>
      <c r="IK69" s="898"/>
      <c r="IL69" s="898"/>
      <c r="IM69" s="898"/>
      <c r="IN69" s="898"/>
      <c r="IO69" s="898"/>
      <c r="IP69" s="898"/>
      <c r="IQ69" s="898"/>
      <c r="IR69" s="898"/>
      <c r="IS69" s="898"/>
    </row>
    <row r="70" spans="1:253" ht="31.5" customHeight="1" x14ac:dyDescent="0.2">
      <c r="A70" s="929" t="s">
        <v>639</v>
      </c>
      <c r="B70" s="909" t="s">
        <v>639</v>
      </c>
      <c r="C70" s="890" t="s">
        <v>640</v>
      </c>
      <c r="D70" s="891">
        <v>600000</v>
      </c>
      <c r="E70" s="891">
        <v>40000</v>
      </c>
      <c r="F70" s="891">
        <v>40000</v>
      </c>
      <c r="G70" s="892"/>
      <c r="H70" s="892"/>
    </row>
    <row r="71" spans="1:253" x14ac:dyDescent="0.2">
      <c r="A71" s="888"/>
      <c r="B71" s="889" t="s">
        <v>609</v>
      </c>
      <c r="C71" s="890" t="s">
        <v>610</v>
      </c>
      <c r="D71" s="891">
        <v>40000</v>
      </c>
      <c r="E71" s="891">
        <v>40000</v>
      </c>
      <c r="F71" s="891">
        <v>753</v>
      </c>
      <c r="G71" s="892"/>
      <c r="H71" s="892"/>
    </row>
    <row r="72" spans="1:253" x14ac:dyDescent="0.2">
      <c r="A72" s="895"/>
      <c r="B72" s="1655" t="s">
        <v>168</v>
      </c>
      <c r="C72" s="1655"/>
      <c r="D72" s="896">
        <f>SUM(D59:D71)-D61</f>
        <v>6829000</v>
      </c>
      <c r="E72" s="896">
        <f>SUM(E59:E71)-E61</f>
        <v>4944517</v>
      </c>
      <c r="F72" s="896">
        <f>SUM(F59:F71)-F61</f>
        <v>4719789</v>
      </c>
      <c r="G72" s="897"/>
      <c r="H72" s="897"/>
    </row>
    <row r="73" spans="1:253" x14ac:dyDescent="0.2">
      <c r="A73" s="895"/>
      <c r="B73" s="910" t="s">
        <v>611</v>
      </c>
      <c r="C73" s="1320" t="s">
        <v>641</v>
      </c>
      <c r="D73" s="911">
        <v>414000</v>
      </c>
      <c r="E73" s="911">
        <v>679451</v>
      </c>
      <c r="F73" s="911">
        <v>679451</v>
      </c>
      <c r="G73" s="912"/>
      <c r="H73" s="912"/>
    </row>
    <row r="74" spans="1:253" x14ac:dyDescent="0.2">
      <c r="A74" s="895"/>
      <c r="B74" s="910" t="s">
        <v>558</v>
      </c>
      <c r="C74" s="1320" t="s">
        <v>642</v>
      </c>
      <c r="D74" s="930">
        <f>SUM(D73*0.27)+220</f>
        <v>112000.00000000001</v>
      </c>
      <c r="E74" s="930">
        <v>183451</v>
      </c>
      <c r="F74" s="930">
        <v>183451</v>
      </c>
      <c r="G74" s="931"/>
      <c r="H74" s="931"/>
    </row>
    <row r="75" spans="1:253" x14ac:dyDescent="0.2">
      <c r="A75" s="895"/>
      <c r="B75" s="1655" t="s">
        <v>12</v>
      </c>
      <c r="C75" s="1655"/>
      <c r="D75" s="932">
        <f>SUM(D73:D74)</f>
        <v>526000</v>
      </c>
      <c r="E75" s="932">
        <f>SUM(E73:E74)</f>
        <v>862902</v>
      </c>
      <c r="F75" s="932">
        <f>SUM(F73:F74)</f>
        <v>862902</v>
      </c>
      <c r="G75" s="933"/>
      <c r="H75" s="933"/>
    </row>
    <row r="76" spans="1:253" x14ac:dyDescent="0.2">
      <c r="A76" s="895"/>
      <c r="B76" s="910" t="s">
        <v>614</v>
      </c>
      <c r="C76" s="1320" t="s">
        <v>265</v>
      </c>
      <c r="D76" s="911">
        <v>0</v>
      </c>
      <c r="E76" s="911">
        <v>93500</v>
      </c>
      <c r="F76" s="911">
        <v>93500</v>
      </c>
      <c r="G76" s="933"/>
      <c r="H76" s="933"/>
    </row>
    <row r="77" spans="1:253" x14ac:dyDescent="0.2">
      <c r="A77" s="895"/>
      <c r="B77" s="910" t="s">
        <v>558</v>
      </c>
      <c r="C77" s="1320" t="s">
        <v>678</v>
      </c>
      <c r="D77" s="913">
        <v>0</v>
      </c>
      <c r="E77" s="913">
        <v>25245</v>
      </c>
      <c r="F77" s="913">
        <v>25245</v>
      </c>
      <c r="G77" s="933"/>
      <c r="H77" s="933"/>
    </row>
    <row r="78" spans="1:253" x14ac:dyDescent="0.2">
      <c r="A78" s="895"/>
      <c r="B78" s="1655" t="s">
        <v>11</v>
      </c>
      <c r="C78" s="1655"/>
      <c r="D78" s="916">
        <f>SUM(D76:D77)</f>
        <v>0</v>
      </c>
      <c r="E78" s="916">
        <f>SUM(E76:E77)</f>
        <v>118745</v>
      </c>
      <c r="F78" s="916">
        <f>SUM(F76:F77)</f>
        <v>118745</v>
      </c>
      <c r="G78" s="933"/>
      <c r="H78" s="933"/>
    </row>
    <row r="79" spans="1:253" x14ac:dyDescent="0.2">
      <c r="A79" s="888"/>
      <c r="B79" s="1656" t="s">
        <v>73</v>
      </c>
      <c r="C79" s="1657"/>
      <c r="D79" s="921">
        <f>D72+D58+D57+D75+D78</f>
        <v>12518999.870000001</v>
      </c>
      <c r="E79" s="921">
        <f>E72+E58+E57+E75+E78</f>
        <v>11086464</v>
      </c>
      <c r="F79" s="921">
        <f>F72+F58+F57+F75+F78</f>
        <v>10618230</v>
      </c>
      <c r="G79" s="922"/>
      <c r="H79" s="922"/>
    </row>
    <row r="80" spans="1:253" x14ac:dyDescent="0.2">
      <c r="A80" s="934"/>
      <c r="B80" s="1650" t="s">
        <v>646</v>
      </c>
      <c r="C80" s="1651"/>
      <c r="D80" s="935">
        <f>D13+D51</f>
        <v>41686999.870000005</v>
      </c>
      <c r="E80" s="935">
        <f>E13+E51</f>
        <v>35277367.170000002</v>
      </c>
      <c r="F80" s="935">
        <f>F13+F51</f>
        <v>34309605.370000005</v>
      </c>
      <c r="G80" s="936"/>
      <c r="H80" s="936"/>
    </row>
    <row r="81" spans="1:9" x14ac:dyDescent="0.2">
      <c r="A81" s="934"/>
      <c r="B81" s="1650" t="s">
        <v>647</v>
      </c>
      <c r="C81" s="1651"/>
      <c r="D81" s="935">
        <f>D42+D79</f>
        <v>41686999.670000002</v>
      </c>
      <c r="E81" s="935">
        <f>E42+E79</f>
        <v>35277366.68</v>
      </c>
      <c r="F81" s="935">
        <f>F42+F79</f>
        <v>33920513.280000001</v>
      </c>
      <c r="G81" s="936"/>
      <c r="H81" s="936"/>
    </row>
    <row r="82" spans="1:9" x14ac:dyDescent="0.2">
      <c r="A82" s="937"/>
      <c r="B82" s="938" t="s">
        <v>87</v>
      </c>
      <c r="C82" s="873" t="s">
        <v>97</v>
      </c>
      <c r="D82" s="874">
        <f>D20+D57-1</f>
        <v>14082999.68</v>
      </c>
      <c r="E82" s="874">
        <f>E20+E57</f>
        <v>13202499.68</v>
      </c>
      <c r="F82" s="874">
        <f>F20+F57</f>
        <v>12838318</v>
      </c>
      <c r="G82" s="939"/>
      <c r="H82" s="939"/>
    </row>
    <row r="83" spans="1:9" x14ac:dyDescent="0.2">
      <c r="A83" s="937"/>
      <c r="B83" s="938" t="s">
        <v>88</v>
      </c>
      <c r="C83" s="873" t="s">
        <v>94</v>
      </c>
      <c r="D83" s="874">
        <f>D58+D21</f>
        <v>2498999.9900000002</v>
      </c>
      <c r="E83" s="874">
        <f>E58+E21</f>
        <v>2119000</v>
      </c>
      <c r="F83" s="874">
        <f>F58+F21</f>
        <v>2110223</v>
      </c>
      <c r="G83" s="939"/>
      <c r="H83" s="939"/>
    </row>
    <row r="84" spans="1:9" x14ac:dyDescent="0.2">
      <c r="A84" s="937"/>
      <c r="B84" s="938" t="s">
        <v>92</v>
      </c>
      <c r="C84" s="873" t="s">
        <v>98</v>
      </c>
      <c r="D84" s="874">
        <f>D35+D72</f>
        <v>22039000</v>
      </c>
      <c r="E84" s="874">
        <f>E35+E72</f>
        <v>15260919</v>
      </c>
      <c r="F84" s="874">
        <f>F35+F72</f>
        <v>14277880</v>
      </c>
      <c r="G84" s="939"/>
      <c r="H84" s="939"/>
      <c r="I84" s="940"/>
    </row>
    <row r="85" spans="1:9" x14ac:dyDescent="0.2">
      <c r="A85" s="937"/>
      <c r="B85" s="938" t="s">
        <v>93</v>
      </c>
      <c r="C85" s="873" t="s">
        <v>23</v>
      </c>
      <c r="D85" s="874">
        <v>0</v>
      </c>
      <c r="E85" s="874">
        <v>0</v>
      </c>
      <c r="F85" s="874">
        <v>0</v>
      </c>
      <c r="G85" s="939"/>
      <c r="H85" s="939"/>
    </row>
    <row r="86" spans="1:9" x14ac:dyDescent="0.2">
      <c r="A86" s="937"/>
      <c r="B86" s="938" t="s">
        <v>111</v>
      </c>
      <c r="C86" s="873" t="s">
        <v>24</v>
      </c>
      <c r="D86" s="874"/>
      <c r="E86" s="874"/>
      <c r="F86" s="874"/>
      <c r="G86" s="939"/>
      <c r="H86" s="939"/>
    </row>
    <row r="87" spans="1:9" x14ac:dyDescent="0.2">
      <c r="A87" s="937"/>
      <c r="B87" s="938" t="s">
        <v>112</v>
      </c>
      <c r="C87" s="873" t="s">
        <v>12</v>
      </c>
      <c r="D87" s="874">
        <f>D36+D73+D37+D74</f>
        <v>3066000</v>
      </c>
      <c r="E87" s="874">
        <f>E36+E73+E37+E74</f>
        <v>2931511</v>
      </c>
      <c r="F87" s="874">
        <f>F36+F73+F37+F74</f>
        <v>2930670.2800000003</v>
      </c>
      <c r="G87" s="939"/>
      <c r="H87" s="939"/>
    </row>
    <row r="88" spans="1:9" x14ac:dyDescent="0.2">
      <c r="A88" s="937"/>
      <c r="B88" s="938" t="s">
        <v>113</v>
      </c>
      <c r="C88" s="873" t="s">
        <v>11</v>
      </c>
      <c r="D88" s="874">
        <f>SUM(D78+D41)</f>
        <v>0</v>
      </c>
      <c r="E88" s="874">
        <f>SUM(E78+E41)</f>
        <v>1763437</v>
      </c>
      <c r="F88" s="874">
        <f>SUM(F78+F41)</f>
        <v>1763422</v>
      </c>
      <c r="G88" s="939"/>
      <c r="H88" s="939"/>
    </row>
    <row r="89" spans="1:9" x14ac:dyDescent="0.2">
      <c r="A89" s="937"/>
      <c r="B89" s="938" t="s">
        <v>114</v>
      </c>
      <c r="C89" s="873" t="s">
        <v>619</v>
      </c>
      <c r="D89" s="874"/>
      <c r="E89" s="874"/>
      <c r="F89" s="874"/>
      <c r="G89" s="939"/>
      <c r="H89" s="939"/>
    </row>
    <row r="90" spans="1:9" x14ac:dyDescent="0.2">
      <c r="A90" s="937"/>
      <c r="B90" s="938" t="s">
        <v>115</v>
      </c>
      <c r="C90" s="873" t="s">
        <v>69</v>
      </c>
      <c r="D90" s="874"/>
      <c r="E90" s="874"/>
      <c r="F90" s="874"/>
      <c r="G90" s="939"/>
      <c r="H90" s="939"/>
    </row>
    <row r="91" spans="1:9" x14ac:dyDescent="0.2">
      <c r="A91" s="937"/>
      <c r="B91" s="941"/>
      <c r="C91" s="942" t="s">
        <v>99</v>
      </c>
      <c r="D91" s="943">
        <f>SUM(D82:D90)</f>
        <v>41686999.670000002</v>
      </c>
      <c r="E91" s="943">
        <f>SUM(E82:E90)</f>
        <v>35277366.68</v>
      </c>
      <c r="F91" s="943">
        <f>SUM(F82:F90)</f>
        <v>33920513.280000001</v>
      </c>
      <c r="G91" s="944"/>
      <c r="H91" s="944"/>
    </row>
    <row r="92" spans="1:9" x14ac:dyDescent="0.2">
      <c r="A92" s="937"/>
      <c r="B92" s="938" t="s">
        <v>100</v>
      </c>
      <c r="C92" s="873" t="s">
        <v>18</v>
      </c>
      <c r="D92" s="874"/>
      <c r="E92" s="874"/>
      <c r="F92" s="874"/>
      <c r="G92" s="939"/>
      <c r="H92" s="939"/>
    </row>
    <row r="93" spans="1:9" x14ac:dyDescent="0.2">
      <c r="A93" s="937"/>
      <c r="B93" s="938" t="s">
        <v>102</v>
      </c>
      <c r="C93" s="873" t="s">
        <v>51</v>
      </c>
      <c r="D93" s="874"/>
      <c r="E93" s="874"/>
      <c r="F93" s="874"/>
      <c r="G93" s="939"/>
      <c r="H93" s="939"/>
    </row>
    <row r="94" spans="1:9" x14ac:dyDescent="0.2">
      <c r="A94" s="937"/>
      <c r="B94" s="938" t="s">
        <v>103</v>
      </c>
      <c r="C94" s="873" t="s">
        <v>124</v>
      </c>
      <c r="D94" s="874"/>
      <c r="E94" s="874"/>
      <c r="F94" s="874"/>
      <c r="G94" s="939"/>
      <c r="H94" s="939"/>
    </row>
    <row r="95" spans="1:9" x14ac:dyDescent="0.2">
      <c r="A95" s="937"/>
      <c r="B95" s="938" t="s">
        <v>104</v>
      </c>
      <c r="C95" s="873" t="s">
        <v>20</v>
      </c>
      <c r="D95" s="874">
        <f>D8+D48</f>
        <v>12954000</v>
      </c>
      <c r="E95" s="874">
        <f>E8+E48</f>
        <v>14644410.17</v>
      </c>
      <c r="F95" s="874">
        <f>F8+F48</f>
        <v>13678320.370000001</v>
      </c>
      <c r="G95" s="939"/>
      <c r="H95" s="939"/>
      <c r="I95" s="940"/>
    </row>
    <row r="96" spans="1:9" x14ac:dyDescent="0.2">
      <c r="A96" s="937"/>
      <c r="B96" s="938" t="s">
        <v>105</v>
      </c>
      <c r="C96" s="873" t="s">
        <v>54</v>
      </c>
      <c r="D96" s="874"/>
      <c r="E96" s="874"/>
      <c r="F96" s="874"/>
      <c r="G96" s="939"/>
      <c r="H96" s="939"/>
    </row>
    <row r="97" spans="1:13" x14ac:dyDescent="0.2">
      <c r="A97" s="937"/>
      <c r="B97" s="938" t="s">
        <v>106</v>
      </c>
      <c r="C97" s="873" t="s">
        <v>96</v>
      </c>
      <c r="D97" s="874"/>
      <c r="E97" s="874"/>
      <c r="F97" s="874"/>
      <c r="G97" s="939"/>
      <c r="H97" s="939"/>
    </row>
    <row r="98" spans="1:13" x14ac:dyDescent="0.2">
      <c r="A98" s="937"/>
      <c r="B98" s="938" t="s">
        <v>107</v>
      </c>
      <c r="C98" s="873" t="s">
        <v>95</v>
      </c>
      <c r="D98" s="874"/>
      <c r="E98" s="874"/>
      <c r="F98" s="874"/>
      <c r="G98" s="939"/>
      <c r="H98" s="939"/>
    </row>
    <row r="99" spans="1:13" x14ac:dyDescent="0.2">
      <c r="A99" s="937"/>
      <c r="B99" s="938" t="s">
        <v>108</v>
      </c>
      <c r="C99" s="873" t="s">
        <v>648</v>
      </c>
      <c r="D99" s="874"/>
      <c r="E99" s="874"/>
      <c r="F99" s="874"/>
      <c r="G99" s="939"/>
      <c r="H99" s="939"/>
    </row>
    <row r="100" spans="1:13" x14ac:dyDescent="0.2">
      <c r="A100" s="937"/>
      <c r="B100" s="938" t="s">
        <v>108</v>
      </c>
      <c r="C100" s="873" t="s">
        <v>649</v>
      </c>
      <c r="D100" s="874">
        <f>D12+D50</f>
        <v>28732999.870000001</v>
      </c>
      <c r="E100" s="874">
        <f>E12+E50</f>
        <v>20632957</v>
      </c>
      <c r="F100" s="874">
        <f>F12+F50</f>
        <v>20631285</v>
      </c>
      <c r="G100" s="939"/>
      <c r="H100" s="939"/>
    </row>
    <row r="101" spans="1:13" ht="13.5" thickBot="1" x14ac:dyDescent="0.25">
      <c r="A101" s="945"/>
      <c r="B101" s="946"/>
      <c r="C101" s="947" t="s">
        <v>109</v>
      </c>
      <c r="D101" s="948">
        <f>D92+D93+D94+D95+D96+D97+D98+D99+D100</f>
        <v>41686999.870000005</v>
      </c>
      <c r="E101" s="948">
        <f>E92+E93+E94+E95+E96+E97+E98+E99+E100</f>
        <v>35277367.170000002</v>
      </c>
      <c r="F101" s="948">
        <f>F92+F93+F94+F95+F96+F97+F98+F99+F100</f>
        <v>34309605.370000005</v>
      </c>
      <c r="G101" s="944"/>
      <c r="H101" s="944"/>
    </row>
    <row r="102" spans="1:13" x14ac:dyDescent="0.2">
      <c r="I102" s="633"/>
    </row>
    <row r="103" spans="1:13" x14ac:dyDescent="0.2">
      <c r="B103" s="771"/>
      <c r="C103" s="720"/>
      <c r="D103" s="812">
        <f>SUM(D101-D91)</f>
        <v>0.20000000298023224</v>
      </c>
      <c r="E103" s="812">
        <f>SUM(E101-E91)</f>
        <v>0.49000000208616257</v>
      </c>
      <c r="F103" s="812">
        <f>SUM(F101-F91)</f>
        <v>389092.09000000358</v>
      </c>
      <c r="G103" s="634"/>
      <c r="H103" s="634"/>
      <c r="I103" s="633"/>
    </row>
    <row r="104" spans="1:13" x14ac:dyDescent="0.2">
      <c r="B104" s="771"/>
      <c r="C104" s="720"/>
      <c r="D104" s="634"/>
      <c r="E104" s="634"/>
      <c r="F104" s="634"/>
      <c r="G104" s="634"/>
      <c r="H104" s="634"/>
    </row>
    <row r="109" spans="1:13" x14ac:dyDescent="0.2">
      <c r="L109" s="928"/>
      <c r="M109" s="928"/>
    </row>
    <row r="110" spans="1:13" x14ac:dyDescent="0.2">
      <c r="L110" s="928"/>
    </row>
  </sheetData>
  <mergeCells count="21">
    <mergeCell ref="A4:D4"/>
    <mergeCell ref="B8:C8"/>
    <mergeCell ref="B12:C12"/>
    <mergeCell ref="B13:C13"/>
    <mergeCell ref="C1:F1"/>
    <mergeCell ref="A3:F3"/>
    <mergeCell ref="B20:C20"/>
    <mergeCell ref="B35:C35"/>
    <mergeCell ref="B38:C38"/>
    <mergeCell ref="B42:C42"/>
    <mergeCell ref="B48:C48"/>
    <mergeCell ref="B50:C50"/>
    <mergeCell ref="B41:C41"/>
    <mergeCell ref="B81:C81"/>
    <mergeCell ref="B51:C51"/>
    <mergeCell ref="B57:C57"/>
    <mergeCell ref="B72:C72"/>
    <mergeCell ref="B75:C75"/>
    <mergeCell ref="B79:C79"/>
    <mergeCell ref="B80:C80"/>
    <mergeCell ref="B78:C78"/>
  </mergeCells>
  <pageMargins left="1.0236220472440944" right="0.23622047244094491" top="0.74803149606299213" bottom="0.74803149606299213" header="0.31496062992125984" footer="0.31496062992125984"/>
  <pageSetup paperSize="9" scale="73" orientation="portrait" r:id="rId1"/>
  <rowBreaks count="1" manualBreakCount="1">
    <brk id="6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55"/>
  <sheetViews>
    <sheetView zoomScaleNormal="100" workbookViewId="0">
      <selection activeCell="M12" sqref="M12"/>
    </sheetView>
  </sheetViews>
  <sheetFormatPr defaultRowHeight="15.75" x14ac:dyDescent="0.25"/>
  <cols>
    <col min="1" max="1" width="14" style="1207" customWidth="1"/>
    <col min="2" max="2" width="86.7109375" style="1208" customWidth="1"/>
    <col min="3" max="3" width="13.5703125" style="1208" customWidth="1"/>
    <col min="4" max="4" width="10.5703125" style="1207" customWidth="1"/>
    <col min="5" max="5" width="8" style="1207" customWidth="1"/>
    <col min="6" max="8" width="14.28515625" style="1230" customWidth="1"/>
    <col min="9" max="9" width="9.140625" style="1207"/>
    <col min="10" max="10" width="14.7109375" style="1207" bestFit="1" customWidth="1"/>
    <col min="11" max="11" width="9.28515625" style="1207" customWidth="1"/>
    <col min="12" max="12" width="14.7109375" style="1207" bestFit="1" customWidth="1"/>
    <col min="13" max="13" width="9.140625" style="1207"/>
    <col min="14" max="14" width="15.5703125" style="1207" bestFit="1" customWidth="1"/>
    <col min="15" max="16384" width="9.140625" style="1207"/>
  </cols>
  <sheetData>
    <row r="1" spans="1:14" x14ac:dyDescent="0.25">
      <c r="C1" s="1353" t="s">
        <v>1004</v>
      </c>
      <c r="D1" s="1354"/>
      <c r="E1" s="1354"/>
      <c r="F1" s="1354"/>
      <c r="G1" s="1355"/>
      <c r="H1" s="1355"/>
      <c r="I1" s="1355"/>
    </row>
    <row r="2" spans="1:14" x14ac:dyDescent="0.25">
      <c r="C2" s="552"/>
      <c r="D2" s="264"/>
      <c r="E2" s="264"/>
      <c r="F2" s="264"/>
      <c r="G2" s="264"/>
      <c r="H2" s="264"/>
      <c r="J2" s="1230"/>
      <c r="L2" s="1230"/>
      <c r="N2" s="1230"/>
    </row>
    <row r="3" spans="1:14" x14ac:dyDescent="0.25">
      <c r="C3" s="552"/>
      <c r="D3" s="264"/>
      <c r="E3" s="264"/>
      <c r="F3" s="264"/>
      <c r="G3" s="264"/>
      <c r="H3" s="264"/>
      <c r="L3" s="1230"/>
      <c r="N3" s="1230"/>
    </row>
    <row r="4" spans="1:14" x14ac:dyDescent="0.25">
      <c r="C4" s="552"/>
      <c r="D4" s="264"/>
      <c r="E4" s="264"/>
      <c r="F4" s="264"/>
      <c r="G4" s="264"/>
      <c r="H4" s="264"/>
      <c r="L4" s="1230"/>
      <c r="N4" s="1230"/>
    </row>
    <row r="5" spans="1:14" ht="21.75" customHeight="1" x14ac:dyDescent="0.3">
      <c r="A5" s="1356" t="s">
        <v>850</v>
      </c>
      <c r="B5" s="1357"/>
      <c r="C5" s="1357"/>
      <c r="D5" s="1357"/>
      <c r="E5" s="1357"/>
      <c r="F5" s="1357"/>
      <c r="G5" s="1355"/>
      <c r="H5" s="1355"/>
      <c r="I5" s="1355"/>
      <c r="J5" s="1230"/>
      <c r="L5" s="1230"/>
      <c r="N5" s="1230"/>
    </row>
    <row r="6" spans="1:14" ht="18.75" customHeight="1" x14ac:dyDescent="0.25">
      <c r="C6" s="552"/>
      <c r="D6" s="264"/>
      <c r="E6" s="264"/>
      <c r="F6" s="264"/>
      <c r="G6" s="264"/>
      <c r="H6" s="264"/>
      <c r="L6" s="1230"/>
      <c r="N6" s="1230"/>
    </row>
    <row r="7" spans="1:14" x14ac:dyDescent="0.25">
      <c r="A7" s="1351" t="s">
        <v>851</v>
      </c>
      <c r="B7" s="1352"/>
      <c r="C7" s="1352"/>
      <c r="D7" s="1352"/>
      <c r="E7" s="1352"/>
      <c r="F7" s="1352"/>
      <c r="G7" s="1207"/>
      <c r="H7" s="1207"/>
      <c r="J7" s="1230"/>
      <c r="L7" s="1230"/>
      <c r="N7" s="1230"/>
    </row>
    <row r="8" spans="1:14" s="1208" customFormat="1" ht="47.25" x14ac:dyDescent="0.25">
      <c r="A8" s="1209" t="s">
        <v>852</v>
      </c>
      <c r="B8" s="1209" t="s">
        <v>853</v>
      </c>
      <c r="C8" s="1210" t="s">
        <v>854</v>
      </c>
      <c r="D8" s="1210" t="s">
        <v>855</v>
      </c>
      <c r="E8" s="1210" t="s">
        <v>856</v>
      </c>
      <c r="F8" s="1211" t="s">
        <v>917</v>
      </c>
      <c r="G8" s="1211" t="s">
        <v>918</v>
      </c>
      <c r="H8" s="1211" t="s">
        <v>919</v>
      </c>
      <c r="I8" s="1208" t="s">
        <v>920</v>
      </c>
      <c r="L8" s="1231"/>
      <c r="N8" s="1231"/>
    </row>
    <row r="9" spans="1:14" ht="47.25" x14ac:dyDescent="0.25">
      <c r="A9" s="1212" t="s">
        <v>857</v>
      </c>
      <c r="B9" s="1213" t="s">
        <v>858</v>
      </c>
      <c r="C9" s="1213" t="s">
        <v>859</v>
      </c>
      <c r="D9" s="1214">
        <v>5450000</v>
      </c>
      <c r="E9" s="1214">
        <v>0</v>
      </c>
      <c r="F9" s="1214">
        <v>32151600</v>
      </c>
      <c r="G9" s="1214">
        <v>38259000</v>
      </c>
      <c r="H9" s="1214">
        <v>38259000</v>
      </c>
      <c r="I9" s="1230">
        <f>SUM(H9-G9)</f>
        <v>0</v>
      </c>
    </row>
    <row r="10" spans="1:14" x14ac:dyDescent="0.25">
      <c r="A10" s="1212" t="s">
        <v>860</v>
      </c>
      <c r="B10" s="1213" t="s">
        <v>861</v>
      </c>
      <c r="C10" s="1213" t="s">
        <v>862</v>
      </c>
      <c r="D10" s="1214">
        <v>0</v>
      </c>
      <c r="E10" s="1214">
        <v>0</v>
      </c>
      <c r="F10" s="1214">
        <v>11244456</v>
      </c>
      <c r="G10" s="1214">
        <v>11244456</v>
      </c>
      <c r="H10" s="1214">
        <v>11244456</v>
      </c>
      <c r="I10" s="1230">
        <f t="shared" ref="I10:I50" si="0">SUM(H10-G10)</f>
        <v>0</v>
      </c>
    </row>
    <row r="11" spans="1:14" x14ac:dyDescent="0.25">
      <c r="A11" s="1215" t="s">
        <v>863</v>
      </c>
      <c r="B11" s="1209" t="s">
        <v>864</v>
      </c>
      <c r="C11" s="1209" t="s">
        <v>862</v>
      </c>
      <c r="D11" s="1216">
        <v>25200</v>
      </c>
      <c r="E11" s="1216">
        <v>0</v>
      </c>
      <c r="F11" s="1216">
        <v>4825800</v>
      </c>
      <c r="G11" s="1216">
        <v>4825800</v>
      </c>
      <c r="H11" s="1216">
        <v>4825800</v>
      </c>
      <c r="I11" s="1230">
        <f t="shared" si="0"/>
        <v>0</v>
      </c>
    </row>
    <row r="12" spans="1:14" x14ac:dyDescent="0.25">
      <c r="A12" s="1215" t="s">
        <v>865</v>
      </c>
      <c r="B12" s="1209" t="s">
        <v>866</v>
      </c>
      <c r="C12" s="1209" t="s">
        <v>862</v>
      </c>
      <c r="D12" s="1216">
        <v>0</v>
      </c>
      <c r="E12" s="1216">
        <v>0</v>
      </c>
      <c r="F12" s="1216">
        <v>3424000</v>
      </c>
      <c r="G12" s="1216">
        <v>3424000</v>
      </c>
      <c r="H12" s="1216">
        <v>3424000</v>
      </c>
      <c r="I12" s="1230">
        <f t="shared" si="0"/>
        <v>0</v>
      </c>
    </row>
    <row r="13" spans="1:14" x14ac:dyDescent="0.25">
      <c r="A13" s="1215" t="s">
        <v>867</v>
      </c>
      <c r="B13" s="1209" t="s">
        <v>868</v>
      </c>
      <c r="C13" s="1209" t="s">
        <v>862</v>
      </c>
      <c r="D13" s="1216">
        <v>0</v>
      </c>
      <c r="E13" s="1216">
        <v>0</v>
      </c>
      <c r="F13" s="1216">
        <v>663366</v>
      </c>
      <c r="G13" s="1216">
        <v>663366</v>
      </c>
      <c r="H13" s="1216">
        <v>663366</v>
      </c>
      <c r="I13" s="1230">
        <f t="shared" si="0"/>
        <v>0</v>
      </c>
    </row>
    <row r="14" spans="1:14" x14ac:dyDescent="0.25">
      <c r="A14" s="1215" t="s">
        <v>869</v>
      </c>
      <c r="B14" s="1209" t="s">
        <v>870</v>
      </c>
      <c r="C14" s="1209" t="s">
        <v>862</v>
      </c>
      <c r="D14" s="1216">
        <v>0</v>
      </c>
      <c r="E14" s="1216">
        <v>0</v>
      </c>
      <c r="F14" s="1216">
        <v>2331290</v>
      </c>
      <c r="G14" s="1216">
        <v>2331290</v>
      </c>
      <c r="H14" s="1216">
        <v>2331290</v>
      </c>
      <c r="I14" s="1230">
        <f t="shared" si="0"/>
        <v>0</v>
      </c>
    </row>
    <row r="15" spans="1:14" x14ac:dyDescent="0.25">
      <c r="A15" s="1215" t="s">
        <v>871</v>
      </c>
      <c r="B15" s="1209" t="s">
        <v>872</v>
      </c>
      <c r="C15" s="1209" t="s">
        <v>425</v>
      </c>
      <c r="D15" s="1216">
        <v>2700</v>
      </c>
      <c r="E15" s="1216">
        <v>0</v>
      </c>
      <c r="F15" s="1216">
        <v>7000000</v>
      </c>
      <c r="G15" s="1216">
        <v>7000000</v>
      </c>
      <c r="H15" s="1216">
        <v>7000000</v>
      </c>
      <c r="I15" s="1230">
        <f t="shared" si="0"/>
        <v>0</v>
      </c>
    </row>
    <row r="16" spans="1:14" s="1217" customFormat="1" x14ac:dyDescent="0.25">
      <c r="A16" s="1212" t="s">
        <v>873</v>
      </c>
      <c r="B16" s="1213" t="s">
        <v>874</v>
      </c>
      <c r="C16" s="1213" t="s">
        <v>862</v>
      </c>
      <c r="D16" s="1214">
        <v>2700</v>
      </c>
      <c r="E16" s="1214">
        <v>0</v>
      </c>
      <c r="F16" s="1214">
        <v>5696130</v>
      </c>
      <c r="G16" s="1214">
        <v>5696130</v>
      </c>
      <c r="H16" s="1214">
        <v>5696130</v>
      </c>
      <c r="I16" s="1230">
        <f t="shared" si="0"/>
        <v>0</v>
      </c>
    </row>
    <row r="17" spans="1:9" s="1217" customFormat="1" x14ac:dyDescent="0.25">
      <c r="A17" s="1212" t="s">
        <v>875</v>
      </c>
      <c r="B17" s="1213" t="s">
        <v>876</v>
      </c>
      <c r="C17" s="1213" t="s">
        <v>862</v>
      </c>
      <c r="D17" s="1212">
        <v>2550</v>
      </c>
      <c r="E17" s="1212">
        <v>0</v>
      </c>
      <c r="F17" s="1214">
        <v>10200</v>
      </c>
      <c r="G17" s="1214">
        <v>10200</v>
      </c>
      <c r="H17" s="1214">
        <v>10200</v>
      </c>
      <c r="I17" s="1230">
        <f t="shared" si="0"/>
        <v>0</v>
      </c>
    </row>
    <row r="18" spans="1:9" x14ac:dyDescent="0.25">
      <c r="A18" s="1215" t="s">
        <v>877</v>
      </c>
      <c r="B18" s="1209" t="s">
        <v>878</v>
      </c>
      <c r="C18" s="1209" t="s">
        <v>862</v>
      </c>
      <c r="D18" s="1215">
        <v>0</v>
      </c>
      <c r="E18" s="1215">
        <v>0</v>
      </c>
      <c r="F18" s="1216">
        <v>1303870</v>
      </c>
      <c r="G18" s="1216">
        <v>1303870</v>
      </c>
      <c r="H18" s="1216">
        <v>1303870</v>
      </c>
      <c r="I18" s="1230">
        <f t="shared" si="0"/>
        <v>0</v>
      </c>
    </row>
    <row r="19" spans="1:9" s="1217" customFormat="1" x14ac:dyDescent="0.25">
      <c r="A19" s="1212" t="s">
        <v>879</v>
      </c>
      <c r="B19" s="1213" t="s">
        <v>880</v>
      </c>
      <c r="C19" s="1213" t="s">
        <v>862</v>
      </c>
      <c r="D19" s="1212">
        <v>0</v>
      </c>
      <c r="E19" s="1212">
        <v>0</v>
      </c>
      <c r="F19" s="1214">
        <f>SUM(F9+F10+F16+F17)</f>
        <v>49102386</v>
      </c>
      <c r="G19" s="1214">
        <f>SUM(G9+G10+G16+G17)</f>
        <v>55209786</v>
      </c>
      <c r="H19" s="1214">
        <f>SUM(H9+H10+H16+H17)</f>
        <v>55209786</v>
      </c>
      <c r="I19" s="1230">
        <f t="shared" si="0"/>
        <v>0</v>
      </c>
    </row>
    <row r="20" spans="1:9" x14ac:dyDescent="0.25">
      <c r="A20" s="1215" t="s">
        <v>881</v>
      </c>
      <c r="B20" s="1209" t="s">
        <v>882</v>
      </c>
      <c r="C20" s="1209" t="s">
        <v>862</v>
      </c>
      <c r="D20" s="1215">
        <v>0</v>
      </c>
      <c r="E20" s="1215">
        <v>0</v>
      </c>
      <c r="F20" s="1216">
        <v>512400</v>
      </c>
      <c r="G20" s="1216">
        <v>512400</v>
      </c>
      <c r="H20" s="1216">
        <v>512400</v>
      </c>
      <c r="I20" s="1230">
        <f t="shared" si="0"/>
        <v>0</v>
      </c>
    </row>
    <row r="21" spans="1:9" x14ac:dyDescent="0.25">
      <c r="A21" s="1215"/>
      <c r="B21" s="1209" t="s">
        <v>924</v>
      </c>
      <c r="C21" s="1209"/>
      <c r="D21" s="1215"/>
      <c r="E21" s="1215"/>
      <c r="F21" s="1216"/>
      <c r="G21" s="1216">
        <v>175500</v>
      </c>
      <c r="H21" s="1216">
        <v>175500</v>
      </c>
      <c r="I21" s="1230">
        <f t="shared" si="0"/>
        <v>0</v>
      </c>
    </row>
    <row r="22" spans="1:9" x14ac:dyDescent="0.25">
      <c r="A22" s="1215"/>
      <c r="B22" s="1209"/>
      <c r="C22" s="1209"/>
      <c r="D22" s="1215"/>
      <c r="E22" s="1215"/>
      <c r="F22" s="1216"/>
      <c r="G22" s="1216">
        <v>91018</v>
      </c>
      <c r="H22" s="1216">
        <v>91018</v>
      </c>
      <c r="I22" s="1230">
        <f t="shared" si="0"/>
        <v>0</v>
      </c>
    </row>
    <row r="23" spans="1:9" ht="19.5" x14ac:dyDescent="0.35">
      <c r="A23" s="1218" t="s">
        <v>883</v>
      </c>
      <c r="B23" s="1219" t="s">
        <v>884</v>
      </c>
      <c r="C23" s="1219" t="s">
        <v>862</v>
      </c>
      <c r="D23" s="1218">
        <v>0</v>
      </c>
      <c r="E23" s="1218">
        <v>0</v>
      </c>
      <c r="F23" s="1220">
        <f>SUM(F19:F20)</f>
        <v>49614786</v>
      </c>
      <c r="G23" s="1220">
        <f>SUM(G19:G22)</f>
        <v>55988704</v>
      </c>
      <c r="H23" s="1220">
        <f>SUM(H19:H22)</f>
        <v>55988704</v>
      </c>
      <c r="I23" s="1230">
        <f t="shared" si="0"/>
        <v>0</v>
      </c>
    </row>
    <row r="24" spans="1:9" x14ac:dyDescent="0.25">
      <c r="A24" s="1212" t="s">
        <v>885</v>
      </c>
      <c r="B24" s="1209"/>
      <c r="C24" s="1209"/>
      <c r="D24" s="1215"/>
      <c r="E24" s="1215"/>
      <c r="F24" s="1216"/>
      <c r="G24" s="1216"/>
      <c r="H24" s="1216"/>
      <c r="I24" s="1230">
        <f t="shared" si="0"/>
        <v>0</v>
      </c>
    </row>
    <row r="25" spans="1:9" x14ac:dyDescent="0.25">
      <c r="A25" s="1215" t="s">
        <v>886</v>
      </c>
      <c r="B25" s="1209"/>
      <c r="C25" s="1209"/>
      <c r="D25" s="1215"/>
      <c r="E25" s="1215"/>
      <c r="F25" s="1216"/>
      <c r="G25" s="1216"/>
      <c r="H25" s="1216"/>
      <c r="I25" s="1230">
        <f t="shared" si="0"/>
        <v>0</v>
      </c>
    </row>
    <row r="26" spans="1:9" x14ac:dyDescent="0.25">
      <c r="A26" s="1215" t="s">
        <v>887</v>
      </c>
      <c r="B26" s="1209" t="s">
        <v>888</v>
      </c>
      <c r="C26" s="1209" t="s">
        <v>425</v>
      </c>
      <c r="D26" s="1215">
        <v>4371500</v>
      </c>
      <c r="E26" s="1221">
        <v>4.2</v>
      </c>
      <c r="F26" s="1216">
        <v>18360300</v>
      </c>
      <c r="G26" s="1216">
        <v>18360300</v>
      </c>
      <c r="H26" s="1216">
        <v>18360300</v>
      </c>
      <c r="I26" s="1230">
        <f t="shared" si="0"/>
        <v>0</v>
      </c>
    </row>
    <row r="27" spans="1:9" ht="31.5" x14ac:dyDescent="0.25">
      <c r="A27" s="1215" t="s">
        <v>889</v>
      </c>
      <c r="B27" s="1209" t="s">
        <v>890</v>
      </c>
      <c r="C27" s="1209" t="s">
        <v>425</v>
      </c>
      <c r="D27" s="1216">
        <v>2400000</v>
      </c>
      <c r="E27" s="1221">
        <v>2</v>
      </c>
      <c r="F27" s="1216">
        <v>4800000</v>
      </c>
      <c r="G27" s="1216">
        <v>4800000</v>
      </c>
      <c r="H27" s="1216">
        <v>4800000</v>
      </c>
      <c r="I27" s="1230">
        <f t="shared" si="0"/>
        <v>0</v>
      </c>
    </row>
    <row r="28" spans="1:9" x14ac:dyDescent="0.25">
      <c r="A28" s="1212" t="s">
        <v>426</v>
      </c>
      <c r="B28" s="1209"/>
      <c r="C28" s="1209"/>
      <c r="D28" s="1215"/>
      <c r="E28" s="1215"/>
      <c r="F28" s="1216"/>
      <c r="G28" s="1216"/>
      <c r="H28" s="1216"/>
      <c r="I28" s="1230">
        <f t="shared" si="0"/>
        <v>0</v>
      </c>
    </row>
    <row r="29" spans="1:9" x14ac:dyDescent="0.25">
      <c r="A29" s="1215" t="s">
        <v>891</v>
      </c>
      <c r="B29" s="1209" t="s">
        <v>886</v>
      </c>
      <c r="C29" s="1209" t="s">
        <v>425</v>
      </c>
      <c r="D29" s="1216">
        <v>97400</v>
      </c>
      <c r="E29" s="1221">
        <v>42.3</v>
      </c>
      <c r="F29" s="1216">
        <v>4120020</v>
      </c>
      <c r="G29" s="1216">
        <v>4217420</v>
      </c>
      <c r="H29" s="1216">
        <v>4217420</v>
      </c>
      <c r="I29" s="1230">
        <f t="shared" si="0"/>
        <v>0</v>
      </c>
    </row>
    <row r="30" spans="1:9" x14ac:dyDescent="0.25">
      <c r="A30" s="1212" t="s">
        <v>892</v>
      </c>
      <c r="B30" s="1209"/>
      <c r="C30" s="1209"/>
      <c r="D30" s="1215"/>
      <c r="E30" s="1215"/>
      <c r="F30" s="1216"/>
      <c r="G30" s="1216"/>
      <c r="H30" s="1216"/>
      <c r="I30" s="1230">
        <f t="shared" si="0"/>
        <v>0</v>
      </c>
    </row>
    <row r="31" spans="1:9" x14ac:dyDescent="0.25">
      <c r="A31" s="1215" t="s">
        <v>893</v>
      </c>
      <c r="B31" s="1209" t="s">
        <v>894</v>
      </c>
      <c r="C31" s="1209" t="s">
        <v>425</v>
      </c>
      <c r="D31" s="1216">
        <v>189000</v>
      </c>
      <c r="E31" s="1216">
        <v>6</v>
      </c>
      <c r="F31" s="1216">
        <v>1134000</v>
      </c>
      <c r="G31" s="1216">
        <v>945000</v>
      </c>
      <c r="H31" s="1216">
        <v>945000</v>
      </c>
      <c r="I31" s="1230">
        <f t="shared" si="0"/>
        <v>0</v>
      </c>
    </row>
    <row r="32" spans="1:9" x14ac:dyDescent="0.25">
      <c r="A32" s="1212" t="s">
        <v>427</v>
      </c>
      <c r="B32" s="1209"/>
      <c r="C32" s="1209"/>
      <c r="D32" s="1215"/>
      <c r="E32" s="1215"/>
      <c r="F32" s="1216"/>
      <c r="G32" s="1216"/>
      <c r="H32" s="1216"/>
      <c r="I32" s="1230">
        <f t="shared" si="0"/>
        <v>0</v>
      </c>
    </row>
    <row r="33" spans="1:16" ht="18.75" x14ac:dyDescent="0.3">
      <c r="A33" s="1215" t="s">
        <v>895</v>
      </c>
      <c r="B33" s="1209" t="s">
        <v>886</v>
      </c>
      <c r="C33" s="1209" t="s">
        <v>425</v>
      </c>
      <c r="D33" s="1215">
        <v>811600</v>
      </c>
      <c r="E33" s="1215">
        <v>2</v>
      </c>
      <c r="F33" s="1216">
        <v>1623200</v>
      </c>
      <c r="G33" s="1216">
        <v>1623200</v>
      </c>
      <c r="H33" s="1216">
        <v>1623200</v>
      </c>
      <c r="I33" s="1230">
        <f t="shared" si="0"/>
        <v>0</v>
      </c>
      <c r="P33" s="1225"/>
    </row>
    <row r="34" spans="1:16" ht="18.75" x14ac:dyDescent="0.3">
      <c r="A34" s="1215"/>
      <c r="B34" s="1209" t="s">
        <v>923</v>
      </c>
      <c r="C34" s="1209"/>
      <c r="D34" s="1215"/>
      <c r="E34" s="1215"/>
      <c r="F34" s="1216"/>
      <c r="G34" s="1216">
        <v>1867300</v>
      </c>
      <c r="H34" s="1216">
        <v>1867300</v>
      </c>
      <c r="I34" s="1230">
        <f t="shared" si="0"/>
        <v>0</v>
      </c>
      <c r="P34" s="1225"/>
    </row>
    <row r="35" spans="1:16" s="1225" customFormat="1" ht="37.5" x14ac:dyDescent="0.3">
      <c r="A35" s="1222" t="s">
        <v>896</v>
      </c>
      <c r="B35" s="1223" t="s">
        <v>897</v>
      </c>
      <c r="C35" s="1223" t="s">
        <v>862</v>
      </c>
      <c r="D35" s="1222">
        <v>0</v>
      </c>
      <c r="E35" s="1222">
        <v>0</v>
      </c>
      <c r="F35" s="1224">
        <f>F26+F27+F29+F31+F33+F34</f>
        <v>30037520</v>
      </c>
      <c r="G35" s="1224">
        <f>G26+G27+G29+G31+G33+G34</f>
        <v>31813220</v>
      </c>
      <c r="H35" s="1224">
        <f>H26+H27+H29+H31+H33+H34</f>
        <v>31813220</v>
      </c>
      <c r="I35" s="1230">
        <f t="shared" si="0"/>
        <v>0</v>
      </c>
      <c r="J35" s="1207"/>
      <c r="K35" s="1207"/>
      <c r="L35" s="1207"/>
      <c r="M35" s="1207"/>
      <c r="N35" s="1207"/>
      <c r="O35" s="1207"/>
    </row>
    <row r="36" spans="1:16" x14ac:dyDescent="0.25">
      <c r="A36" s="1215" t="s">
        <v>898</v>
      </c>
      <c r="B36" s="1209" t="s">
        <v>899</v>
      </c>
      <c r="C36" s="1209" t="s">
        <v>862</v>
      </c>
      <c r="D36" s="1215">
        <v>0</v>
      </c>
      <c r="E36" s="1215" t="s">
        <v>900</v>
      </c>
      <c r="F36" s="1216">
        <v>9499390</v>
      </c>
      <c r="G36" s="1216">
        <v>9499390</v>
      </c>
      <c r="H36" s="1216">
        <v>9499390</v>
      </c>
      <c r="I36" s="1230">
        <f t="shared" si="0"/>
        <v>0</v>
      </c>
    </row>
    <row r="37" spans="1:16" x14ac:dyDescent="0.25">
      <c r="A37" s="1212" t="s">
        <v>901</v>
      </c>
      <c r="B37" s="1209"/>
      <c r="C37" s="1209"/>
      <c r="D37" s="1215"/>
      <c r="E37" s="1215"/>
      <c r="F37" s="1216"/>
      <c r="G37" s="1216"/>
      <c r="H37" s="1216"/>
      <c r="I37" s="1230">
        <f t="shared" si="0"/>
        <v>0</v>
      </c>
    </row>
    <row r="38" spans="1:16" x14ac:dyDescent="0.25">
      <c r="A38" s="1215" t="s">
        <v>902</v>
      </c>
      <c r="B38" s="1209" t="s">
        <v>903</v>
      </c>
      <c r="C38" s="1209" t="s">
        <v>425</v>
      </c>
      <c r="D38" s="1215">
        <v>65360</v>
      </c>
      <c r="E38" s="1215">
        <v>21</v>
      </c>
      <c r="F38" s="1216">
        <v>1372560</v>
      </c>
      <c r="G38" s="1216">
        <v>1437920</v>
      </c>
      <c r="H38" s="1216">
        <v>1437920</v>
      </c>
      <c r="I38" s="1230">
        <f t="shared" si="0"/>
        <v>0</v>
      </c>
    </row>
    <row r="39" spans="1:16" x14ac:dyDescent="0.25">
      <c r="A39" s="1215"/>
      <c r="B39" s="1209" t="s">
        <v>923</v>
      </c>
      <c r="C39" s="1209"/>
      <c r="D39" s="1215"/>
      <c r="E39" s="1215"/>
      <c r="F39" s="1216"/>
      <c r="G39" s="1216">
        <v>20000</v>
      </c>
      <c r="H39" s="1216">
        <v>20000</v>
      </c>
      <c r="I39" s="1230">
        <f t="shared" si="0"/>
        <v>0</v>
      </c>
    </row>
    <row r="40" spans="1:16" x14ac:dyDescent="0.25">
      <c r="A40" s="1212" t="s">
        <v>904</v>
      </c>
      <c r="B40" s="1209"/>
      <c r="C40" s="1209"/>
      <c r="D40" s="1215"/>
      <c r="E40" s="1215"/>
      <c r="F40" s="1216"/>
      <c r="G40" s="1216"/>
      <c r="H40" s="1216"/>
      <c r="I40" s="1230">
        <f t="shared" si="0"/>
        <v>0</v>
      </c>
    </row>
    <row r="41" spans="1:16" x14ac:dyDescent="0.25">
      <c r="A41" s="1215" t="s">
        <v>905</v>
      </c>
      <c r="B41" s="1209" t="s">
        <v>906</v>
      </c>
      <c r="C41" s="1209" t="s">
        <v>425</v>
      </c>
      <c r="D41" s="1216">
        <v>2200000</v>
      </c>
      <c r="E41" s="1226">
        <v>4.7699999999999996</v>
      </c>
      <c r="F41" s="1216">
        <v>10494000</v>
      </c>
      <c r="G41" s="1216">
        <v>9768000</v>
      </c>
      <c r="H41" s="1216">
        <v>9482000</v>
      </c>
      <c r="I41" s="1230">
        <f t="shared" si="0"/>
        <v>-286000</v>
      </c>
    </row>
    <row r="42" spans="1:16" x14ac:dyDescent="0.25">
      <c r="A42" s="1215" t="s">
        <v>907</v>
      </c>
      <c r="B42" s="1209" t="s">
        <v>908</v>
      </c>
      <c r="C42" s="1209" t="s">
        <v>862</v>
      </c>
      <c r="D42" s="1216">
        <v>0</v>
      </c>
      <c r="E42" s="1216">
        <v>0</v>
      </c>
      <c r="F42" s="1216">
        <v>12818424</v>
      </c>
      <c r="G42" s="1216">
        <v>8096822</v>
      </c>
      <c r="H42" s="1216">
        <v>8096822</v>
      </c>
      <c r="I42" s="1230">
        <f t="shared" si="0"/>
        <v>0</v>
      </c>
    </row>
    <row r="43" spans="1:16" x14ac:dyDescent="0.25">
      <c r="A43" s="1215" t="s">
        <v>909</v>
      </c>
      <c r="B43" s="1209" t="s">
        <v>910</v>
      </c>
      <c r="C43" s="1209" t="s">
        <v>862</v>
      </c>
      <c r="D43" s="1216">
        <v>570</v>
      </c>
      <c r="E43" s="1216">
        <v>64</v>
      </c>
      <c r="F43" s="1216">
        <v>36480</v>
      </c>
      <c r="G43" s="1216">
        <v>7980</v>
      </c>
      <c r="H43" s="1216">
        <v>3990</v>
      </c>
      <c r="I43" s="1230">
        <f t="shared" si="0"/>
        <v>-3990</v>
      </c>
    </row>
    <row r="44" spans="1:16" x14ac:dyDescent="0.25">
      <c r="A44" s="1215"/>
      <c r="B44" s="1209" t="s">
        <v>923</v>
      </c>
      <c r="C44" s="1209"/>
      <c r="D44" s="1216"/>
      <c r="E44" s="1216"/>
      <c r="F44" s="1216"/>
      <c r="G44" s="1216">
        <v>712800</v>
      </c>
      <c r="H44" s="1216">
        <v>712800</v>
      </c>
      <c r="I44" s="1230">
        <f t="shared" si="0"/>
        <v>0</v>
      </c>
    </row>
    <row r="45" spans="1:16" s="1225" customFormat="1" ht="37.5" x14ac:dyDescent="0.3">
      <c r="A45" s="1222" t="s">
        <v>911</v>
      </c>
      <c r="B45" s="1223" t="s">
        <v>912</v>
      </c>
      <c r="C45" s="1223" t="s">
        <v>862</v>
      </c>
      <c r="D45" s="1224">
        <v>0</v>
      </c>
      <c r="E45" s="1224">
        <v>0</v>
      </c>
      <c r="F45" s="1224">
        <f>F36+F38+F41+F42+F43</f>
        <v>34220854</v>
      </c>
      <c r="G45" s="1224">
        <f>G36+G38+G41+G42+G43+G44+G39</f>
        <v>29542912</v>
      </c>
      <c r="H45" s="1224">
        <f>H36+H38+H41+H42+H43+H44+H39</f>
        <v>29252922</v>
      </c>
      <c r="I45" s="1230">
        <f t="shared" si="0"/>
        <v>-289990</v>
      </c>
      <c r="J45" s="1207"/>
      <c r="K45" s="1207"/>
      <c r="L45" s="1207"/>
      <c r="M45" s="1207"/>
      <c r="N45" s="1207"/>
      <c r="O45" s="1207"/>
      <c r="P45" s="1207"/>
    </row>
    <row r="46" spans="1:16" s="1225" customFormat="1" ht="18.75" x14ac:dyDescent="0.3">
      <c r="A46" s="1222" t="s">
        <v>913</v>
      </c>
      <c r="B46" s="1223"/>
      <c r="C46" s="1223"/>
      <c r="D46" s="1222"/>
      <c r="E46" s="1222"/>
      <c r="F46" s="1224">
        <f>SUM(F47)</f>
        <v>1833966</v>
      </c>
      <c r="G46" s="1224">
        <f>SUM(G47)</f>
        <v>1833966</v>
      </c>
      <c r="H46" s="1224">
        <f>SUM(H47)</f>
        <v>1833966</v>
      </c>
      <c r="I46" s="1230">
        <f t="shared" si="0"/>
        <v>0</v>
      </c>
      <c r="J46" s="1207"/>
      <c r="K46" s="1207"/>
      <c r="L46" s="1207"/>
      <c r="M46" s="1207"/>
      <c r="N46" s="1207"/>
      <c r="O46" s="1207"/>
      <c r="P46" s="1207"/>
    </row>
    <row r="47" spans="1:16" x14ac:dyDescent="0.25">
      <c r="A47" s="1215" t="s">
        <v>914</v>
      </c>
      <c r="B47" s="1209" t="s">
        <v>915</v>
      </c>
      <c r="C47" s="1209" t="s">
        <v>862</v>
      </c>
      <c r="D47" s="1216">
        <v>1210</v>
      </c>
      <c r="E47" s="1215" t="s">
        <v>900</v>
      </c>
      <c r="F47" s="1216">
        <v>1833966</v>
      </c>
      <c r="G47" s="1216">
        <v>1833966</v>
      </c>
      <c r="H47" s="1216">
        <v>1833966</v>
      </c>
      <c r="I47" s="1230">
        <f t="shared" si="0"/>
        <v>0</v>
      </c>
    </row>
    <row r="48" spans="1:16" x14ac:dyDescent="0.25">
      <c r="A48" s="1215"/>
      <c r="B48" s="1209" t="s">
        <v>921</v>
      </c>
      <c r="C48" s="1209"/>
      <c r="D48" s="1216"/>
      <c r="E48" s="1215"/>
      <c r="F48" s="1216"/>
      <c r="G48" s="1216">
        <v>630380</v>
      </c>
      <c r="H48" s="1216">
        <v>630380</v>
      </c>
      <c r="I48" s="1230">
        <f t="shared" si="0"/>
        <v>0</v>
      </c>
    </row>
    <row r="49" spans="1:9" x14ac:dyDescent="0.25">
      <c r="A49" s="1215"/>
      <c r="B49" s="1209" t="s">
        <v>922</v>
      </c>
      <c r="C49" s="1209"/>
      <c r="D49" s="1216"/>
      <c r="E49" s="1215"/>
      <c r="F49" s="1216"/>
      <c r="G49" s="1216">
        <v>1583100</v>
      </c>
      <c r="H49" s="1216">
        <v>1583100</v>
      </c>
      <c r="I49" s="1230">
        <f t="shared" si="0"/>
        <v>0</v>
      </c>
    </row>
    <row r="50" spans="1:9" x14ac:dyDescent="0.25">
      <c r="A50" s="1215"/>
      <c r="B50" s="1209" t="s">
        <v>925</v>
      </c>
      <c r="C50" s="1209"/>
      <c r="D50" s="1215"/>
      <c r="E50" s="1215"/>
      <c r="F50" s="1216"/>
      <c r="G50" s="1216">
        <v>1885950</v>
      </c>
      <c r="H50" s="1216">
        <v>1885950</v>
      </c>
      <c r="I50" s="1230">
        <f t="shared" si="0"/>
        <v>0</v>
      </c>
    </row>
    <row r="51" spans="1:9" x14ac:dyDescent="0.25">
      <c r="A51" s="1227" t="s">
        <v>916</v>
      </c>
      <c r="B51" s="1227"/>
      <c r="C51" s="1228"/>
      <c r="D51" s="1227"/>
      <c r="E51" s="1227"/>
      <c r="F51" s="1229">
        <f>SUM(F46+F45+F35+F23+F48+F49+F50)</f>
        <v>115707126</v>
      </c>
      <c r="G51" s="1229">
        <f>SUM(G46+G45+G35+G23+G48+G49+G50)</f>
        <v>123278232</v>
      </c>
      <c r="H51" s="1229">
        <f>SUM(H46+H45+H35+H23+H48+H49+H50)</f>
        <v>122988242</v>
      </c>
      <c r="I51" s="1229">
        <f>SUM(I46+I45+I35+I23+I48+I49+I50)</f>
        <v>-289990</v>
      </c>
    </row>
    <row r="53" spans="1:9" x14ac:dyDescent="0.25">
      <c r="G53" s="1230">
        <v>123278232</v>
      </c>
      <c r="H53" s="1230">
        <v>123278232</v>
      </c>
    </row>
    <row r="55" spans="1:9" x14ac:dyDescent="0.25">
      <c r="G55" s="1230">
        <f>SUM(G53-G51)</f>
        <v>0</v>
      </c>
      <c r="H55" s="1230">
        <f>SUM(H53-H51)</f>
        <v>289990</v>
      </c>
    </row>
  </sheetData>
  <mergeCells count="3">
    <mergeCell ref="A7:F7"/>
    <mergeCell ref="C1:I1"/>
    <mergeCell ref="A5:I5"/>
  </mergeCells>
  <pageMargins left="0.74803149606299213" right="0.74803149606299213" top="0.98425196850393704" bottom="0.98425196850393704" header="0.51181102362204722" footer="0.51181102362204722"/>
  <pageSetup scale="4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7"/>
  <sheetViews>
    <sheetView showGridLines="0" zoomScaleNormal="100" workbookViewId="0">
      <pane ySplit="1" topLeftCell="A2" activePane="bottomLeft" state="frozenSplit"/>
      <selection pane="bottomLeft" activeCell="B2" sqref="B2:C2"/>
    </sheetView>
  </sheetViews>
  <sheetFormatPr defaultColWidth="8.7109375" defaultRowHeight="12.75" x14ac:dyDescent="0.2"/>
  <cols>
    <col min="1" max="1" width="12.42578125" style="949" customWidth="1"/>
    <col min="2" max="2" width="46" style="950" customWidth="1"/>
    <col min="3" max="4" width="16.5703125" style="951" customWidth="1"/>
    <col min="5" max="5" width="15.28515625" style="951" customWidth="1"/>
    <col min="6" max="6" width="13.28515625" style="950" customWidth="1"/>
    <col min="7" max="8" width="8.7109375" style="950"/>
    <col min="9" max="9" width="9" style="950" bestFit="1" customWidth="1"/>
    <col min="10" max="16384" width="8.7109375" style="950"/>
  </cols>
  <sheetData>
    <row r="1" spans="1:6" ht="20.100000000000001" customHeight="1" x14ac:dyDescent="0.2"/>
    <row r="2" spans="1:6" ht="20.100000000000001" customHeight="1" x14ac:dyDescent="0.2">
      <c r="B2" s="1674" t="s">
        <v>1002</v>
      </c>
      <c r="C2" s="1674"/>
      <c r="D2" s="953"/>
      <c r="E2" s="950"/>
    </row>
    <row r="3" spans="1:6" ht="20.100000000000001" customHeight="1" x14ac:dyDescent="0.2">
      <c r="C3" s="634"/>
      <c r="D3" s="634"/>
      <c r="E3" s="634"/>
    </row>
    <row r="4" spans="1:6" ht="26.25" customHeight="1" x14ac:dyDescent="0.2">
      <c r="A4" s="1639" t="s">
        <v>650</v>
      </c>
      <c r="B4" s="1604"/>
      <c r="C4" s="1604"/>
      <c r="D4" s="952"/>
      <c r="E4" s="950"/>
    </row>
    <row r="5" spans="1:6" ht="26.25" customHeight="1" x14ac:dyDescent="0.2">
      <c r="A5" s="815"/>
      <c r="B5" s="772"/>
      <c r="C5" s="772"/>
      <c r="D5" s="772"/>
      <c r="E5" s="772"/>
    </row>
    <row r="6" spans="1:6" ht="26.25" customHeight="1" thickBot="1" x14ac:dyDescent="0.25">
      <c r="A6" s="1675" t="s">
        <v>515</v>
      </c>
      <c r="B6" s="1676"/>
      <c r="C6" s="1676"/>
      <c r="D6" s="1354"/>
      <c r="E6" s="1354"/>
    </row>
    <row r="7" spans="1:6" ht="30.75" customHeight="1" thickBot="1" x14ac:dyDescent="0.25">
      <c r="A7" s="954" t="s">
        <v>70</v>
      </c>
      <c r="B7" s="955" t="s">
        <v>71</v>
      </c>
      <c r="C7" s="821" t="s">
        <v>569</v>
      </c>
      <c r="D7" s="226" t="s">
        <v>665</v>
      </c>
      <c r="E7" s="226" t="s">
        <v>666</v>
      </c>
    </row>
    <row r="8" spans="1:6" ht="26.25" customHeight="1" x14ac:dyDescent="0.2">
      <c r="A8" s="956">
        <v>916071</v>
      </c>
      <c r="B8" s="957" t="s">
        <v>651</v>
      </c>
      <c r="C8" s="958">
        <v>200000</v>
      </c>
      <c r="D8" s="958">
        <v>150000</v>
      </c>
      <c r="E8" s="958">
        <v>150000</v>
      </c>
    </row>
    <row r="9" spans="1:6" ht="26.25" customHeight="1" x14ac:dyDescent="0.2">
      <c r="A9" s="970"/>
      <c r="B9" s="969"/>
      <c r="C9" s="958"/>
      <c r="D9" s="958">
        <v>659</v>
      </c>
      <c r="E9" s="958">
        <v>659</v>
      </c>
    </row>
    <row r="10" spans="1:6" ht="15" customHeight="1" x14ac:dyDescent="0.2">
      <c r="A10" s="1667" t="s">
        <v>18</v>
      </c>
      <c r="B10" s="1668"/>
      <c r="C10" s="959">
        <f>SUM(C8:C9)</f>
        <v>200000</v>
      </c>
      <c r="D10" s="959">
        <f>SUM(D8:D9)</f>
        <v>150659</v>
      </c>
      <c r="E10" s="959">
        <f>SUM(E8:E9)</f>
        <v>150659</v>
      </c>
    </row>
    <row r="11" spans="1:6" ht="15" customHeight="1" x14ac:dyDescent="0.2">
      <c r="A11" s="1669" t="s">
        <v>74</v>
      </c>
      <c r="B11" s="1670"/>
      <c r="C11" s="960">
        <f>C10</f>
        <v>200000</v>
      </c>
      <c r="D11" s="960">
        <f>D10</f>
        <v>150659</v>
      </c>
      <c r="E11" s="960">
        <f>E10</f>
        <v>150659</v>
      </c>
      <c r="F11" s="961"/>
    </row>
    <row r="12" spans="1:6" ht="15" customHeight="1" x14ac:dyDescent="0.2">
      <c r="A12" s="956" t="s">
        <v>604</v>
      </c>
      <c r="B12" s="957" t="s">
        <v>605</v>
      </c>
      <c r="C12" s="958">
        <v>234593</v>
      </c>
      <c r="D12" s="958">
        <v>185252</v>
      </c>
      <c r="E12" s="958">
        <v>125630</v>
      </c>
    </row>
    <row r="13" spans="1:6" ht="15" customHeight="1" x14ac:dyDescent="0.2">
      <c r="A13" s="1667" t="s">
        <v>98</v>
      </c>
      <c r="B13" s="1668"/>
      <c r="C13" s="959">
        <f>SUM(C12:C12)</f>
        <v>234593</v>
      </c>
      <c r="D13" s="959">
        <f>SUM(D12:D12)</f>
        <v>185252</v>
      </c>
      <c r="E13" s="959">
        <f>SUM(E12:E12)</f>
        <v>125630</v>
      </c>
    </row>
    <row r="14" spans="1:6" ht="15" customHeight="1" thickBot="1" x14ac:dyDescent="0.25">
      <c r="A14" s="1665" t="s">
        <v>73</v>
      </c>
      <c r="B14" s="1666"/>
      <c r="C14" s="962">
        <f>C13</f>
        <v>234593</v>
      </c>
      <c r="D14" s="962">
        <f>D13</f>
        <v>185252</v>
      </c>
      <c r="E14" s="962">
        <f>E13</f>
        <v>125630</v>
      </c>
    </row>
    <row r="15" spans="1:6" ht="18" customHeight="1" thickBot="1" x14ac:dyDescent="0.25">
      <c r="A15" s="1671" t="s">
        <v>174</v>
      </c>
      <c r="B15" s="1672"/>
      <c r="C15" s="1672"/>
      <c r="D15" s="1673"/>
      <c r="E15" s="1673"/>
    </row>
    <row r="16" spans="1:6" ht="32.25" customHeight="1" thickBot="1" x14ac:dyDescent="0.25">
      <c r="A16" s="954" t="s">
        <v>70</v>
      </c>
      <c r="B16" s="955" t="s">
        <v>71</v>
      </c>
      <c r="C16" s="821" t="s">
        <v>569</v>
      </c>
      <c r="D16" s="226" t="s">
        <v>665</v>
      </c>
      <c r="E16" s="226" t="s">
        <v>666</v>
      </c>
    </row>
    <row r="17" spans="1:8" ht="23.25" customHeight="1" x14ac:dyDescent="0.2">
      <c r="A17" s="956" t="s">
        <v>652</v>
      </c>
      <c r="B17" s="957" t="s">
        <v>651</v>
      </c>
      <c r="C17" s="958">
        <f>33146900+28733000</f>
        <v>61879900</v>
      </c>
      <c r="D17" s="958">
        <v>50290302</v>
      </c>
      <c r="E17" s="958">
        <v>50290302</v>
      </c>
    </row>
    <row r="18" spans="1:8" ht="18" customHeight="1" x14ac:dyDescent="0.2">
      <c r="A18" s="1667" t="s">
        <v>18</v>
      </c>
      <c r="B18" s="1668"/>
      <c r="C18" s="959">
        <f>SUM(C17:C17)</f>
        <v>61879900</v>
      </c>
      <c r="D18" s="959">
        <f>SUM(D17:D17)</f>
        <v>50290302</v>
      </c>
      <c r="E18" s="959">
        <f>SUM(E17:E17)</f>
        <v>50290302</v>
      </c>
    </row>
    <row r="19" spans="1:8" ht="15" customHeight="1" x14ac:dyDescent="0.2">
      <c r="A19" s="956" t="s">
        <v>511</v>
      </c>
      <c r="B19" s="957" t="s">
        <v>512</v>
      </c>
      <c r="C19" s="958">
        <v>34593</v>
      </c>
      <c r="D19" s="958">
        <v>34593</v>
      </c>
      <c r="E19" s="958">
        <v>34593</v>
      </c>
    </row>
    <row r="20" spans="1:8" ht="15" customHeight="1" x14ac:dyDescent="0.2">
      <c r="A20" s="1667" t="s">
        <v>68</v>
      </c>
      <c r="B20" s="1668"/>
      <c r="C20" s="959">
        <f>SUM(C19)</f>
        <v>34593</v>
      </c>
      <c r="D20" s="959">
        <f>SUM(D19)</f>
        <v>34593</v>
      </c>
      <c r="E20" s="959">
        <f>SUM(E19)</f>
        <v>34593</v>
      </c>
    </row>
    <row r="21" spans="1:8" ht="15" customHeight="1" x14ac:dyDescent="0.2">
      <c r="A21" s="1669" t="s">
        <v>74</v>
      </c>
      <c r="B21" s="1670"/>
      <c r="C21" s="960">
        <f>SUM(C20,C18)</f>
        <v>61914493</v>
      </c>
      <c r="D21" s="960">
        <f>SUM(D20,D18)</f>
        <v>50324895</v>
      </c>
      <c r="E21" s="960">
        <f>SUM(E20,E18)</f>
        <v>50324895</v>
      </c>
    </row>
    <row r="22" spans="1:8" ht="15" customHeight="1" x14ac:dyDescent="0.2">
      <c r="A22" s="956" t="s">
        <v>653</v>
      </c>
      <c r="B22" s="957" t="s">
        <v>654</v>
      </c>
      <c r="C22" s="958">
        <v>33146900</v>
      </c>
      <c r="D22" s="1336">
        <v>32223370</v>
      </c>
      <c r="E22" s="1336">
        <v>32223370</v>
      </c>
      <c r="F22" s="952"/>
      <c r="G22" s="952"/>
      <c r="H22" s="952"/>
    </row>
    <row r="23" spans="1:8" ht="15" customHeight="1" x14ac:dyDescent="0.2">
      <c r="A23" s="956" t="s">
        <v>653</v>
      </c>
      <c r="B23" s="957" t="s">
        <v>655</v>
      </c>
      <c r="C23" s="963">
        <v>28733000</v>
      </c>
      <c r="D23" s="1337">
        <f>20632957-2566025</f>
        <v>18066932</v>
      </c>
      <c r="E23" s="1337">
        <v>18066932</v>
      </c>
      <c r="F23" s="952"/>
      <c r="G23" s="952"/>
      <c r="H23" s="952"/>
    </row>
    <row r="24" spans="1:8" ht="15" customHeight="1" x14ac:dyDescent="0.2">
      <c r="A24" s="1667" t="s">
        <v>656</v>
      </c>
      <c r="B24" s="1668"/>
      <c r="C24" s="964">
        <f>SUM(C22:C23)</f>
        <v>61879900</v>
      </c>
      <c r="D24" s="1338">
        <f>SUM(D22:D23)</f>
        <v>50290302</v>
      </c>
      <c r="E24" s="1338">
        <f>SUM(E22:E23)</f>
        <v>50290302</v>
      </c>
      <c r="F24" s="952"/>
      <c r="G24" s="952"/>
      <c r="H24" s="952"/>
    </row>
    <row r="25" spans="1:8" ht="15" customHeight="1" thickBot="1" x14ac:dyDescent="0.25">
      <c r="A25" s="1665" t="s">
        <v>73</v>
      </c>
      <c r="B25" s="1666"/>
      <c r="C25" s="962">
        <f>C24</f>
        <v>61879900</v>
      </c>
      <c r="D25" s="962">
        <f>D24</f>
        <v>50290302</v>
      </c>
      <c r="E25" s="962">
        <f>E24</f>
        <v>50290302</v>
      </c>
      <c r="F25" s="961"/>
      <c r="G25" s="961"/>
    </row>
    <row r="26" spans="1:8" x14ac:dyDescent="0.2">
      <c r="A26" s="797" t="s">
        <v>87</v>
      </c>
      <c r="B26" s="798" t="s">
        <v>97</v>
      </c>
      <c r="C26" s="799"/>
      <c r="D26" s="799"/>
      <c r="E26" s="799"/>
    </row>
    <row r="27" spans="1:8" x14ac:dyDescent="0.2">
      <c r="A27" s="800" t="s">
        <v>88</v>
      </c>
      <c r="B27" s="801" t="s">
        <v>94</v>
      </c>
      <c r="C27" s="802"/>
      <c r="D27" s="802"/>
      <c r="E27" s="802"/>
    </row>
    <row r="28" spans="1:8" x14ac:dyDescent="0.2">
      <c r="A28" s="800" t="s">
        <v>92</v>
      </c>
      <c r="B28" s="801" t="s">
        <v>98</v>
      </c>
      <c r="C28" s="802">
        <f>SUM(C13)</f>
        <v>234593</v>
      </c>
      <c r="D28" s="802">
        <f>SUM(D13)</f>
        <v>185252</v>
      </c>
      <c r="E28" s="802">
        <f>SUM(E13)</f>
        <v>125630</v>
      </c>
    </row>
    <row r="29" spans="1:8" x14ac:dyDescent="0.2">
      <c r="A29" s="800" t="s">
        <v>93</v>
      </c>
      <c r="B29" s="801" t="s">
        <v>23</v>
      </c>
      <c r="C29" s="802"/>
      <c r="D29" s="802"/>
      <c r="E29" s="802"/>
    </row>
    <row r="30" spans="1:8" x14ac:dyDescent="0.2">
      <c r="A30" s="800" t="s">
        <v>111</v>
      </c>
      <c r="B30" s="801" t="s">
        <v>24</v>
      </c>
      <c r="C30" s="802"/>
      <c r="D30" s="802"/>
      <c r="E30" s="802"/>
    </row>
    <row r="31" spans="1:8" x14ac:dyDescent="0.2">
      <c r="A31" s="800" t="s">
        <v>112</v>
      </c>
      <c r="B31" s="801" t="s">
        <v>12</v>
      </c>
      <c r="C31" s="802"/>
      <c r="D31" s="802"/>
      <c r="E31" s="802"/>
    </row>
    <row r="32" spans="1:8" x14ac:dyDescent="0.2">
      <c r="A32" s="800" t="s">
        <v>113</v>
      </c>
      <c r="B32" s="801" t="s">
        <v>11</v>
      </c>
      <c r="C32" s="802"/>
      <c r="D32" s="802"/>
      <c r="E32" s="802"/>
    </row>
    <row r="33" spans="1:6" x14ac:dyDescent="0.2">
      <c r="A33" s="800" t="s">
        <v>114</v>
      </c>
      <c r="B33" s="801" t="s">
        <v>619</v>
      </c>
      <c r="C33" s="802"/>
      <c r="D33" s="802"/>
      <c r="E33" s="802"/>
    </row>
    <row r="34" spans="1:6" x14ac:dyDescent="0.2">
      <c r="A34" s="800" t="s">
        <v>115</v>
      </c>
      <c r="B34" s="801" t="s">
        <v>69</v>
      </c>
      <c r="C34" s="802">
        <f>SUM(C24)</f>
        <v>61879900</v>
      </c>
      <c r="D34" s="802">
        <f>SUM(D24)</f>
        <v>50290302</v>
      </c>
      <c r="E34" s="802">
        <f>SUM(E24)</f>
        <v>50290302</v>
      </c>
    </row>
    <row r="35" spans="1:6" x14ac:dyDescent="0.2">
      <c r="A35" s="803"/>
      <c r="B35" s="804" t="s">
        <v>99</v>
      </c>
      <c r="C35" s="805">
        <f>SUM(C26:C34)</f>
        <v>62114493</v>
      </c>
      <c r="D35" s="805">
        <f>SUM(D26:D34)</f>
        <v>50475554</v>
      </c>
      <c r="E35" s="805">
        <f>SUM(E26:E34)</f>
        <v>50415932</v>
      </c>
    </row>
    <row r="36" spans="1:6" x14ac:dyDescent="0.2">
      <c r="A36" s="806"/>
      <c r="B36" s="965"/>
      <c r="C36" s="966"/>
      <c r="D36" s="966"/>
      <c r="E36" s="966"/>
    </row>
    <row r="37" spans="1:6" x14ac:dyDescent="0.2">
      <c r="A37" s="800" t="s">
        <v>100</v>
      </c>
      <c r="B37" s="801" t="s">
        <v>18</v>
      </c>
      <c r="C37" s="802">
        <f>C8+C18</f>
        <v>62079900</v>
      </c>
      <c r="D37" s="802">
        <f>D8+D18</f>
        <v>50440302</v>
      </c>
      <c r="E37" s="802">
        <f>E8+E18</f>
        <v>50440302</v>
      </c>
    </row>
    <row r="38" spans="1:6" x14ac:dyDescent="0.2">
      <c r="A38" s="806"/>
      <c r="B38" s="807" t="s">
        <v>101</v>
      </c>
      <c r="C38" s="808"/>
      <c r="D38" s="808"/>
      <c r="E38" s="808"/>
    </row>
    <row r="39" spans="1:6" x14ac:dyDescent="0.2">
      <c r="A39" s="800" t="s">
        <v>102</v>
      </c>
      <c r="B39" s="801" t="s">
        <v>51</v>
      </c>
      <c r="C39" s="802"/>
      <c r="D39" s="802"/>
      <c r="E39" s="802"/>
    </row>
    <row r="40" spans="1:6" x14ac:dyDescent="0.2">
      <c r="A40" s="800" t="s">
        <v>103</v>
      </c>
      <c r="B40" s="801" t="s">
        <v>124</v>
      </c>
      <c r="C40" s="802"/>
      <c r="D40" s="802"/>
      <c r="E40" s="802"/>
    </row>
    <row r="41" spans="1:6" x14ac:dyDescent="0.2">
      <c r="A41" s="800" t="s">
        <v>104</v>
      </c>
      <c r="B41" s="801" t="s">
        <v>20</v>
      </c>
      <c r="C41" s="802"/>
      <c r="D41" s="802">
        <f>SUM(D9)</f>
        <v>659</v>
      </c>
      <c r="E41" s="802">
        <f>SUM(E9)</f>
        <v>659</v>
      </c>
    </row>
    <row r="42" spans="1:6" x14ac:dyDescent="0.2">
      <c r="A42" s="800" t="s">
        <v>105</v>
      </c>
      <c r="B42" s="801" t="s">
        <v>54</v>
      </c>
      <c r="C42" s="967"/>
      <c r="D42" s="967"/>
      <c r="E42" s="967"/>
    </row>
    <row r="43" spans="1:6" x14ac:dyDescent="0.2">
      <c r="A43" s="800" t="s">
        <v>106</v>
      </c>
      <c r="B43" s="801" t="s">
        <v>96</v>
      </c>
      <c r="C43" s="802"/>
      <c r="D43" s="802"/>
      <c r="E43" s="802"/>
    </row>
    <row r="44" spans="1:6" x14ac:dyDescent="0.2">
      <c r="A44" s="800" t="s">
        <v>107</v>
      </c>
      <c r="B44" s="801" t="s">
        <v>95</v>
      </c>
      <c r="C44" s="802"/>
      <c r="D44" s="802"/>
      <c r="E44" s="802"/>
    </row>
    <row r="45" spans="1:6" x14ac:dyDescent="0.2">
      <c r="A45" s="800" t="s">
        <v>108</v>
      </c>
      <c r="B45" s="801" t="s">
        <v>68</v>
      </c>
      <c r="C45" s="802">
        <f>C20</f>
        <v>34593</v>
      </c>
      <c r="D45" s="802">
        <f>D20</f>
        <v>34593</v>
      </c>
      <c r="E45" s="802">
        <f>E20</f>
        <v>34593</v>
      </c>
    </row>
    <row r="46" spans="1:6" ht="13.5" thickBot="1" x14ac:dyDescent="0.25">
      <c r="A46" s="809"/>
      <c r="B46" s="810" t="s">
        <v>109</v>
      </c>
      <c r="C46" s="811">
        <f>C37+C39+C40+C41+C42+C43+C44+C45</f>
        <v>62114493</v>
      </c>
      <c r="D46" s="811">
        <f>D37+D39+D40+D41+D42+D43+D44+D45</f>
        <v>50475554</v>
      </c>
      <c r="E46" s="811">
        <f>E37+E39+E40+E41+E42+E43+E44+E45</f>
        <v>50475554</v>
      </c>
      <c r="F46" s="961">
        <f>SUM(C46-C35)</f>
        <v>0</v>
      </c>
    </row>
    <row r="47" spans="1:6" x14ac:dyDescent="0.2">
      <c r="C47" s="968">
        <f>SUM(C46-C35)</f>
        <v>0</v>
      </c>
      <c r="D47" s="968">
        <f>SUM(D46-D35)</f>
        <v>0</v>
      </c>
      <c r="E47" s="968">
        <f>SUM(E46-E35)</f>
        <v>59622</v>
      </c>
    </row>
  </sheetData>
  <mergeCells count="13">
    <mergeCell ref="B2:C2"/>
    <mergeCell ref="A4:C4"/>
    <mergeCell ref="A10:B10"/>
    <mergeCell ref="A11:B11"/>
    <mergeCell ref="A13:B13"/>
    <mergeCell ref="A6:E6"/>
    <mergeCell ref="A25:B25"/>
    <mergeCell ref="A14:B14"/>
    <mergeCell ref="A18:B18"/>
    <mergeCell ref="A20:B20"/>
    <mergeCell ref="A21:B21"/>
    <mergeCell ref="A24:B24"/>
    <mergeCell ref="A15:E15"/>
  </mergeCells>
  <printOptions horizontalCentered="1"/>
  <pageMargins left="0.59055118110236227" right="0.59055118110236227" top="0.19685039370078741" bottom="0.39370078740157483" header="0.59055118110236227" footer="0.59055118110236227"/>
  <pageSetup paperSize="9" scale="86" orientation="portrait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92D050"/>
  </sheetPr>
  <dimension ref="A4:R44"/>
  <sheetViews>
    <sheetView zoomScale="115" zoomScaleNormal="115" zoomScaleSheetLayoutView="100" workbookViewId="0">
      <selection activeCell="H4" sqref="H4:N4"/>
    </sheetView>
  </sheetViews>
  <sheetFormatPr defaultRowHeight="12.75" x14ac:dyDescent="0.2"/>
  <cols>
    <col min="1" max="1" width="49.85546875" style="2" customWidth="1"/>
    <col min="2" max="2" width="11.5703125" style="1" bestFit="1" customWidth="1"/>
    <col min="3" max="3" width="11.5703125" style="1" hidden="1" customWidth="1"/>
    <col min="4" max="5" width="11.42578125" style="1" customWidth="1"/>
    <col min="6" max="6" width="11.5703125" style="1" bestFit="1" customWidth="1"/>
    <col min="7" max="7" width="8" style="1" customWidth="1"/>
    <col min="8" max="8" width="47.28515625" style="1" customWidth="1"/>
    <col min="9" max="9" width="13.28515625" style="1" bestFit="1" customWidth="1"/>
    <col min="10" max="10" width="13.140625" style="1" hidden="1" customWidth="1"/>
    <col min="11" max="12" width="13.7109375" style="1" customWidth="1"/>
    <col min="13" max="13" width="13.140625" style="1" bestFit="1" customWidth="1"/>
    <col min="14" max="14" width="7.7109375" style="311" customWidth="1"/>
    <col min="15" max="16384" width="9.140625" style="1"/>
  </cols>
  <sheetData>
    <row r="4" spans="1:14" ht="12.75" customHeight="1" x14ac:dyDescent="0.2">
      <c r="H4" s="1353" t="s">
        <v>1005</v>
      </c>
      <c r="I4" s="1353"/>
      <c r="J4" s="1360"/>
      <c r="K4" s="1360"/>
      <c r="L4" s="1360"/>
      <c r="M4" s="1360"/>
      <c r="N4" s="1360"/>
    </row>
    <row r="5" spans="1:14" x14ac:dyDescent="0.2">
      <c r="H5" s="3"/>
    </row>
    <row r="6" spans="1:14" x14ac:dyDescent="0.2">
      <c r="H6" s="3"/>
    </row>
    <row r="7" spans="1:14" ht="15.75" customHeight="1" x14ac:dyDescent="0.2">
      <c r="A7" s="1350" t="s">
        <v>679</v>
      </c>
      <c r="B7" s="1350"/>
      <c r="C7" s="1350"/>
      <c r="D7" s="1350"/>
      <c r="E7" s="1350"/>
      <c r="F7" s="1350"/>
      <c r="G7" s="1350"/>
      <c r="H7" s="1350"/>
      <c r="I7" s="1350"/>
      <c r="J7" s="1349"/>
      <c r="K7" s="1349"/>
      <c r="L7" s="1349"/>
      <c r="M7" s="1349"/>
    </row>
    <row r="8" spans="1:14" ht="15.75" customHeight="1" x14ac:dyDescent="0.2">
      <c r="A8" s="1318"/>
      <c r="B8" s="1318"/>
      <c r="C8" s="1318"/>
      <c r="D8" s="1318"/>
      <c r="E8" s="1318"/>
      <c r="F8" s="1318"/>
      <c r="G8" s="1318"/>
      <c r="H8" s="1318"/>
      <c r="I8" s="1318"/>
      <c r="J8" s="1317"/>
      <c r="K8" s="1317"/>
      <c r="L8" s="1317"/>
      <c r="M8" s="1317"/>
    </row>
    <row r="9" spans="1:14" ht="14.25" thickBot="1" x14ac:dyDescent="0.25">
      <c r="I9" s="4"/>
      <c r="J9" s="4"/>
      <c r="K9" s="4"/>
      <c r="L9" s="4"/>
      <c r="M9" s="4"/>
      <c r="N9" s="312" t="s">
        <v>83</v>
      </c>
    </row>
    <row r="10" spans="1:14" ht="18" customHeight="1" thickBot="1" x14ac:dyDescent="0.25">
      <c r="A10" s="5" t="s">
        <v>14</v>
      </c>
      <c r="B10" s="53"/>
      <c r="C10" s="53"/>
      <c r="D10" s="53"/>
      <c r="E10" s="53"/>
      <c r="F10" s="53"/>
      <c r="G10" s="53"/>
      <c r="H10" s="1358" t="s">
        <v>15</v>
      </c>
      <c r="I10" s="1359"/>
      <c r="J10" s="54"/>
      <c r="K10" s="54"/>
      <c r="L10" s="54"/>
      <c r="M10" s="54"/>
      <c r="N10" s="313"/>
    </row>
    <row r="11" spans="1:14" s="7" customFormat="1" ht="49.5" customHeight="1" thickBot="1" x14ac:dyDescent="0.25">
      <c r="A11" s="6" t="s">
        <v>16</v>
      </c>
      <c r="B11" s="226" t="s">
        <v>269</v>
      </c>
      <c r="C11" s="226" t="s">
        <v>281</v>
      </c>
      <c r="D11" s="226" t="s">
        <v>282</v>
      </c>
      <c r="E11" s="226" t="s">
        <v>658</v>
      </c>
      <c r="F11" s="226" t="s">
        <v>659</v>
      </c>
      <c r="G11" s="267" t="s">
        <v>283</v>
      </c>
      <c r="H11" s="6" t="s">
        <v>16</v>
      </c>
      <c r="I11" s="226" t="s">
        <v>269</v>
      </c>
      <c r="J11" s="226" t="s">
        <v>281</v>
      </c>
      <c r="K11" s="226" t="s">
        <v>282</v>
      </c>
      <c r="L11" s="226" t="s">
        <v>658</v>
      </c>
      <c r="M11" s="163" t="s">
        <v>659</v>
      </c>
      <c r="N11" s="1014" t="s">
        <v>283</v>
      </c>
    </row>
    <row r="12" spans="1:14" ht="12.95" customHeight="1" x14ac:dyDescent="0.2">
      <c r="A12" s="8" t="s">
        <v>134</v>
      </c>
      <c r="B12" s="9">
        <v>6107000</v>
      </c>
      <c r="C12" s="9">
        <v>1386507</v>
      </c>
      <c r="D12" s="9">
        <v>1386507</v>
      </c>
      <c r="E12" s="9">
        <v>1296099</v>
      </c>
      <c r="F12" s="9">
        <v>1296099</v>
      </c>
      <c r="G12" s="298">
        <f>SUM(F12/E12)</f>
        <v>1</v>
      </c>
      <c r="H12" s="8" t="s">
        <v>17</v>
      </c>
      <c r="I12" s="10">
        <v>30385000</v>
      </c>
      <c r="J12" s="10">
        <v>31570000</v>
      </c>
      <c r="K12" s="10">
        <v>33627000</v>
      </c>
      <c r="L12" s="10">
        <v>34725944</v>
      </c>
      <c r="M12" s="10">
        <v>34360995</v>
      </c>
      <c r="N12" s="1015">
        <f>SUM(M12/L12)</f>
        <v>0.98949059527366623</v>
      </c>
    </row>
    <row r="13" spans="1:14" ht="12.95" customHeight="1" x14ac:dyDescent="0.2">
      <c r="A13" s="11" t="s">
        <v>124</v>
      </c>
      <c r="B13" s="21">
        <v>30000</v>
      </c>
      <c r="C13" s="21">
        <v>30000</v>
      </c>
      <c r="D13" s="21">
        <v>30000</v>
      </c>
      <c r="E13" s="21">
        <v>5000</v>
      </c>
      <c r="F13" s="21">
        <v>5000</v>
      </c>
      <c r="G13" s="298">
        <f>SUM(F13/E13)</f>
        <v>1</v>
      </c>
      <c r="H13" s="11" t="s">
        <v>19</v>
      </c>
      <c r="I13" s="22">
        <v>5580000</v>
      </c>
      <c r="J13" s="22">
        <v>5781507</v>
      </c>
      <c r="K13" s="22">
        <v>6100507</v>
      </c>
      <c r="L13" s="22">
        <v>5621060</v>
      </c>
      <c r="M13" s="22">
        <v>5538359</v>
      </c>
      <c r="N13" s="1015">
        <f>SUM(M13/L13)</f>
        <v>0.98528729456721686</v>
      </c>
    </row>
    <row r="14" spans="1:14" ht="12.95" customHeight="1" x14ac:dyDescent="0.2">
      <c r="A14" s="11" t="s">
        <v>20</v>
      </c>
      <c r="B14" s="21">
        <v>11000</v>
      </c>
      <c r="C14" s="21">
        <v>21000</v>
      </c>
      <c r="D14" s="21">
        <v>21000</v>
      </c>
      <c r="E14" s="21">
        <v>39934</v>
      </c>
      <c r="F14" s="21">
        <v>39934</v>
      </c>
      <c r="G14" s="298">
        <f>SUM(F14/E14)</f>
        <v>1</v>
      </c>
      <c r="H14" s="11" t="s">
        <v>21</v>
      </c>
      <c r="I14" s="22">
        <v>4281000</v>
      </c>
      <c r="J14" s="22">
        <v>4370296</v>
      </c>
      <c r="K14" s="22">
        <v>4370296</v>
      </c>
      <c r="L14" s="22">
        <v>4280990</v>
      </c>
      <c r="M14" s="22">
        <v>2332989</v>
      </c>
      <c r="N14" s="1015">
        <f>SUM(M14/L14)</f>
        <v>0.544964832900801</v>
      </c>
    </row>
    <row r="15" spans="1:14" ht="12.95" customHeight="1" thickBot="1" x14ac:dyDescent="0.25">
      <c r="A15" s="11" t="s">
        <v>22</v>
      </c>
      <c r="B15" s="21">
        <v>0</v>
      </c>
      <c r="C15" s="21">
        <v>0</v>
      </c>
      <c r="D15" s="21"/>
      <c r="E15" s="21"/>
      <c r="F15" s="21">
        <v>0</v>
      </c>
      <c r="G15" s="298"/>
      <c r="H15" s="11" t="s">
        <v>24</v>
      </c>
      <c r="I15" s="22"/>
      <c r="J15" s="22">
        <v>10000</v>
      </c>
      <c r="K15" s="22">
        <v>10000</v>
      </c>
      <c r="L15" s="22">
        <v>4208</v>
      </c>
      <c r="M15" s="22">
        <v>4208</v>
      </c>
      <c r="N15" s="1015">
        <f>SUM(M15/L15)</f>
        <v>1</v>
      </c>
    </row>
    <row r="16" spans="1:14" ht="15.95" customHeight="1" thickBot="1" x14ac:dyDescent="0.25">
      <c r="A16" s="12" t="s">
        <v>146</v>
      </c>
      <c r="B16" s="24">
        <f>SUM(B12:B15)</f>
        <v>6148000</v>
      </c>
      <c r="C16" s="24">
        <f>SUM(C12:C15)</f>
        <v>1437507</v>
      </c>
      <c r="D16" s="24">
        <f>SUM(D12:D15)</f>
        <v>1437507</v>
      </c>
      <c r="E16" s="24">
        <f>SUM(E12:E15)</f>
        <v>1341033</v>
      </c>
      <c r="F16" s="24">
        <f>SUM(F12:F15)</f>
        <v>1341033</v>
      </c>
      <c r="G16" s="299">
        <f>SUM(F16/E16)</f>
        <v>1</v>
      </c>
      <c r="H16" s="12" t="s">
        <v>150</v>
      </c>
      <c r="I16" s="25">
        <f>SUM(I12:I15)</f>
        <v>40246000</v>
      </c>
      <c r="J16" s="25">
        <f>SUM(J12:J15)</f>
        <v>41731803</v>
      </c>
      <c r="K16" s="25">
        <f>SUM(K12:K15)</f>
        <v>44107803</v>
      </c>
      <c r="L16" s="25">
        <f>SUM(L12:L15)</f>
        <v>44632202</v>
      </c>
      <c r="M16" s="25">
        <f>SUM(M12:M15)</f>
        <v>42236551</v>
      </c>
      <c r="N16" s="1016">
        <f>SUM(M16/L16)</f>
        <v>0.94632460661474871</v>
      </c>
    </row>
    <row r="17" spans="1:18" ht="12.95" customHeight="1" x14ac:dyDescent="0.2">
      <c r="A17" s="13" t="s">
        <v>147</v>
      </c>
      <c r="B17" s="26"/>
      <c r="C17" s="26"/>
      <c r="D17" s="26"/>
      <c r="E17" s="26"/>
      <c r="F17" s="26"/>
      <c r="G17" s="300"/>
      <c r="H17" s="14" t="s">
        <v>32</v>
      </c>
      <c r="I17" s="27"/>
      <c r="J17" s="27"/>
      <c r="K17" s="27"/>
      <c r="L17" s="27"/>
      <c r="M17" s="27"/>
      <c r="N17" s="1017"/>
    </row>
    <row r="18" spans="1:18" ht="12.95" customHeight="1" x14ac:dyDescent="0.2">
      <c r="A18" s="38" t="s">
        <v>0</v>
      </c>
      <c r="B18" s="28">
        <v>2200000</v>
      </c>
      <c r="C18" s="28">
        <v>2289296</v>
      </c>
      <c r="D18" s="28">
        <v>2289296</v>
      </c>
      <c r="E18" s="28">
        <v>1805169</v>
      </c>
      <c r="F18" s="28">
        <v>1805169</v>
      </c>
      <c r="G18" s="301">
        <f>SUM(F18/E18)</f>
        <v>1</v>
      </c>
      <c r="H18" s="14" t="s">
        <v>34</v>
      </c>
      <c r="I18" s="29"/>
      <c r="J18" s="29"/>
      <c r="K18" s="29"/>
      <c r="L18" s="29"/>
      <c r="M18" s="29"/>
      <c r="N18" s="1018"/>
    </row>
    <row r="19" spans="1:18" ht="12.95" customHeight="1" x14ac:dyDescent="0.2">
      <c r="A19" s="38" t="s">
        <v>35</v>
      </c>
      <c r="B19" s="28"/>
      <c r="C19" s="28"/>
      <c r="D19" s="28"/>
      <c r="E19" s="28"/>
      <c r="F19" s="28"/>
      <c r="G19" s="301"/>
      <c r="H19" s="14" t="s">
        <v>36</v>
      </c>
      <c r="I19" s="29"/>
      <c r="J19" s="29"/>
      <c r="K19" s="29"/>
      <c r="L19" s="29"/>
      <c r="M19" s="29"/>
      <c r="N19" s="1018"/>
    </row>
    <row r="20" spans="1:18" ht="12.95" customHeight="1" x14ac:dyDescent="0.2">
      <c r="A20" s="38" t="s">
        <v>37</v>
      </c>
      <c r="B20" s="28"/>
      <c r="C20" s="28"/>
      <c r="D20" s="28"/>
      <c r="E20" s="28"/>
      <c r="F20" s="28"/>
      <c r="G20" s="301"/>
      <c r="H20" s="14" t="s">
        <v>38</v>
      </c>
      <c r="I20" s="29"/>
      <c r="J20" s="29"/>
      <c r="K20" s="29"/>
      <c r="L20" s="29"/>
      <c r="M20" s="29"/>
      <c r="N20" s="1018"/>
    </row>
    <row r="21" spans="1:18" ht="12.95" customHeight="1" x14ac:dyDescent="0.2">
      <c r="A21" s="23" t="s">
        <v>135</v>
      </c>
      <c r="B21" s="21">
        <v>32152000</v>
      </c>
      <c r="C21" s="21">
        <v>38259000</v>
      </c>
      <c r="D21" s="21">
        <v>40635000</v>
      </c>
      <c r="E21" s="21">
        <v>41740000</v>
      </c>
      <c r="F21" s="21">
        <v>41740000</v>
      </c>
      <c r="G21" s="298">
        <f>SUM(F21/E21)</f>
        <v>1</v>
      </c>
      <c r="H21" s="13" t="s">
        <v>40</v>
      </c>
      <c r="I21" s="29"/>
      <c r="J21" s="29"/>
      <c r="K21" s="29"/>
      <c r="L21" s="29"/>
      <c r="M21" s="29"/>
      <c r="N21" s="1018"/>
    </row>
    <row r="22" spans="1:18" ht="12.95" customHeight="1" x14ac:dyDescent="0.2">
      <c r="A22" s="14" t="s">
        <v>148</v>
      </c>
      <c r="B22" s="30">
        <f>+B23</f>
        <v>0</v>
      </c>
      <c r="C22" s="30">
        <f>+C23</f>
        <v>0</v>
      </c>
      <c r="D22" s="30"/>
      <c r="E22" s="30"/>
      <c r="F22" s="30">
        <f>+F23</f>
        <v>0</v>
      </c>
      <c r="G22" s="302"/>
      <c r="H22" s="14" t="s">
        <v>41</v>
      </c>
      <c r="I22" s="29"/>
      <c r="J22" s="29"/>
      <c r="K22" s="29"/>
      <c r="L22" s="29"/>
      <c r="M22" s="29"/>
      <c r="N22" s="1018"/>
    </row>
    <row r="23" spans="1:18" ht="12.95" customHeight="1" thickBot="1" x14ac:dyDescent="0.25">
      <c r="A23" s="34" t="s">
        <v>43</v>
      </c>
      <c r="B23" s="31"/>
      <c r="C23" s="31"/>
      <c r="D23" s="31"/>
      <c r="E23" s="31"/>
      <c r="F23" s="31"/>
      <c r="G23" s="303"/>
      <c r="H23" s="8" t="s">
        <v>44</v>
      </c>
      <c r="I23" s="27"/>
      <c r="J23" s="27"/>
      <c r="K23" s="27"/>
      <c r="L23" s="27"/>
      <c r="M23" s="27"/>
      <c r="N23" s="1017"/>
    </row>
    <row r="24" spans="1:18" ht="15.95" customHeight="1" thickBot="1" x14ac:dyDescent="0.25">
      <c r="A24" s="12" t="s">
        <v>151</v>
      </c>
      <c r="B24" s="24">
        <f>SUM(B17:B23)</f>
        <v>34352000</v>
      </c>
      <c r="C24" s="24">
        <f>SUM(C17:C23)</f>
        <v>40548296</v>
      </c>
      <c r="D24" s="24">
        <f>SUM(D17:D23)</f>
        <v>42924296</v>
      </c>
      <c r="E24" s="24">
        <f>SUM(E17:E23)</f>
        <v>43545169</v>
      </c>
      <c r="F24" s="24">
        <f>SUM(F17:F23)</f>
        <v>43545169</v>
      </c>
      <c r="G24" s="299">
        <f>SUM(F24/E24)</f>
        <v>1</v>
      </c>
      <c r="H24" s="12" t="s">
        <v>149</v>
      </c>
      <c r="I24" s="25">
        <f>SUM(I17:I23)</f>
        <v>0</v>
      </c>
      <c r="J24" s="25">
        <f>SUM(J17:J23)</f>
        <v>0</v>
      </c>
      <c r="K24" s="25"/>
      <c r="L24" s="25"/>
      <c r="M24" s="25">
        <f>SUM(M17:M23)</f>
        <v>0</v>
      </c>
      <c r="N24" s="1016">
        <f>SUM(N17:N23)</f>
        <v>0</v>
      </c>
    </row>
    <row r="25" spans="1:18" s="45" customFormat="1" ht="15.75" thickBot="1" x14ac:dyDescent="0.25">
      <c r="A25" s="15" t="s">
        <v>152</v>
      </c>
      <c r="B25" s="32">
        <f>B16+B24</f>
        <v>40500000</v>
      </c>
      <c r="C25" s="32">
        <f>C16+C24</f>
        <v>41985803</v>
      </c>
      <c r="D25" s="32">
        <f>D16+D24</f>
        <v>44361803</v>
      </c>
      <c r="E25" s="32">
        <f>E16+E24</f>
        <v>44886202</v>
      </c>
      <c r="F25" s="32">
        <f>F16+F24</f>
        <v>44886202</v>
      </c>
      <c r="G25" s="304">
        <f>SUM(F25/E25)</f>
        <v>1</v>
      </c>
      <c r="H25" s="15" t="s">
        <v>49</v>
      </c>
      <c r="I25" s="32">
        <f>+I16+I24</f>
        <v>40246000</v>
      </c>
      <c r="J25" s="32">
        <f>+J16+J24</f>
        <v>41731803</v>
      </c>
      <c r="K25" s="32">
        <f>+K16+K24</f>
        <v>44107803</v>
      </c>
      <c r="L25" s="32">
        <f>+L16+L24</f>
        <v>44632202</v>
      </c>
      <c r="M25" s="32">
        <f>+M16+M24</f>
        <v>42236551</v>
      </c>
      <c r="N25" s="304">
        <f>SUM(M25/L25)</f>
        <v>0.94632460661474871</v>
      </c>
    </row>
    <row r="26" spans="1:18" x14ac:dyDescent="0.2">
      <c r="A26" s="16" t="s">
        <v>51</v>
      </c>
      <c r="B26" s="9"/>
      <c r="C26" s="9"/>
      <c r="D26" s="9"/>
      <c r="E26" s="9"/>
      <c r="F26" s="9"/>
      <c r="G26" s="298"/>
      <c r="H26" s="16" t="s">
        <v>12</v>
      </c>
      <c r="I26" s="10">
        <v>254000</v>
      </c>
      <c r="J26" s="10">
        <v>254000</v>
      </c>
      <c r="K26" s="10">
        <v>254000</v>
      </c>
      <c r="L26" s="10">
        <v>254000</v>
      </c>
      <c r="M26" s="10">
        <v>32990</v>
      </c>
      <c r="N26" s="1015">
        <f>SUM(M26/L26)</f>
        <v>0.12988188976377954</v>
      </c>
      <c r="O26" s="1">
        <f>SUM(I26+I16)</f>
        <v>40500000</v>
      </c>
      <c r="P26" s="1">
        <f>SUM(J26+J16)</f>
        <v>41985803</v>
      </c>
      <c r="Q26" s="1">
        <f>SUM(K26+K16)</f>
        <v>44361803</v>
      </c>
      <c r="R26" s="1">
        <f>SUM(M26+M16)</f>
        <v>42269541</v>
      </c>
    </row>
    <row r="27" spans="1:18" x14ac:dyDescent="0.2">
      <c r="A27" s="47" t="s">
        <v>145</v>
      </c>
      <c r="B27" s="21"/>
      <c r="C27" s="21"/>
      <c r="D27" s="21"/>
      <c r="E27" s="21"/>
      <c r="F27" s="21"/>
      <c r="G27" s="305"/>
      <c r="H27" s="47" t="s">
        <v>143</v>
      </c>
      <c r="I27" s="22"/>
      <c r="J27" s="22"/>
      <c r="K27" s="22"/>
      <c r="L27" s="22"/>
      <c r="M27" s="22"/>
      <c r="N27" s="1019"/>
    </row>
    <row r="28" spans="1:18" x14ac:dyDescent="0.2">
      <c r="A28" s="11" t="s">
        <v>54</v>
      </c>
      <c r="B28" s="21"/>
      <c r="C28" s="21"/>
      <c r="D28" s="21"/>
      <c r="E28" s="21"/>
      <c r="F28" s="21"/>
      <c r="G28" s="305"/>
      <c r="H28" s="14" t="s">
        <v>11</v>
      </c>
      <c r="I28" s="22"/>
      <c r="J28" s="22"/>
      <c r="K28" s="22"/>
      <c r="L28" s="22"/>
      <c r="M28" s="22"/>
      <c r="N28" s="1019"/>
    </row>
    <row r="29" spans="1:18" x14ac:dyDescent="0.2">
      <c r="A29" s="11" t="s">
        <v>163</v>
      </c>
      <c r="B29" s="21"/>
      <c r="C29" s="21"/>
      <c r="D29" s="21"/>
      <c r="E29" s="21"/>
      <c r="F29" s="21"/>
      <c r="G29" s="305"/>
      <c r="H29" s="47" t="s">
        <v>144</v>
      </c>
      <c r="I29" s="22"/>
      <c r="J29" s="22"/>
      <c r="K29" s="22"/>
      <c r="L29" s="22"/>
      <c r="M29" s="22"/>
      <c r="N29" s="1019"/>
    </row>
    <row r="30" spans="1:18" x14ac:dyDescent="0.2">
      <c r="A30" s="47" t="s">
        <v>140</v>
      </c>
      <c r="B30" s="21"/>
      <c r="C30" s="21"/>
      <c r="D30" s="21"/>
      <c r="E30" s="21"/>
      <c r="F30" s="21"/>
      <c r="G30" s="305"/>
      <c r="H30" s="11" t="s">
        <v>142</v>
      </c>
      <c r="I30" s="22"/>
      <c r="J30" s="22"/>
      <c r="K30" s="22"/>
      <c r="L30" s="22"/>
      <c r="M30" s="22"/>
      <c r="N30" s="1019"/>
    </row>
    <row r="31" spans="1:18" ht="13.5" thickBot="1" x14ac:dyDescent="0.25">
      <c r="A31" s="19" t="s">
        <v>58</v>
      </c>
      <c r="B31" s="33"/>
      <c r="C31" s="33"/>
      <c r="D31" s="33"/>
      <c r="E31" s="33"/>
      <c r="F31" s="33"/>
      <c r="G31" s="306"/>
      <c r="H31" s="11" t="s">
        <v>141</v>
      </c>
      <c r="I31" s="22"/>
      <c r="J31" s="22"/>
      <c r="K31" s="22"/>
      <c r="L31" s="22"/>
      <c r="M31" s="22"/>
      <c r="N31" s="1019"/>
    </row>
    <row r="32" spans="1:18" ht="13.5" thickBot="1" x14ac:dyDescent="0.25">
      <c r="A32" s="12" t="s">
        <v>153</v>
      </c>
      <c r="B32" s="24">
        <f>+B26+B28+B29+B31</f>
        <v>0</v>
      </c>
      <c r="C32" s="24">
        <f>+C26+C28+C29+C31</f>
        <v>0</v>
      </c>
      <c r="D32" s="24"/>
      <c r="E32" s="24"/>
      <c r="F32" s="24">
        <f>+F26+F28+F29+F31</f>
        <v>0</v>
      </c>
      <c r="G32" s="299">
        <f>+G26+G28+G29+G31</f>
        <v>0</v>
      </c>
      <c r="H32" s="12" t="s">
        <v>161</v>
      </c>
      <c r="I32" s="25">
        <f>+I26+I28+I30+I31</f>
        <v>254000</v>
      </c>
      <c r="J32" s="25">
        <f>+J26+J28+J30+J31</f>
        <v>254000</v>
      </c>
      <c r="K32" s="25">
        <f>+K26+K28+K30+K31</f>
        <v>254000</v>
      </c>
      <c r="L32" s="25">
        <f>+L26+L28+L30+L31</f>
        <v>254000</v>
      </c>
      <c r="M32" s="25">
        <f>+M26+M28+M30+M31</f>
        <v>32990</v>
      </c>
      <c r="N32" s="1016">
        <f>SUM(M32/L32)</f>
        <v>0.12988188976377954</v>
      </c>
    </row>
    <row r="33" spans="1:15" x14ac:dyDescent="0.2">
      <c r="A33" s="13" t="s">
        <v>162</v>
      </c>
      <c r="B33" s="35"/>
      <c r="C33" s="35"/>
      <c r="D33" s="35"/>
      <c r="E33" s="35"/>
      <c r="F33" s="35"/>
      <c r="G33" s="307"/>
      <c r="H33" s="16" t="s">
        <v>36</v>
      </c>
      <c r="I33" s="36"/>
      <c r="J33" s="36"/>
      <c r="K33" s="36"/>
      <c r="L33" s="36"/>
      <c r="M33" s="36"/>
      <c r="N33" s="1020"/>
    </row>
    <row r="34" spans="1:15" x14ac:dyDescent="0.2">
      <c r="A34" s="48" t="s">
        <v>63</v>
      </c>
      <c r="B34" s="37"/>
      <c r="C34" s="37"/>
      <c r="D34" s="37"/>
      <c r="E34" s="37"/>
      <c r="F34" s="37"/>
      <c r="G34" s="308"/>
      <c r="H34" s="17" t="s">
        <v>44</v>
      </c>
      <c r="I34" s="29"/>
      <c r="J34" s="29"/>
      <c r="K34" s="29"/>
      <c r="L34" s="29"/>
      <c r="M34" s="29"/>
      <c r="N34" s="1018"/>
    </row>
    <row r="35" spans="1:15" x14ac:dyDescent="0.2">
      <c r="A35" s="48" t="s">
        <v>65</v>
      </c>
      <c r="B35" s="37"/>
      <c r="C35" s="37"/>
      <c r="D35" s="37"/>
      <c r="E35" s="37"/>
      <c r="F35" s="37"/>
      <c r="G35" s="308"/>
      <c r="H35" s="14" t="s">
        <v>66</v>
      </c>
      <c r="I35" s="29"/>
      <c r="J35" s="29"/>
      <c r="K35" s="29"/>
      <c r="L35" s="29"/>
      <c r="M35" s="29"/>
      <c r="N35" s="1018"/>
    </row>
    <row r="36" spans="1:15" x14ac:dyDescent="0.2">
      <c r="A36" s="14" t="s">
        <v>154</v>
      </c>
      <c r="B36" s="39">
        <f>+B37+B38</f>
        <v>0</v>
      </c>
      <c r="C36" s="39">
        <f>+C37+C38</f>
        <v>0</v>
      </c>
      <c r="D36" s="39"/>
      <c r="E36" s="39"/>
      <c r="F36" s="39">
        <f>+F37+F38</f>
        <v>0</v>
      </c>
      <c r="G36" s="309">
        <f>+G37+G38</f>
        <v>0</v>
      </c>
      <c r="H36" s="18"/>
      <c r="I36" s="29"/>
      <c r="J36" s="29"/>
      <c r="K36" s="29"/>
      <c r="L36" s="29"/>
      <c r="M36" s="29"/>
      <c r="N36" s="1018"/>
    </row>
    <row r="37" spans="1:15" x14ac:dyDescent="0.2">
      <c r="A37" s="48" t="s">
        <v>118</v>
      </c>
      <c r="B37" s="37"/>
      <c r="C37" s="37"/>
      <c r="D37" s="37"/>
      <c r="E37" s="37"/>
      <c r="F37" s="37"/>
      <c r="G37" s="308"/>
      <c r="H37" s="18"/>
      <c r="I37" s="29"/>
      <c r="J37" s="29"/>
      <c r="K37" s="29"/>
      <c r="L37" s="29"/>
      <c r="M37" s="29"/>
      <c r="N37" s="1018"/>
    </row>
    <row r="38" spans="1:15" ht="13.5" thickBot="1" x14ac:dyDescent="0.25">
      <c r="A38" s="49" t="s">
        <v>120</v>
      </c>
      <c r="B38" s="37"/>
      <c r="C38" s="37"/>
      <c r="D38" s="37"/>
      <c r="E38" s="37"/>
      <c r="F38" s="37"/>
      <c r="G38" s="308"/>
      <c r="H38" s="20"/>
      <c r="I38" s="40"/>
      <c r="J38" s="40"/>
      <c r="K38" s="40"/>
      <c r="L38" s="40"/>
      <c r="M38" s="40"/>
      <c r="N38" s="1021"/>
    </row>
    <row r="39" spans="1:15" ht="21" customHeight="1" thickBot="1" x14ac:dyDescent="0.25">
      <c r="A39" s="12" t="s">
        <v>155</v>
      </c>
      <c r="B39" s="24">
        <f>+B33+B36</f>
        <v>0</v>
      </c>
      <c r="C39" s="24">
        <f>+C33+C36</f>
        <v>0</v>
      </c>
      <c r="D39" s="24"/>
      <c r="E39" s="24"/>
      <c r="F39" s="24">
        <f>+F33+F36</f>
        <v>0</v>
      </c>
      <c r="G39" s="299">
        <f>+G33+G36</f>
        <v>0</v>
      </c>
      <c r="H39" s="41" t="s">
        <v>160</v>
      </c>
      <c r="I39" s="42">
        <f>SUM(I33:I38)</f>
        <v>0</v>
      </c>
      <c r="J39" s="42">
        <f>SUM(J33:J38)</f>
        <v>0</v>
      </c>
      <c r="K39" s="42"/>
      <c r="L39" s="42"/>
      <c r="M39" s="42">
        <f>SUM(M33:M38)</f>
        <v>0</v>
      </c>
      <c r="N39" s="1022">
        <f>SUM(N33:N38)</f>
        <v>0</v>
      </c>
    </row>
    <row r="40" spans="1:15" ht="22.5" customHeight="1" thickBot="1" x14ac:dyDescent="0.25">
      <c r="A40" s="15" t="s">
        <v>156</v>
      </c>
      <c r="B40" s="32">
        <f>+B32+B39</f>
        <v>0</v>
      </c>
      <c r="C40" s="32">
        <f>+C32+C39</f>
        <v>0</v>
      </c>
      <c r="D40" s="32"/>
      <c r="E40" s="32"/>
      <c r="F40" s="32">
        <f>+F32+F39</f>
        <v>0</v>
      </c>
      <c r="G40" s="304">
        <f>+G32+G39</f>
        <v>0</v>
      </c>
      <c r="H40" s="15" t="s">
        <v>159</v>
      </c>
      <c r="I40" s="32">
        <f>+I32+I39</f>
        <v>254000</v>
      </c>
      <c r="J40" s="32">
        <f>+J32+J39</f>
        <v>254000</v>
      </c>
      <c r="K40" s="32">
        <f>+K32+K39</f>
        <v>254000</v>
      </c>
      <c r="L40" s="32">
        <f>+L32+L39</f>
        <v>254000</v>
      </c>
      <c r="M40" s="32">
        <f>+M32+M39</f>
        <v>32990</v>
      </c>
      <c r="N40" s="304">
        <f>SUM(M40/L40)</f>
        <v>0.12988188976377954</v>
      </c>
    </row>
    <row r="41" spans="1:15" ht="13.5" customHeight="1" thickBot="1" x14ac:dyDescent="0.25">
      <c r="A41" s="50" t="s">
        <v>157</v>
      </c>
      <c r="B41" s="32">
        <f>B25+B40</f>
        <v>40500000</v>
      </c>
      <c r="C41" s="32">
        <f>C25+C40</f>
        <v>41985803</v>
      </c>
      <c r="D41" s="32">
        <f>D25+D40</f>
        <v>44361803</v>
      </c>
      <c r="E41" s="32">
        <f>E25+E40</f>
        <v>44886202</v>
      </c>
      <c r="F41" s="32">
        <f>F25+F40</f>
        <v>44886202</v>
      </c>
      <c r="G41" s="304">
        <f>SUM(F41/E41)</f>
        <v>1</v>
      </c>
      <c r="H41" s="50" t="s">
        <v>158</v>
      </c>
      <c r="I41" s="46">
        <f>I25+I40</f>
        <v>40500000</v>
      </c>
      <c r="J41" s="46">
        <f>J25+J40</f>
        <v>41985803</v>
      </c>
      <c r="K41" s="46">
        <f>K25+K40</f>
        <v>44361803</v>
      </c>
      <c r="L41" s="46">
        <f>L25+L40</f>
        <v>44886202</v>
      </c>
      <c r="M41" s="46">
        <f>M25+M40</f>
        <v>42269541</v>
      </c>
      <c r="N41" s="314">
        <f>SUM(M41/L41)</f>
        <v>0.94170455767231098</v>
      </c>
    </row>
    <row r="42" spans="1:15" ht="13.5" customHeight="1" x14ac:dyDescent="0.2">
      <c r="A42" s="2" t="s">
        <v>80</v>
      </c>
      <c r="B42" s="2">
        <f>SUM(B16+B32)</f>
        <v>6148000</v>
      </c>
      <c r="C42" s="2">
        <f>SUM(C16+C32)</f>
        <v>1437507</v>
      </c>
      <c r="D42" s="2">
        <f>SUM(D16+D32)</f>
        <v>1437507</v>
      </c>
      <c r="E42" s="2">
        <f>SUM(E16+E32)</f>
        <v>1341033</v>
      </c>
      <c r="F42" s="2">
        <f>SUM(F16+F32)</f>
        <v>1341033</v>
      </c>
      <c r="G42" s="310">
        <f>SUM(F42/E42)</f>
        <v>1</v>
      </c>
      <c r="H42" s="1335" t="s">
        <v>286</v>
      </c>
      <c r="I42" s="44"/>
      <c r="J42" s="44"/>
      <c r="K42" s="44"/>
      <c r="L42" s="44"/>
      <c r="M42" s="1">
        <f>SUM(F41-M41)</f>
        <v>2616661</v>
      </c>
      <c r="N42" s="315"/>
      <c r="O42" s="1">
        <f>SUM(G41-J41)</f>
        <v>-41985802</v>
      </c>
    </row>
    <row r="43" spans="1:15" ht="18" customHeight="1" x14ac:dyDescent="0.25">
      <c r="A43" s="2" t="s">
        <v>81</v>
      </c>
      <c r="B43" s="2">
        <f>SUM(B24+B40)</f>
        <v>34352000</v>
      </c>
      <c r="C43" s="2">
        <f>SUM(C24+C40)</f>
        <v>40548296</v>
      </c>
      <c r="D43" s="2">
        <f>SUM(D24+D40)</f>
        <v>42924296</v>
      </c>
      <c r="E43" s="2">
        <f>SUM(E24+E40)</f>
        <v>43545169</v>
      </c>
      <c r="F43" s="2">
        <f>SUM(F24+F40)</f>
        <v>43545169</v>
      </c>
      <c r="G43" s="310">
        <f>SUM(F43/E43)</f>
        <v>1</v>
      </c>
      <c r="H43" s="52" t="s">
        <v>680</v>
      </c>
      <c r="I43" s="51">
        <v>1805169</v>
      </c>
      <c r="J43" s="51"/>
      <c r="K43" s="51"/>
      <c r="L43" s="51"/>
      <c r="M43" s="51">
        <v>1930718</v>
      </c>
    </row>
    <row r="44" spans="1:15" x14ac:dyDescent="0.2">
      <c r="B44" s="1">
        <f t="shared" ref="B44:G44" si="0">SUM(B42:B43)</f>
        <v>40500000</v>
      </c>
      <c r="C44" s="1">
        <f t="shared" si="0"/>
        <v>41985803</v>
      </c>
      <c r="D44" s="1">
        <f t="shared" si="0"/>
        <v>44361803</v>
      </c>
      <c r="E44" s="1">
        <f t="shared" si="0"/>
        <v>44886202</v>
      </c>
      <c r="F44" s="1">
        <f t="shared" si="0"/>
        <v>44886202</v>
      </c>
      <c r="G44" s="1">
        <f t="shared" si="0"/>
        <v>2</v>
      </c>
    </row>
  </sheetData>
  <mergeCells count="3">
    <mergeCell ref="H10:I10"/>
    <mergeCell ref="H4:N4"/>
    <mergeCell ref="A7:M7"/>
  </mergeCells>
  <phoneticPr fontId="3" type="noConversion"/>
  <printOptions horizontalCentered="1"/>
  <pageMargins left="0.51181102362204722" right="0.47244094488188981" top="1.1811023622047245" bottom="0.51181102362204722" header="0.6692913385826772" footer="0.27559055118110237"/>
  <pageSetup paperSize="9" scale="65" orientation="landscape" verticalDpi="300" r:id="rId1"/>
  <headerFooter alignWithMargins="0">
    <oddHeader xml:space="preserve">&amp;R&amp;"Times New Roman CE,Félkövér dőlt"&amp;11 </oddHeader>
  </headerFooter>
  <colBreaks count="1" manualBreakCount="1">
    <brk id="14" min="3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5"/>
  <sheetViews>
    <sheetView zoomScaleNormal="100" workbookViewId="0">
      <selection activeCell="Q24" sqref="Q24"/>
    </sheetView>
  </sheetViews>
  <sheetFormatPr defaultRowHeight="12.75" x14ac:dyDescent="0.2"/>
  <cols>
    <col min="1" max="1" width="44.7109375" style="221" customWidth="1"/>
    <col min="2" max="2" width="10.42578125" style="221" bestFit="1" customWidth="1"/>
    <col min="3" max="3" width="10.42578125" style="221" hidden="1" customWidth="1"/>
    <col min="4" max="5" width="11.7109375" style="221" customWidth="1"/>
    <col min="6" max="6" width="10.42578125" style="221" bestFit="1" customWidth="1"/>
    <col min="7" max="7" width="9.7109375" style="325" customWidth="1"/>
    <col min="8" max="8" width="44.42578125" style="248" customWidth="1"/>
    <col min="9" max="9" width="10.85546875" style="248" customWidth="1"/>
    <col min="10" max="10" width="10.85546875" style="248" hidden="1" customWidth="1"/>
    <col min="11" max="13" width="10.85546875" style="248" customWidth="1"/>
    <col min="14" max="14" width="9.7109375" style="325" customWidth="1"/>
    <col min="15" max="16" width="9.140625" style="248"/>
    <col min="17" max="17" width="12.42578125" style="248" bestFit="1" customWidth="1"/>
    <col min="18" max="18" width="17.5703125" style="248" customWidth="1"/>
    <col min="19" max="16384" width="9.140625" style="248"/>
  </cols>
  <sheetData>
    <row r="1" spans="1:16" ht="12.75" customHeight="1" x14ac:dyDescent="0.2">
      <c r="C1" s="220"/>
      <c r="D1" s="220"/>
      <c r="E1" s="220"/>
      <c r="F1" s="220"/>
      <c r="G1" s="324"/>
      <c r="H1" s="1348" t="s">
        <v>1006</v>
      </c>
      <c r="I1" s="1361"/>
      <c r="J1" s="1361"/>
      <c r="K1" s="1361"/>
      <c r="L1" s="1361"/>
      <c r="M1" s="1361"/>
      <c r="N1" s="1361"/>
    </row>
    <row r="2" spans="1:16" x14ac:dyDescent="0.2">
      <c r="H2" s="156"/>
      <c r="I2" s="156"/>
      <c r="J2" s="156"/>
      <c r="K2" s="156"/>
      <c r="L2" s="156"/>
      <c r="M2" s="156"/>
    </row>
    <row r="3" spans="1:16" ht="15.75" customHeight="1" x14ac:dyDescent="0.2">
      <c r="A3" s="1350" t="s">
        <v>1021</v>
      </c>
      <c r="B3" s="1350"/>
      <c r="C3" s="1350"/>
      <c r="D3" s="1350"/>
      <c r="E3" s="1350"/>
      <c r="F3" s="1350"/>
      <c r="G3" s="1350"/>
      <c r="H3" s="1350"/>
      <c r="I3" s="1350"/>
      <c r="J3" s="1350"/>
      <c r="K3" s="1350"/>
      <c r="L3" s="1350"/>
      <c r="M3" s="1350"/>
      <c r="N3" s="1350"/>
    </row>
    <row r="4" spans="1:16" ht="15.75" customHeight="1" x14ac:dyDescent="0.2">
      <c r="A4" s="1350"/>
      <c r="B4" s="1350"/>
      <c r="C4" s="1350"/>
      <c r="D4" s="1350"/>
      <c r="E4" s="1350"/>
      <c r="F4" s="1350"/>
      <c r="G4" s="1350"/>
      <c r="H4" s="1350"/>
      <c r="I4" s="1350"/>
      <c r="J4" s="1350"/>
      <c r="K4" s="1350"/>
      <c r="L4" s="1350"/>
      <c r="M4" s="1350"/>
      <c r="N4" s="1350"/>
    </row>
    <row r="5" spans="1:16" ht="13.5" thickBot="1" x14ac:dyDescent="0.25">
      <c r="M5" s="1362" t="s">
        <v>278</v>
      </c>
      <c r="N5" s="1363"/>
    </row>
    <row r="6" spans="1:16" ht="18" customHeight="1" thickBot="1" x14ac:dyDescent="0.25">
      <c r="A6" s="1137" t="s">
        <v>14</v>
      </c>
      <c r="B6" s="1138"/>
      <c r="C6" s="1138"/>
      <c r="D6" s="1138"/>
      <c r="E6" s="1138"/>
      <c r="F6" s="1138"/>
      <c r="G6" s="1139"/>
      <c r="H6" s="1138" t="s">
        <v>15</v>
      </c>
      <c r="I6" s="1140"/>
      <c r="J6" s="1140"/>
      <c r="K6" s="1140"/>
      <c r="L6" s="1140"/>
      <c r="M6" s="1140"/>
      <c r="N6" s="1139"/>
    </row>
    <row r="7" spans="1:16" s="164" customFormat="1" ht="42" customHeight="1" thickBot="1" x14ac:dyDescent="0.25">
      <c r="A7" s="162" t="s">
        <v>16</v>
      </c>
      <c r="B7" s="226" t="s">
        <v>269</v>
      </c>
      <c r="C7" s="226" t="s">
        <v>281</v>
      </c>
      <c r="D7" s="226" t="s">
        <v>282</v>
      </c>
      <c r="E7" s="226" t="s">
        <v>658</v>
      </c>
      <c r="F7" s="226" t="s">
        <v>659</v>
      </c>
      <c r="G7" s="267" t="s">
        <v>283</v>
      </c>
      <c r="H7" s="161" t="s">
        <v>16</v>
      </c>
      <c r="I7" s="226" t="s">
        <v>269</v>
      </c>
      <c r="J7" s="226" t="s">
        <v>281</v>
      </c>
      <c r="K7" s="226" t="s">
        <v>282</v>
      </c>
      <c r="L7" s="226" t="s">
        <v>658</v>
      </c>
      <c r="M7" s="226" t="s">
        <v>659</v>
      </c>
      <c r="N7" s="267" t="s">
        <v>283</v>
      </c>
    </row>
    <row r="8" spans="1:16" ht="12.95" customHeight="1" x14ac:dyDescent="0.2">
      <c r="A8" s="282" t="s">
        <v>199</v>
      </c>
      <c r="B8" s="1141"/>
      <c r="C8" s="1141"/>
      <c r="D8" s="1141"/>
      <c r="E8" s="1141"/>
      <c r="F8" s="1141"/>
      <c r="G8" s="1142"/>
      <c r="H8" s="1143" t="s">
        <v>17</v>
      </c>
      <c r="I8" s="1144">
        <v>36159000</v>
      </c>
      <c r="J8" s="1144">
        <v>36159000</v>
      </c>
      <c r="K8" s="1144">
        <v>36159000</v>
      </c>
      <c r="L8" s="1144">
        <v>35559500</v>
      </c>
      <c r="M8" s="1144">
        <v>35178647</v>
      </c>
      <c r="N8" s="1145">
        <f>SUM(M8/L8)</f>
        <v>0.98928969754917817</v>
      </c>
    </row>
    <row r="9" spans="1:16" ht="12.95" customHeight="1" x14ac:dyDescent="0.2">
      <c r="A9" s="175" t="s">
        <v>18</v>
      </c>
      <c r="B9" s="1146"/>
      <c r="C9" s="1146"/>
      <c r="D9" s="1146"/>
      <c r="E9" s="1146"/>
      <c r="F9" s="1146"/>
      <c r="G9" s="1145"/>
      <c r="H9" s="260" t="s">
        <v>19</v>
      </c>
      <c r="I9" s="1147">
        <v>6448000</v>
      </c>
      <c r="J9" s="1147">
        <v>6448000</v>
      </c>
      <c r="K9" s="1147">
        <v>6448000</v>
      </c>
      <c r="L9" s="1147">
        <v>5849500</v>
      </c>
      <c r="M9" s="1147">
        <v>5839531</v>
      </c>
      <c r="N9" s="1145">
        <f>SUM(M9/L9)</f>
        <v>0.99829575177365582</v>
      </c>
    </row>
    <row r="10" spans="1:16" ht="12.95" customHeight="1" x14ac:dyDescent="0.2">
      <c r="A10" s="175" t="s">
        <v>20</v>
      </c>
      <c r="B10" s="1146">
        <v>12994000</v>
      </c>
      <c r="C10" s="1146">
        <v>13004000</v>
      </c>
      <c r="D10" s="1146">
        <v>13004000</v>
      </c>
      <c r="E10" s="1146">
        <v>14694410</v>
      </c>
      <c r="F10" s="1146">
        <v>13689320</v>
      </c>
      <c r="G10" s="1145">
        <f>SUM(F10/E10)</f>
        <v>0.93160052019781669</v>
      </c>
      <c r="H10" s="260" t="s">
        <v>21</v>
      </c>
      <c r="I10" s="1147">
        <v>27676900</v>
      </c>
      <c r="J10" s="1147">
        <v>27673900</v>
      </c>
      <c r="K10" s="1147">
        <v>27673900</v>
      </c>
      <c r="L10" s="1147">
        <v>19387789</v>
      </c>
      <c r="M10" s="1147">
        <v>18296887</v>
      </c>
      <c r="N10" s="1145">
        <f>SUM(M10/L10)</f>
        <v>0.94373252153713871</v>
      </c>
    </row>
    <row r="11" spans="1:16" ht="12.95" customHeight="1" x14ac:dyDescent="0.2">
      <c r="A11" s="175" t="s">
        <v>22</v>
      </c>
      <c r="B11" s="1146"/>
      <c r="C11" s="1146"/>
      <c r="D11" s="1146"/>
      <c r="E11" s="1146"/>
      <c r="F11" s="1146"/>
      <c r="G11" s="1145"/>
      <c r="H11" s="260" t="s">
        <v>23</v>
      </c>
      <c r="I11" s="260"/>
      <c r="J11" s="260"/>
      <c r="K11" s="260"/>
      <c r="L11" s="260"/>
      <c r="M11" s="260"/>
      <c r="N11" s="1145"/>
    </row>
    <row r="12" spans="1:16" ht="12.95" customHeight="1" x14ac:dyDescent="0.2">
      <c r="A12" s="1148"/>
      <c r="B12" s="177"/>
      <c r="C12" s="177"/>
      <c r="D12" s="177"/>
      <c r="E12" s="177"/>
      <c r="F12" s="177"/>
      <c r="G12" s="456"/>
      <c r="H12" s="260" t="s">
        <v>24</v>
      </c>
      <c r="I12" s="178"/>
      <c r="J12" s="178">
        <v>10000</v>
      </c>
      <c r="K12" s="178">
        <v>10000</v>
      </c>
      <c r="L12" s="178">
        <v>10000</v>
      </c>
      <c r="M12" s="178">
        <v>3556</v>
      </c>
      <c r="N12" s="1145">
        <f>SUM(M12/L12)</f>
        <v>0.35560000000000003</v>
      </c>
    </row>
    <row r="13" spans="1:16" ht="12.95" customHeight="1" x14ac:dyDescent="0.2">
      <c r="A13" s="1148"/>
      <c r="B13" s="177"/>
      <c r="C13" s="177"/>
      <c r="D13" s="177"/>
      <c r="E13" s="177"/>
      <c r="F13" s="177"/>
      <c r="G13" s="456"/>
      <c r="H13" s="260" t="s">
        <v>25</v>
      </c>
      <c r="I13" s="178"/>
      <c r="J13" s="178"/>
      <c r="K13" s="178"/>
      <c r="L13" s="178"/>
      <c r="M13" s="178"/>
      <c r="N13" s="1149"/>
      <c r="O13" s="266"/>
      <c r="P13" s="1150"/>
    </row>
    <row r="14" spans="1:16" ht="12.95" customHeight="1" thickBot="1" x14ac:dyDescent="0.25">
      <c r="A14" s="1151"/>
      <c r="B14" s="1152"/>
      <c r="C14" s="1152"/>
      <c r="D14" s="1152"/>
      <c r="E14" s="1152"/>
      <c r="F14" s="1152"/>
      <c r="G14" s="1153"/>
      <c r="H14" s="1154" t="s">
        <v>26</v>
      </c>
      <c r="I14" s="1154"/>
      <c r="J14" s="1154"/>
      <c r="K14" s="1154"/>
      <c r="L14" s="1154"/>
      <c r="M14" s="1154"/>
      <c r="N14" s="1155"/>
      <c r="O14" s="266"/>
      <c r="P14" s="1150"/>
    </row>
    <row r="15" spans="1:16" ht="22.5" customHeight="1" thickBot="1" x14ac:dyDescent="0.25">
      <c r="A15" s="187" t="s">
        <v>27</v>
      </c>
      <c r="B15" s="1156">
        <f>SUM(B8:B14)</f>
        <v>12994000</v>
      </c>
      <c r="C15" s="1156">
        <f>SUM(C8:C14)</f>
        <v>13004000</v>
      </c>
      <c r="D15" s="1156">
        <f>SUM(D8:D14)</f>
        <v>13004000</v>
      </c>
      <c r="E15" s="1156">
        <f>SUM(E8:E14)</f>
        <v>14694410</v>
      </c>
      <c r="F15" s="1156">
        <f>SUM(F8:F14)</f>
        <v>13689320</v>
      </c>
      <c r="G15" s="1157">
        <f>SUM(F15/E15)</f>
        <v>0.93160052019781669</v>
      </c>
      <c r="H15" s="1158" t="s">
        <v>30</v>
      </c>
      <c r="I15" s="1158">
        <f>SUM(I8:I14)</f>
        <v>70283900</v>
      </c>
      <c r="J15" s="1158">
        <f>SUM(J8:J14)</f>
        <v>70290900</v>
      </c>
      <c r="K15" s="1158">
        <f>SUM(K8:K14)</f>
        <v>70290900</v>
      </c>
      <c r="L15" s="1158">
        <f>SUM(L8:L14)</f>
        <v>60806789</v>
      </c>
      <c r="M15" s="1158">
        <f>SUM(M8:M14)</f>
        <v>59318621</v>
      </c>
      <c r="N15" s="1157">
        <f>SUM(M15/L15)</f>
        <v>0.97552628539553377</v>
      </c>
      <c r="O15" s="266"/>
      <c r="P15" s="266"/>
    </row>
    <row r="16" spans="1:16" ht="12.95" customHeight="1" x14ac:dyDescent="0.2">
      <c r="A16" s="249" t="s">
        <v>31</v>
      </c>
      <c r="B16" s="1159"/>
      <c r="C16" s="1159"/>
      <c r="D16" s="1159"/>
      <c r="E16" s="1159"/>
      <c r="F16" s="1159"/>
      <c r="G16" s="1160"/>
      <c r="H16" s="1161" t="s">
        <v>32</v>
      </c>
      <c r="I16" s="1162"/>
      <c r="J16" s="1162"/>
      <c r="K16" s="1162"/>
      <c r="L16" s="1162"/>
      <c r="M16" s="1162"/>
      <c r="N16" s="1160"/>
    </row>
    <row r="17" spans="1:19" ht="12.95" customHeight="1" x14ac:dyDescent="0.2">
      <c r="A17" s="250" t="s">
        <v>33</v>
      </c>
      <c r="B17" s="262"/>
      <c r="C17" s="262">
        <v>2559055</v>
      </c>
      <c r="D17" s="262">
        <v>2559055</v>
      </c>
      <c r="E17" s="262">
        <v>2566025</v>
      </c>
      <c r="F17" s="262">
        <v>2566025</v>
      </c>
      <c r="G17" s="360">
        <f>SUM(F17/E17)</f>
        <v>1</v>
      </c>
      <c r="H17" s="261" t="s">
        <v>34</v>
      </c>
      <c r="I17" s="192"/>
      <c r="J17" s="192"/>
      <c r="K17" s="192"/>
      <c r="L17" s="192"/>
      <c r="M17" s="192"/>
      <c r="N17" s="360"/>
    </row>
    <row r="18" spans="1:19" ht="12.95" customHeight="1" x14ac:dyDescent="0.2">
      <c r="A18" s="250" t="s">
        <v>35</v>
      </c>
      <c r="B18" s="262"/>
      <c r="C18" s="262"/>
      <c r="D18" s="262"/>
      <c r="E18" s="262"/>
      <c r="F18" s="262"/>
      <c r="G18" s="360"/>
      <c r="H18" s="261" t="s">
        <v>36</v>
      </c>
      <c r="I18" s="192"/>
      <c r="J18" s="192"/>
      <c r="K18" s="192"/>
      <c r="L18" s="192"/>
      <c r="M18" s="192"/>
      <c r="N18" s="360"/>
    </row>
    <row r="19" spans="1:19" ht="12.95" customHeight="1" x14ac:dyDescent="0.2">
      <c r="A19" s="1163" t="s">
        <v>200</v>
      </c>
      <c r="B19" s="1164">
        <v>53349944</v>
      </c>
      <c r="C19" s="1164">
        <v>53349944</v>
      </c>
      <c r="D19" s="1164">
        <v>53349944</v>
      </c>
      <c r="E19" s="1164">
        <v>50398822</v>
      </c>
      <c r="F19" s="1164">
        <v>50398822</v>
      </c>
      <c r="G19" s="360">
        <f>SUM(F19/E19)</f>
        <v>1</v>
      </c>
      <c r="H19" s="261" t="s">
        <v>38</v>
      </c>
      <c r="I19" s="192"/>
      <c r="J19" s="192"/>
      <c r="K19" s="192"/>
      <c r="L19" s="192"/>
      <c r="M19" s="192"/>
      <c r="N19" s="360"/>
    </row>
    <row r="20" spans="1:19" ht="12.95" customHeight="1" x14ac:dyDescent="0.2">
      <c r="A20" s="1165" t="s">
        <v>201</v>
      </c>
      <c r="B20" s="1164">
        <v>8529956</v>
      </c>
      <c r="C20" s="1164">
        <f>8529956-2559055</f>
        <v>5970901</v>
      </c>
      <c r="D20" s="1164">
        <f>8529956-2559055</f>
        <v>5970901</v>
      </c>
      <c r="E20" s="1164">
        <v>-108520</v>
      </c>
      <c r="F20" s="1166">
        <v>-108520</v>
      </c>
      <c r="G20" s="360">
        <f>SUM(F20/E20)</f>
        <v>1</v>
      </c>
      <c r="H20" s="1162" t="s">
        <v>40</v>
      </c>
      <c r="I20" s="192"/>
      <c r="J20" s="192"/>
      <c r="K20" s="192"/>
      <c r="L20" s="192"/>
      <c r="M20" s="192"/>
      <c r="N20" s="360"/>
      <c r="O20" s="248">
        <f>SUM(B19:B20)</f>
        <v>61879900</v>
      </c>
      <c r="P20" s="248">
        <f>SUM(C19:C20)</f>
        <v>59320845</v>
      </c>
      <c r="Q20" s="248">
        <f>SUM(D19:D20)</f>
        <v>59320845</v>
      </c>
      <c r="R20" s="248">
        <f>SUM(F19:F20)</f>
        <v>50290302</v>
      </c>
    </row>
    <row r="21" spans="1:19" ht="12.95" customHeight="1" x14ac:dyDescent="0.2">
      <c r="A21" s="193" t="s">
        <v>202</v>
      </c>
      <c r="B21" s="262"/>
      <c r="C21" s="262"/>
      <c r="D21" s="262"/>
      <c r="E21" s="262"/>
      <c r="F21" s="262"/>
      <c r="G21" s="360"/>
      <c r="H21" s="261" t="s">
        <v>41</v>
      </c>
      <c r="I21" s="192"/>
      <c r="J21" s="192"/>
      <c r="K21" s="192"/>
      <c r="L21" s="192"/>
      <c r="M21" s="192"/>
      <c r="N21" s="360"/>
    </row>
    <row r="22" spans="1:19" ht="12.95" customHeight="1" x14ac:dyDescent="0.2">
      <c r="A22" s="251" t="s">
        <v>43</v>
      </c>
      <c r="B22" s="1167"/>
      <c r="C22" s="1167"/>
      <c r="D22" s="1167"/>
      <c r="E22" s="1167"/>
      <c r="F22" s="1167"/>
      <c r="G22" s="1145"/>
      <c r="H22" s="1143" t="s">
        <v>44</v>
      </c>
      <c r="I22" s="1162"/>
      <c r="J22" s="1162"/>
      <c r="K22" s="1162"/>
      <c r="L22" s="1162"/>
      <c r="M22" s="1162"/>
      <c r="N22" s="1145"/>
    </row>
    <row r="23" spans="1:19" ht="12.95" customHeight="1" thickBot="1" x14ac:dyDescent="0.25">
      <c r="A23" s="250" t="s">
        <v>203</v>
      </c>
      <c r="B23" s="1167"/>
      <c r="C23" s="1167"/>
      <c r="D23" s="1167"/>
      <c r="E23" s="1167"/>
      <c r="F23" s="1167"/>
      <c r="G23" s="1145"/>
      <c r="H23" s="1168"/>
      <c r="I23" s="261"/>
      <c r="J23" s="261"/>
      <c r="K23" s="261"/>
      <c r="L23" s="261"/>
      <c r="M23" s="261"/>
      <c r="N23" s="1145"/>
    </row>
    <row r="24" spans="1:19" ht="24" customHeight="1" thickBot="1" x14ac:dyDescent="0.25">
      <c r="A24" s="187" t="s">
        <v>47</v>
      </c>
      <c r="B24" s="1158">
        <f>SUM(B17:B23)</f>
        <v>61879900</v>
      </c>
      <c r="C24" s="1158">
        <f>SUM(C17:C23)</f>
        <v>61879900</v>
      </c>
      <c r="D24" s="1158">
        <f>SUM(D17:D23)</f>
        <v>61879900</v>
      </c>
      <c r="E24" s="1158">
        <f>SUM(E17:E23)</f>
        <v>52856327</v>
      </c>
      <c r="F24" s="1158">
        <f>SUM(F17:F23)</f>
        <v>52856327</v>
      </c>
      <c r="G24" s="270">
        <f>SUM(F24/E24)</f>
        <v>1</v>
      </c>
      <c r="H24" s="1158" t="s">
        <v>204</v>
      </c>
      <c r="I24" s="1169">
        <f>SUM(I16:I23)</f>
        <v>0</v>
      </c>
      <c r="J24" s="1169">
        <f>SUM(J16:J23)</f>
        <v>0</v>
      </c>
      <c r="K24" s="1169"/>
      <c r="L24" s="1169"/>
      <c r="M24" s="1169">
        <f>SUM(M16:M23)</f>
        <v>0</v>
      </c>
      <c r="N24" s="1170"/>
    </row>
    <row r="25" spans="1:19" s="252" customFormat="1" ht="15.75" thickBot="1" x14ac:dyDescent="0.25">
      <c r="A25" s="185" t="s">
        <v>205</v>
      </c>
      <c r="B25" s="1171">
        <f>SUM(B24,B15)</f>
        <v>74873900</v>
      </c>
      <c r="C25" s="1171">
        <f>SUM(C24,C15)</f>
        <v>74883900</v>
      </c>
      <c r="D25" s="1171">
        <f>SUM(D24,D15)</f>
        <v>74883900</v>
      </c>
      <c r="E25" s="1171">
        <f>SUM(E24,E15)</f>
        <v>67550737</v>
      </c>
      <c r="F25" s="1171">
        <f>SUM(F24,F15)</f>
        <v>66545647</v>
      </c>
      <c r="G25" s="1157">
        <f>SUM(F25/E25)</f>
        <v>0.98512096174465125</v>
      </c>
      <c r="H25" s="1172" t="s">
        <v>49</v>
      </c>
      <c r="I25" s="283">
        <f>SUM(I15+I24)</f>
        <v>70283900</v>
      </c>
      <c r="J25" s="283">
        <f>SUM(J15+J24)</f>
        <v>70290900</v>
      </c>
      <c r="K25" s="283">
        <f>SUM(K15+K24)</f>
        <v>70290900</v>
      </c>
      <c r="L25" s="283">
        <f>SUM(L15+L24)</f>
        <v>60806789</v>
      </c>
      <c r="M25" s="283">
        <f>SUM(M15+M24)</f>
        <v>59318621</v>
      </c>
      <c r="N25" s="1157">
        <f>SUM(M25/L25)</f>
        <v>0.97552628539553377</v>
      </c>
    </row>
    <row r="26" spans="1:19" x14ac:dyDescent="0.2">
      <c r="A26" s="1173" t="s">
        <v>51</v>
      </c>
      <c r="B26" s="1146"/>
      <c r="C26" s="1146"/>
      <c r="D26" s="1146"/>
      <c r="E26" s="1146"/>
      <c r="F26" s="1146"/>
      <c r="G26" s="1145"/>
      <c r="H26" s="1173" t="s">
        <v>12</v>
      </c>
      <c r="I26" s="1174">
        <v>3320000</v>
      </c>
      <c r="J26" s="1174">
        <v>3323000</v>
      </c>
      <c r="K26" s="1174">
        <v>3323000</v>
      </c>
      <c r="L26" s="1174">
        <v>3851211</v>
      </c>
      <c r="M26" s="1174">
        <v>3849936</v>
      </c>
      <c r="N26" s="1142">
        <f>SUM(M26/L26)</f>
        <v>0.99966893530372658</v>
      </c>
    </row>
    <row r="27" spans="1:19" x14ac:dyDescent="0.2">
      <c r="A27" s="253" t="s">
        <v>145</v>
      </c>
      <c r="B27" s="1146"/>
      <c r="C27" s="1146"/>
      <c r="D27" s="1146"/>
      <c r="E27" s="1146"/>
      <c r="F27" s="1146"/>
      <c r="G27" s="1145"/>
      <c r="H27" s="1175" t="s">
        <v>143</v>
      </c>
      <c r="I27" s="260"/>
      <c r="J27" s="260"/>
      <c r="K27" s="260"/>
      <c r="L27" s="260"/>
      <c r="M27" s="260"/>
      <c r="N27" s="1145"/>
      <c r="R27" s="248">
        <v>1137892</v>
      </c>
    </row>
    <row r="28" spans="1:19" x14ac:dyDescent="0.2">
      <c r="A28" s="175" t="s">
        <v>54</v>
      </c>
      <c r="B28" s="1146"/>
      <c r="C28" s="1146"/>
      <c r="D28" s="1146"/>
      <c r="E28" s="1146"/>
      <c r="F28" s="1146"/>
      <c r="G28" s="1145"/>
      <c r="H28" s="193" t="s">
        <v>11</v>
      </c>
      <c r="I28" s="260">
        <v>1270000</v>
      </c>
      <c r="J28" s="260">
        <v>1270000</v>
      </c>
      <c r="K28" s="260">
        <v>1270000</v>
      </c>
      <c r="L28" s="260">
        <v>2892737</v>
      </c>
      <c r="M28" s="260">
        <v>2845246</v>
      </c>
      <c r="N28" s="1145">
        <f>SUM(M28/L28)</f>
        <v>0.98358267619904605</v>
      </c>
      <c r="Q28" s="1176">
        <v>31813220</v>
      </c>
      <c r="R28" s="1176">
        <v>18585602</v>
      </c>
      <c r="S28" s="248">
        <f>SUM(Q28+R28+R27)</f>
        <v>51536714</v>
      </c>
    </row>
    <row r="29" spans="1:19" x14ac:dyDescent="0.2">
      <c r="A29" s="1163" t="s">
        <v>200</v>
      </c>
      <c r="B29" s="1146"/>
      <c r="C29" s="1146"/>
      <c r="D29" s="1146"/>
      <c r="E29" s="1146"/>
      <c r="F29" s="1146"/>
      <c r="G29" s="1145"/>
      <c r="H29" s="1175" t="s">
        <v>144</v>
      </c>
      <c r="I29" s="260"/>
      <c r="J29" s="260"/>
      <c r="K29" s="260"/>
      <c r="L29" s="260"/>
      <c r="M29" s="260"/>
      <c r="N29" s="1145"/>
      <c r="Q29" s="1177">
        <v>399150</v>
      </c>
      <c r="R29" s="1176">
        <f>800576+102000</f>
        <v>902576</v>
      </c>
      <c r="S29" s="248">
        <f>SUM(Q29:R29)</f>
        <v>1301726</v>
      </c>
    </row>
    <row r="30" spans="1:19" x14ac:dyDescent="0.2">
      <c r="A30" s="1165" t="s">
        <v>201</v>
      </c>
      <c r="B30" s="1146"/>
      <c r="C30" s="1146"/>
      <c r="D30" s="1146"/>
      <c r="E30" s="1146"/>
      <c r="F30" s="1146"/>
      <c r="G30" s="1145"/>
      <c r="H30" s="175" t="s">
        <v>142</v>
      </c>
      <c r="I30" s="174"/>
      <c r="J30" s="174"/>
      <c r="K30" s="174"/>
      <c r="L30" s="174"/>
      <c r="M30" s="174"/>
      <c r="N30" s="360"/>
      <c r="Q30" s="248">
        <f>SUM(Q28:Q29)</f>
        <v>32212370</v>
      </c>
      <c r="R30" s="248">
        <f>SUM(R27:R29)</f>
        <v>20626070</v>
      </c>
    </row>
    <row r="31" spans="1:19" ht="13.5" thickBot="1" x14ac:dyDescent="0.25">
      <c r="A31" s="202" t="s">
        <v>58</v>
      </c>
      <c r="B31" s="1178"/>
      <c r="C31" s="1178"/>
      <c r="D31" s="1178"/>
      <c r="E31" s="1178"/>
      <c r="F31" s="1178"/>
      <c r="G31" s="1145"/>
      <c r="H31" s="202" t="s">
        <v>141</v>
      </c>
      <c r="I31" s="1179"/>
      <c r="J31" s="1179"/>
      <c r="K31" s="1179"/>
      <c r="L31" s="1179"/>
      <c r="M31" s="1179"/>
      <c r="N31" s="1180"/>
    </row>
    <row r="32" spans="1:19" ht="13.5" thickBot="1" x14ac:dyDescent="0.25">
      <c r="A32" s="1181" t="s">
        <v>206</v>
      </c>
      <c r="B32" s="1182"/>
      <c r="C32" s="1182"/>
      <c r="D32" s="1182"/>
      <c r="E32" s="1182"/>
      <c r="F32" s="1182"/>
      <c r="G32" s="1183"/>
      <c r="H32" s="1184" t="s">
        <v>207</v>
      </c>
      <c r="I32" s="1184">
        <f>SUM(I26:I31)</f>
        <v>4590000</v>
      </c>
      <c r="J32" s="1184">
        <f>SUM(J26:J31)</f>
        <v>4593000</v>
      </c>
      <c r="K32" s="1184">
        <f>SUM(K26:K31)</f>
        <v>4593000</v>
      </c>
      <c r="L32" s="1184">
        <f>SUM(L26:L31)</f>
        <v>6743948</v>
      </c>
      <c r="M32" s="1184">
        <f>SUM(M26:M31)</f>
        <v>6695182</v>
      </c>
      <c r="N32" s="1185">
        <f>SUM(M32/L32)</f>
        <v>0.99276892407829953</v>
      </c>
    </row>
    <row r="33" spans="1:14" x14ac:dyDescent="0.2">
      <c r="A33" s="1173" t="s">
        <v>208</v>
      </c>
      <c r="B33" s="1186"/>
      <c r="C33" s="1186"/>
      <c r="D33" s="1186"/>
      <c r="E33" s="1186"/>
      <c r="F33" s="1186"/>
      <c r="G33" s="1187"/>
      <c r="H33" s="1188" t="s">
        <v>36</v>
      </c>
      <c r="I33" s="1189"/>
      <c r="J33" s="1189"/>
      <c r="K33" s="1189"/>
      <c r="L33" s="1189"/>
      <c r="M33" s="1189"/>
      <c r="N33" s="1187"/>
    </row>
    <row r="34" spans="1:14" x14ac:dyDescent="0.2">
      <c r="A34" s="255" t="s">
        <v>63</v>
      </c>
      <c r="B34" s="1190"/>
      <c r="C34" s="1190"/>
      <c r="D34" s="1190"/>
      <c r="E34" s="1190"/>
      <c r="F34" s="1190"/>
      <c r="G34" s="1191"/>
      <c r="H34" s="261" t="s">
        <v>44</v>
      </c>
      <c r="I34" s="206"/>
      <c r="J34" s="206"/>
      <c r="K34" s="206"/>
      <c r="L34" s="206"/>
      <c r="M34" s="206"/>
      <c r="N34" s="1191"/>
    </row>
    <row r="35" spans="1:14" x14ac:dyDescent="0.2">
      <c r="A35" s="255" t="s">
        <v>65</v>
      </c>
      <c r="B35" s="1190"/>
      <c r="C35" s="1190"/>
      <c r="D35" s="1190"/>
      <c r="E35" s="1190"/>
      <c r="F35" s="1190"/>
      <c r="G35" s="1191"/>
      <c r="H35" s="261" t="s">
        <v>66</v>
      </c>
      <c r="I35" s="206"/>
      <c r="J35" s="206"/>
      <c r="K35" s="206"/>
      <c r="L35" s="206"/>
      <c r="M35" s="206"/>
      <c r="N35" s="1191"/>
    </row>
    <row r="36" spans="1:14" x14ac:dyDescent="0.2">
      <c r="A36" s="193" t="s">
        <v>116</v>
      </c>
      <c r="B36" s="1192"/>
      <c r="C36" s="1192"/>
      <c r="D36" s="1192"/>
      <c r="E36" s="1192"/>
      <c r="F36" s="1192"/>
      <c r="G36" s="1193"/>
      <c r="H36" s="1194"/>
      <c r="I36" s="208"/>
      <c r="J36" s="208"/>
      <c r="K36" s="208"/>
      <c r="L36" s="208"/>
      <c r="M36" s="208"/>
      <c r="N36" s="1193"/>
    </row>
    <row r="37" spans="1:14" x14ac:dyDescent="0.2">
      <c r="A37" s="255" t="s">
        <v>118</v>
      </c>
      <c r="B37" s="1190"/>
      <c r="C37" s="1190"/>
      <c r="D37" s="1190"/>
      <c r="E37" s="1190"/>
      <c r="F37" s="1190"/>
      <c r="G37" s="1191"/>
      <c r="H37" s="1194"/>
      <c r="I37" s="206"/>
      <c r="J37" s="206"/>
      <c r="K37" s="206"/>
      <c r="L37" s="206"/>
      <c r="M37" s="206"/>
      <c r="N37" s="1191"/>
    </row>
    <row r="38" spans="1:14" ht="13.5" thickBot="1" x14ac:dyDescent="0.25">
      <c r="A38" s="1195" t="s">
        <v>120</v>
      </c>
      <c r="B38" s="1196"/>
      <c r="C38" s="1196"/>
      <c r="D38" s="1196"/>
      <c r="E38" s="1196"/>
      <c r="F38" s="1196"/>
      <c r="G38" s="1197"/>
      <c r="H38" s="1198"/>
      <c r="I38" s="1199"/>
      <c r="J38" s="1199"/>
      <c r="K38" s="1199"/>
      <c r="L38" s="1199"/>
      <c r="M38" s="1199"/>
      <c r="N38" s="1197"/>
    </row>
    <row r="39" spans="1:14" ht="17.25" customHeight="1" thickBot="1" x14ac:dyDescent="0.25">
      <c r="A39" s="1200" t="s">
        <v>224</v>
      </c>
      <c r="B39" s="1201"/>
      <c r="C39" s="1201"/>
      <c r="D39" s="1201"/>
      <c r="E39" s="1201"/>
      <c r="F39" s="1201"/>
      <c r="G39" s="1185"/>
      <c r="H39" s="1184" t="s">
        <v>225</v>
      </c>
      <c r="I39" s="1184">
        <f>SUM(I33:I38)</f>
        <v>0</v>
      </c>
      <c r="J39" s="1184">
        <f>SUM(J33:J38)</f>
        <v>0</v>
      </c>
      <c r="K39" s="1184"/>
      <c r="L39" s="1184"/>
      <c r="M39" s="1184">
        <f>SUM(M33:M38)</f>
        <v>0</v>
      </c>
      <c r="N39" s="1185"/>
    </row>
    <row r="40" spans="1:14" ht="13.5" thickBot="1" x14ac:dyDescent="0.25">
      <c r="A40" s="185" t="s">
        <v>227</v>
      </c>
      <c r="B40" s="1202"/>
      <c r="C40" s="1202"/>
      <c r="D40" s="1202"/>
      <c r="E40" s="1202"/>
      <c r="F40" s="1202"/>
      <c r="G40" s="1203"/>
      <c r="H40" s="1172" t="s">
        <v>226</v>
      </c>
      <c r="I40" s="197">
        <f>SUM(I32+I39)</f>
        <v>4590000</v>
      </c>
      <c r="J40" s="197">
        <f>SUM(J32+J39)</f>
        <v>4593000</v>
      </c>
      <c r="K40" s="197">
        <f>SUM(K32+K39)</f>
        <v>4593000</v>
      </c>
      <c r="L40" s="197">
        <f>SUM(L32+L39)</f>
        <v>6743948</v>
      </c>
      <c r="M40" s="197">
        <f>SUM(M32+M39)</f>
        <v>6695182</v>
      </c>
      <c r="N40" s="1203">
        <f>SUM(M40/L40)</f>
        <v>0.99276892407829953</v>
      </c>
    </row>
    <row r="41" spans="1:14" ht="13.5" customHeight="1" thickBot="1" x14ac:dyDescent="0.25">
      <c r="A41" s="258" t="s">
        <v>212</v>
      </c>
      <c r="B41" s="166">
        <f>SUM(B25+B40)</f>
        <v>74873900</v>
      </c>
      <c r="C41" s="166">
        <f>SUM(C25+C40)</f>
        <v>74883900</v>
      </c>
      <c r="D41" s="166">
        <f>SUM(D25+D40)</f>
        <v>74883900</v>
      </c>
      <c r="E41" s="166">
        <f>SUM(E25+E40)</f>
        <v>67550737</v>
      </c>
      <c r="F41" s="166">
        <f>SUM(F25+F40)</f>
        <v>66545647</v>
      </c>
      <c r="G41" s="343">
        <f>SUM(F41/E41)</f>
        <v>0.98512096174465125</v>
      </c>
      <c r="H41" s="1204" t="s">
        <v>213</v>
      </c>
      <c r="I41" s="1205">
        <f>SUM(I25+I40)</f>
        <v>74873900</v>
      </c>
      <c r="J41" s="1205">
        <f>SUM(J25+J40)</f>
        <v>74883900</v>
      </c>
      <c r="K41" s="1205">
        <f>SUM(K25+K40)</f>
        <v>74883900</v>
      </c>
      <c r="L41" s="1205">
        <f>SUM(L25+L40)</f>
        <v>67550737</v>
      </c>
      <c r="M41" s="1205">
        <f>SUM(M25+M40)</f>
        <v>66013803</v>
      </c>
      <c r="N41" s="343">
        <f>SUM(M41/L41)</f>
        <v>0.9772477093773233</v>
      </c>
    </row>
    <row r="42" spans="1:14" ht="13.5" customHeight="1" x14ac:dyDescent="0.2">
      <c r="A42" s="221" t="s">
        <v>80</v>
      </c>
      <c r="B42" s="221">
        <f>SUM(B15+B32)</f>
        <v>12994000</v>
      </c>
      <c r="C42" s="221">
        <f>SUM(C15+C32)</f>
        <v>13004000</v>
      </c>
      <c r="D42" s="221">
        <f>SUM(D15+D32)</f>
        <v>13004000</v>
      </c>
      <c r="E42" s="221">
        <f>SUM(E15+E32)</f>
        <v>14694410</v>
      </c>
      <c r="F42" s="221">
        <f>SUM(F15+F32)</f>
        <v>13689320</v>
      </c>
      <c r="G42" s="325">
        <f>SUM(F42/F42)</f>
        <v>1</v>
      </c>
      <c r="H42" s="220"/>
      <c r="I42" s="220"/>
      <c r="J42" s="220"/>
      <c r="K42" s="220"/>
      <c r="L42" s="220"/>
      <c r="M42" s="220"/>
    </row>
    <row r="43" spans="1:14" ht="21.75" customHeight="1" x14ac:dyDescent="0.2">
      <c r="A43" s="221" t="s">
        <v>288</v>
      </c>
      <c r="B43" s="221">
        <f>SUM(B24)</f>
        <v>61879900</v>
      </c>
      <c r="C43" s="221">
        <f>SUM(C24)</f>
        <v>61879900</v>
      </c>
      <c r="D43" s="221">
        <f>SUM(D24)</f>
        <v>61879900</v>
      </c>
      <c r="E43" s="221">
        <f>SUM(E24)</f>
        <v>52856327</v>
      </c>
      <c r="F43" s="221">
        <f>SUM(F24)</f>
        <v>52856327</v>
      </c>
      <c r="H43" s="248" t="s">
        <v>844</v>
      </c>
      <c r="I43" s="220">
        <v>2566025</v>
      </c>
      <c r="J43" s="220"/>
      <c r="K43" s="220"/>
      <c r="L43" s="220"/>
      <c r="M43" s="220">
        <v>2855251</v>
      </c>
    </row>
    <row r="44" spans="1:14" x14ac:dyDescent="0.2">
      <c r="B44" s="221">
        <f>SUM(B42:B43)</f>
        <v>74873900</v>
      </c>
      <c r="C44" s="221">
        <f>SUM(C42:C43)</f>
        <v>74883900</v>
      </c>
      <c r="D44" s="221">
        <f>SUM(D42:D43)</f>
        <v>74883900</v>
      </c>
      <c r="E44" s="221">
        <f>SUM(E42:E43)</f>
        <v>67550737</v>
      </c>
      <c r="F44" s="221">
        <f>SUM(F42:F43)</f>
        <v>66545647</v>
      </c>
      <c r="G44" s="221"/>
      <c r="H44" s="248" t="s">
        <v>286</v>
      </c>
      <c r="M44" s="248">
        <f>SUM(F41-M41)</f>
        <v>531844</v>
      </c>
    </row>
    <row r="45" spans="1:14" ht="15" x14ac:dyDescent="0.25">
      <c r="H45" s="223"/>
      <c r="I45" s="223"/>
      <c r="J45" s="223"/>
      <c r="K45" s="223"/>
      <c r="L45" s="223"/>
      <c r="M45" s="223"/>
    </row>
  </sheetData>
  <mergeCells count="4">
    <mergeCell ref="H1:N1"/>
    <mergeCell ref="A3:N3"/>
    <mergeCell ref="A4:N4"/>
    <mergeCell ref="M5:N5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52"/>
  <sheetViews>
    <sheetView topLeftCell="C1" zoomScale="96" zoomScaleNormal="96" workbookViewId="0">
      <selection activeCell="L35" sqref="L35"/>
    </sheetView>
  </sheetViews>
  <sheetFormatPr defaultRowHeight="12.75" x14ac:dyDescent="0.2"/>
  <cols>
    <col min="1" max="1" width="44.7109375" style="58" customWidth="1"/>
    <col min="2" max="2" width="11" style="58" customWidth="1"/>
    <col min="3" max="3" width="9.7109375" style="58" customWidth="1"/>
    <col min="4" max="6" width="10.7109375" style="57" customWidth="1"/>
    <col min="7" max="11" width="11.7109375" style="57" customWidth="1"/>
    <col min="12" max="12" width="44.42578125" style="57" customWidth="1"/>
    <col min="13" max="14" width="10.85546875" style="57" customWidth="1"/>
    <col min="15" max="15" width="12.28515625" style="57" customWidth="1"/>
    <col min="16" max="17" width="10.85546875" style="57" customWidth="1"/>
    <col min="18" max="18" width="13.5703125" style="57" customWidth="1"/>
    <col min="19" max="19" width="10.85546875" style="57" customWidth="1"/>
    <col min="20" max="20" width="10.5703125" style="57" customWidth="1"/>
    <col min="21" max="21" width="14.85546875" style="57" customWidth="1"/>
    <col min="22" max="22" width="11.7109375" style="57" customWidth="1"/>
    <col min="23" max="16384" width="9.140625" style="57"/>
  </cols>
  <sheetData>
    <row r="1" spans="1:23" ht="12.75" customHeight="1" x14ac:dyDescent="0.2">
      <c r="F1" s="1353"/>
      <c r="G1" s="1364"/>
      <c r="H1" s="1364"/>
      <c r="I1" s="1364"/>
      <c r="J1" s="1364"/>
      <c r="L1" s="1353" t="s">
        <v>1007</v>
      </c>
      <c r="M1" s="1364"/>
      <c r="N1" s="1364"/>
      <c r="O1" s="1364"/>
      <c r="P1" s="1364"/>
      <c r="Q1" s="1364"/>
      <c r="R1" s="1364"/>
      <c r="S1" s="1364"/>
      <c r="T1" s="1364"/>
      <c r="U1" s="1364"/>
    </row>
    <row r="2" spans="1:23" x14ac:dyDescent="0.2"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3" ht="15.75" customHeight="1" x14ac:dyDescent="0.2">
      <c r="A3" s="1350" t="s">
        <v>849</v>
      </c>
      <c r="B3" s="1367"/>
      <c r="C3" s="1367"/>
      <c r="D3" s="1367"/>
      <c r="E3" s="1367"/>
      <c r="F3" s="1367"/>
      <c r="G3" s="1367"/>
      <c r="H3" s="1367"/>
      <c r="I3" s="1367"/>
      <c r="J3" s="1367"/>
      <c r="K3" s="359"/>
      <c r="L3" s="1350" t="s">
        <v>848</v>
      </c>
      <c r="M3" s="1367"/>
      <c r="N3" s="1367"/>
      <c r="O3" s="1367"/>
      <c r="P3" s="1367"/>
      <c r="Q3" s="1367"/>
      <c r="R3" s="1367"/>
      <c r="S3" s="1367"/>
      <c r="T3" s="1367"/>
      <c r="U3" s="1367"/>
      <c r="V3" s="359"/>
    </row>
    <row r="4" spans="1:23" ht="15.75" customHeight="1" x14ac:dyDescent="0.2">
      <c r="A4" s="1350"/>
      <c r="B4" s="1350"/>
      <c r="C4" s="1350"/>
      <c r="D4" s="1350"/>
      <c r="E4" s="1350"/>
      <c r="F4" s="1350"/>
      <c r="G4" s="1350"/>
      <c r="H4" s="1350"/>
      <c r="I4" s="1350"/>
      <c r="J4" s="1350"/>
      <c r="K4" s="1350"/>
      <c r="L4" s="1350"/>
      <c r="M4" s="1350"/>
      <c r="N4" s="1350"/>
      <c r="O4" s="1350"/>
      <c r="P4" s="1350"/>
      <c r="Q4" s="1350"/>
      <c r="R4" s="1350"/>
      <c r="S4" s="1350"/>
      <c r="T4" s="1350"/>
      <c r="U4" s="1350"/>
    </row>
    <row r="5" spans="1:23" ht="13.5" thickBot="1" x14ac:dyDescent="0.25">
      <c r="I5" s="1365" t="s">
        <v>278</v>
      </c>
      <c r="J5" s="1366"/>
      <c r="K5" s="440"/>
      <c r="T5" s="1365" t="s">
        <v>278</v>
      </c>
      <c r="U5" s="1366"/>
      <c r="V5" s="440"/>
    </row>
    <row r="6" spans="1:23" ht="18" customHeight="1" thickBot="1" x14ac:dyDescent="0.25">
      <c r="A6" s="62" t="s">
        <v>14</v>
      </c>
      <c r="B6" s="60"/>
      <c r="C6" s="60"/>
      <c r="D6" s="61"/>
      <c r="E6" s="60"/>
      <c r="F6" s="60"/>
      <c r="G6" s="60"/>
      <c r="H6" s="60"/>
      <c r="I6" s="60"/>
      <c r="J6" s="60"/>
      <c r="K6" s="441"/>
      <c r="L6" s="62" t="s">
        <v>15</v>
      </c>
      <c r="M6" s="63"/>
      <c r="N6" s="63"/>
      <c r="O6" s="63"/>
      <c r="P6" s="63"/>
      <c r="Q6" s="63"/>
      <c r="R6" s="63"/>
      <c r="S6" s="63"/>
      <c r="T6" s="63"/>
      <c r="U6" s="64"/>
      <c r="V6" s="441"/>
    </row>
    <row r="7" spans="1:23" s="68" customFormat="1" ht="42" customHeight="1" thickBot="1" x14ac:dyDescent="0.25">
      <c r="A7" s="67" t="s">
        <v>16</v>
      </c>
      <c r="B7" s="362" t="s">
        <v>197</v>
      </c>
      <c r="C7" s="362" t="s">
        <v>198</v>
      </c>
      <c r="D7" s="363" t="s">
        <v>233</v>
      </c>
      <c r="E7" s="65" t="s">
        <v>197</v>
      </c>
      <c r="F7" s="65" t="s">
        <v>198</v>
      </c>
      <c r="G7" s="66" t="s">
        <v>276</v>
      </c>
      <c r="H7" s="401" t="s">
        <v>197</v>
      </c>
      <c r="I7" s="401" t="s">
        <v>198</v>
      </c>
      <c r="J7" s="402" t="s">
        <v>277</v>
      </c>
      <c r="K7" s="442" t="s">
        <v>279</v>
      </c>
      <c r="L7" s="67" t="s">
        <v>16</v>
      </c>
      <c r="M7" s="362" t="s">
        <v>197</v>
      </c>
      <c r="N7" s="362" t="s">
        <v>198</v>
      </c>
      <c r="O7" s="363" t="s">
        <v>233</v>
      </c>
      <c r="P7" s="65" t="s">
        <v>197</v>
      </c>
      <c r="Q7" s="65" t="s">
        <v>198</v>
      </c>
      <c r="R7" s="66" t="s">
        <v>276</v>
      </c>
      <c r="S7" s="401" t="s">
        <v>197</v>
      </c>
      <c r="T7" s="401" t="s">
        <v>198</v>
      </c>
      <c r="U7" s="402" t="s">
        <v>277</v>
      </c>
      <c r="V7" s="442" t="s">
        <v>279</v>
      </c>
    </row>
    <row r="8" spans="1:23" ht="12.95" customHeight="1" thickBot="1" x14ac:dyDescent="0.25">
      <c r="A8" s="282" t="s">
        <v>199</v>
      </c>
      <c r="B8" s="459"/>
      <c r="C8" s="460"/>
      <c r="D8" s="384">
        <f>SUM(B8:C8)</f>
        <v>0</v>
      </c>
      <c r="E8" s="361"/>
      <c r="F8" s="454"/>
      <c r="G8" s="126">
        <f>SUM(E8:F8)</f>
        <v>0</v>
      </c>
      <c r="H8" s="461"/>
      <c r="I8" s="462"/>
      <c r="J8" s="423">
        <f>SUM(H8:I8)</f>
        <v>0</v>
      </c>
      <c r="K8" s="463"/>
      <c r="L8" s="70" t="s">
        <v>17</v>
      </c>
      <c r="M8" s="514">
        <v>22076000</v>
      </c>
      <c r="N8" s="515">
        <v>14083000</v>
      </c>
      <c r="O8" s="516">
        <f>SUM(M8:N8)</f>
        <v>36159000</v>
      </c>
      <c r="P8" s="74">
        <v>22357000</v>
      </c>
      <c r="Q8" s="75">
        <v>13202500</v>
      </c>
      <c r="R8" s="76">
        <f>SUM(P8:Q8)</f>
        <v>35559500</v>
      </c>
      <c r="S8" s="478">
        <v>22340329</v>
      </c>
      <c r="T8" s="479">
        <v>12838318</v>
      </c>
      <c r="U8" s="480">
        <f>SUM(S8:T8)</f>
        <v>35178647</v>
      </c>
      <c r="V8" s="463">
        <f>SUM(U8/R8)</f>
        <v>0.98928969754917817</v>
      </c>
    </row>
    <row r="9" spans="1:23" ht="12.95" customHeight="1" thickBot="1" x14ac:dyDescent="0.25">
      <c r="A9" s="78" t="s">
        <v>18</v>
      </c>
      <c r="B9" s="367"/>
      <c r="C9" s="365"/>
      <c r="D9" s="366">
        <f>SUM(B9:C9)</f>
        <v>0</v>
      </c>
      <c r="E9" s="77"/>
      <c r="F9" s="71"/>
      <c r="G9" s="72">
        <f>SUM(E9:F9)</f>
        <v>0</v>
      </c>
      <c r="H9" s="406"/>
      <c r="I9" s="404"/>
      <c r="J9" s="405">
        <f>SUM(H9:I9)</f>
        <v>0</v>
      </c>
      <c r="K9" s="464"/>
      <c r="L9" s="77" t="s">
        <v>19</v>
      </c>
      <c r="M9" s="517">
        <v>3949000</v>
      </c>
      <c r="N9" s="518">
        <v>2499000</v>
      </c>
      <c r="O9" s="516">
        <f>SUM(M9:N9)</f>
        <v>6448000</v>
      </c>
      <c r="P9" s="79">
        <v>3730500</v>
      </c>
      <c r="Q9" s="80">
        <v>2119000</v>
      </c>
      <c r="R9" s="76">
        <f>SUM(P9:Q9)</f>
        <v>5849500</v>
      </c>
      <c r="S9" s="481">
        <v>3729308</v>
      </c>
      <c r="T9" s="482">
        <v>2110223</v>
      </c>
      <c r="U9" s="480">
        <f>SUM(S9:T9)</f>
        <v>5839531</v>
      </c>
      <c r="V9" s="463">
        <f>SUM(U9/R9)</f>
        <v>0.99829575177365582</v>
      </c>
    </row>
    <row r="10" spans="1:23" ht="12.95" customHeight="1" thickBot="1" x14ac:dyDescent="0.25">
      <c r="A10" s="78" t="s">
        <v>20</v>
      </c>
      <c r="B10" s="367">
        <v>40000</v>
      </c>
      <c r="C10" s="365">
        <v>12954000</v>
      </c>
      <c r="D10" s="366">
        <f>SUM(B10:C10)</f>
        <v>12994000</v>
      </c>
      <c r="E10" s="260">
        <v>50000</v>
      </c>
      <c r="F10" s="71">
        <f>3700271+999069+9945070</f>
        <v>14644410</v>
      </c>
      <c r="G10" s="72">
        <f>SUM(E10:F10)</f>
        <v>14694410</v>
      </c>
      <c r="H10" s="406">
        <v>2672</v>
      </c>
      <c r="I10" s="404">
        <f>4237005+9480338-30695</f>
        <v>13686648</v>
      </c>
      <c r="J10" s="405">
        <f>SUM(H10:I10)</f>
        <v>13689320</v>
      </c>
      <c r="K10" s="464">
        <f>SUM(J10/G10)</f>
        <v>0.93160052019781669</v>
      </c>
      <c r="L10" s="77" t="s">
        <v>21</v>
      </c>
      <c r="M10" s="517">
        <v>5637900</v>
      </c>
      <c r="N10" s="518">
        <v>22039000</v>
      </c>
      <c r="O10" s="516">
        <f>SUM(M10:N10)</f>
        <v>27676900</v>
      </c>
      <c r="P10" s="79">
        <f>4115870+11000</f>
        <v>4126870</v>
      </c>
      <c r="Q10" s="80">
        <v>15260919</v>
      </c>
      <c r="R10" s="76">
        <f>SUM(P10:Q10)</f>
        <v>19387789</v>
      </c>
      <c r="S10" s="481">
        <f>4011885+7122</f>
        <v>4019007</v>
      </c>
      <c r="T10" s="482">
        <v>14277880</v>
      </c>
      <c r="U10" s="480">
        <f>SUM(S10:T10)</f>
        <v>18296887</v>
      </c>
      <c r="V10" s="463">
        <f>SUM(U10/R10)</f>
        <v>0.94373252153713871</v>
      </c>
    </row>
    <row r="11" spans="1:23" ht="12.95" customHeight="1" thickBot="1" x14ac:dyDescent="0.25">
      <c r="A11" s="78" t="s">
        <v>22</v>
      </c>
      <c r="B11" s="367"/>
      <c r="C11" s="365"/>
      <c r="D11" s="366">
        <f>SUM(B11:C11)</f>
        <v>0</v>
      </c>
      <c r="E11" s="260"/>
      <c r="F11" s="71"/>
      <c r="G11" s="72">
        <f>SUM(E11:F11)</f>
        <v>0</v>
      </c>
      <c r="H11" s="406"/>
      <c r="I11" s="404"/>
      <c r="J11" s="405">
        <f>SUM(H11:I11)</f>
        <v>0</v>
      </c>
      <c r="K11" s="464"/>
      <c r="L11" s="77" t="s">
        <v>23</v>
      </c>
      <c r="M11" s="367"/>
      <c r="N11" s="519"/>
      <c r="O11" s="516">
        <f>SUM(F11:N11)</f>
        <v>0</v>
      </c>
      <c r="P11" s="77"/>
      <c r="Q11" s="81"/>
      <c r="R11" s="76">
        <f>SUM(I11:Q11)</f>
        <v>0</v>
      </c>
      <c r="S11" s="406"/>
      <c r="T11" s="483"/>
      <c r="U11" s="480">
        <f>SUM(M11:T11)</f>
        <v>0</v>
      </c>
      <c r="V11" s="463"/>
    </row>
    <row r="12" spans="1:23" ht="12.95" customHeight="1" x14ac:dyDescent="0.2">
      <c r="A12" s="455"/>
      <c r="B12" s="474"/>
      <c r="C12" s="474"/>
      <c r="D12" s="475"/>
      <c r="E12" s="136"/>
      <c r="F12" s="136"/>
      <c r="G12" s="136"/>
      <c r="H12" s="476"/>
      <c r="I12" s="476"/>
      <c r="J12" s="476"/>
      <c r="K12" s="477"/>
      <c r="L12" s="77" t="s">
        <v>24</v>
      </c>
      <c r="M12" s="368"/>
      <c r="N12" s="520"/>
      <c r="O12" s="516">
        <f>SUM(F12:N12)</f>
        <v>0</v>
      </c>
      <c r="P12" s="82">
        <v>10000</v>
      </c>
      <c r="Q12" s="85">
        <v>0</v>
      </c>
      <c r="R12" s="76">
        <f>SUM(I12:Q12)</f>
        <v>10000</v>
      </c>
      <c r="S12" s="407">
        <v>3556</v>
      </c>
      <c r="T12" s="484">
        <v>0</v>
      </c>
      <c r="U12" s="480">
        <f>SUM(S12:T12)</f>
        <v>3556</v>
      </c>
      <c r="V12" s="463">
        <f>SUM(U12/R12)</f>
        <v>0.35560000000000003</v>
      </c>
    </row>
    <row r="13" spans="1:23" ht="12.95" customHeight="1" x14ac:dyDescent="0.2">
      <c r="A13" s="455"/>
      <c r="B13" s="474"/>
      <c r="C13" s="474"/>
      <c r="D13" s="475"/>
      <c r="E13" s="136"/>
      <c r="F13" s="136"/>
      <c r="G13" s="136"/>
      <c r="H13" s="476"/>
      <c r="I13" s="476"/>
      <c r="J13" s="476"/>
      <c r="K13" s="477"/>
      <c r="L13" s="77" t="s">
        <v>25</v>
      </c>
      <c r="M13" s="368"/>
      <c r="N13" s="520"/>
      <c r="O13" s="516">
        <f>SUM(F13:N13)</f>
        <v>0</v>
      </c>
      <c r="P13" s="82"/>
      <c r="Q13" s="85"/>
      <c r="R13" s="76">
        <f>SUM(I13:Q13)</f>
        <v>0</v>
      </c>
      <c r="S13" s="407"/>
      <c r="T13" s="484"/>
      <c r="U13" s="480">
        <f>SUM(M13:T13)</f>
        <v>0</v>
      </c>
      <c r="V13" s="477"/>
      <c r="W13" s="87"/>
    </row>
    <row r="14" spans="1:23" ht="12.95" customHeight="1" thickBot="1" x14ac:dyDescent="0.25">
      <c r="A14" s="457"/>
      <c r="B14" s="465"/>
      <c r="C14" s="466"/>
      <c r="D14" s="467">
        <f>SUM(B14:B14)</f>
        <v>0</v>
      </c>
      <c r="E14" s="468"/>
      <c r="F14" s="458"/>
      <c r="G14" s="469">
        <f>SUM(E14:E14)</f>
        <v>0</v>
      </c>
      <c r="H14" s="470"/>
      <c r="I14" s="471"/>
      <c r="J14" s="472">
        <f>SUM(H14:H14)</f>
        <v>0</v>
      </c>
      <c r="K14" s="473"/>
      <c r="L14" s="88" t="s">
        <v>26</v>
      </c>
      <c r="M14" s="521"/>
      <c r="N14" s="522"/>
      <c r="O14" s="516">
        <f>SUM(F14:N14)</f>
        <v>0</v>
      </c>
      <c r="P14" s="88"/>
      <c r="Q14" s="84"/>
      <c r="R14" s="76">
        <f>SUM(I14:Q14)</f>
        <v>0</v>
      </c>
      <c r="S14" s="485"/>
      <c r="T14" s="486"/>
      <c r="U14" s="480">
        <f>SUM(M14:T14)</f>
        <v>0</v>
      </c>
      <c r="V14" s="473"/>
      <c r="W14" s="87"/>
    </row>
    <row r="15" spans="1:23" ht="22.5" customHeight="1" thickBot="1" x14ac:dyDescent="0.25">
      <c r="A15" s="91" t="s">
        <v>27</v>
      </c>
      <c r="B15" s="370">
        <f t="shared" ref="B15:J15" si="0">SUM(B8:B14)</f>
        <v>40000</v>
      </c>
      <c r="C15" s="371">
        <f t="shared" si="0"/>
        <v>12954000</v>
      </c>
      <c r="D15" s="371">
        <f t="shared" si="0"/>
        <v>12994000</v>
      </c>
      <c r="E15" s="89">
        <f t="shared" si="0"/>
        <v>50000</v>
      </c>
      <c r="F15" s="90">
        <f t="shared" si="0"/>
        <v>14644410</v>
      </c>
      <c r="G15" s="90">
        <f t="shared" si="0"/>
        <v>14694410</v>
      </c>
      <c r="H15" s="409">
        <f t="shared" si="0"/>
        <v>2672</v>
      </c>
      <c r="I15" s="410">
        <f t="shared" si="0"/>
        <v>13686648</v>
      </c>
      <c r="J15" s="410">
        <f t="shared" si="0"/>
        <v>13689320</v>
      </c>
      <c r="K15" s="444">
        <f>SUM(J15/I15)</f>
        <v>1.0001952267640697</v>
      </c>
      <c r="L15" s="91" t="s">
        <v>30</v>
      </c>
      <c r="M15" s="370">
        <f>SUM(M8:M14)</f>
        <v>31662900</v>
      </c>
      <c r="N15" s="370">
        <f>SUM(N8:N14)</f>
        <v>38621000</v>
      </c>
      <c r="O15" s="523">
        <f>SUM(M15:N15)</f>
        <v>70283900</v>
      </c>
      <c r="P15" s="89">
        <f>SUM(P8:P14)</f>
        <v>30224370</v>
      </c>
      <c r="Q15" s="89">
        <f>SUM(Q8:Q14)</f>
        <v>30582419</v>
      </c>
      <c r="R15" s="92">
        <f>SUM(P15:Q15)</f>
        <v>60806789</v>
      </c>
      <c r="S15" s="409">
        <f>SUM(S8:S14)</f>
        <v>30092200</v>
      </c>
      <c r="T15" s="409">
        <f>SUM(T8:T14)</f>
        <v>29226421</v>
      </c>
      <c r="U15" s="487">
        <f>SUM(S15:T15)</f>
        <v>59318621</v>
      </c>
      <c r="V15" s="444">
        <f>SUM(U15/R15)</f>
        <v>0.97552628539553377</v>
      </c>
      <c r="W15" s="86"/>
    </row>
    <row r="16" spans="1:23" ht="12.95" customHeight="1" x14ac:dyDescent="0.2">
      <c r="A16" s="102" t="s">
        <v>31</v>
      </c>
      <c r="B16" s="372"/>
      <c r="C16" s="373"/>
      <c r="D16" s="366">
        <f>SUM(B16:B16)</f>
        <v>0</v>
      </c>
      <c r="E16" s="93"/>
      <c r="F16" s="94"/>
      <c r="G16" s="72">
        <f>SUM(E16:E16)</f>
        <v>0</v>
      </c>
      <c r="H16" s="411"/>
      <c r="I16" s="412"/>
      <c r="J16" s="405">
        <f>SUM(H16:H16)</f>
        <v>0</v>
      </c>
      <c r="K16" s="443"/>
      <c r="L16" s="95" t="s">
        <v>32</v>
      </c>
      <c r="M16" s="372"/>
      <c r="N16" s="524"/>
      <c r="O16" s="525">
        <f t="shared" ref="O16:O23" si="1">SUM(F16:F16)</f>
        <v>0</v>
      </c>
      <c r="P16" s="93"/>
      <c r="Q16" s="96"/>
      <c r="R16" s="97">
        <f t="shared" ref="R16:R23" si="2">SUM(I16:I16)</f>
        <v>0</v>
      </c>
      <c r="S16" s="411"/>
      <c r="T16" s="488"/>
      <c r="U16" s="489">
        <f t="shared" ref="U16:U24" si="3">SUM(M16:M16)</f>
        <v>0</v>
      </c>
      <c r="V16" s="443"/>
    </row>
    <row r="17" spans="1:22" ht="12.95" customHeight="1" x14ac:dyDescent="0.2">
      <c r="A17" s="232" t="s">
        <v>33</v>
      </c>
      <c r="B17" s="374">
        <v>0</v>
      </c>
      <c r="C17" s="375">
        <v>0</v>
      </c>
      <c r="D17" s="366">
        <f>SUM(B17:C17)</f>
        <v>0</v>
      </c>
      <c r="E17" s="261">
        <v>0</v>
      </c>
      <c r="F17" s="262">
        <v>2566025</v>
      </c>
      <c r="G17" s="263">
        <f>SUM(E17:F17)</f>
        <v>2566025</v>
      </c>
      <c r="H17" s="413">
        <v>0</v>
      </c>
      <c r="I17" s="414">
        <v>2556025</v>
      </c>
      <c r="J17" s="405">
        <v>2566025</v>
      </c>
      <c r="K17" s="443">
        <f>SUM(J17/G17)</f>
        <v>1</v>
      </c>
      <c r="L17" s="100" t="s">
        <v>34</v>
      </c>
      <c r="M17" s="374"/>
      <c r="N17" s="526"/>
      <c r="O17" s="525">
        <f>SUM(M17:N17)</f>
        <v>0</v>
      </c>
      <c r="P17" s="98"/>
      <c r="Q17" s="101"/>
      <c r="R17" s="97">
        <f>SUM(P17:Q17)</f>
        <v>0</v>
      </c>
      <c r="S17" s="413"/>
      <c r="T17" s="490"/>
      <c r="U17" s="489">
        <f t="shared" si="3"/>
        <v>0</v>
      </c>
      <c r="V17" s="443"/>
    </row>
    <row r="18" spans="1:22" ht="12.95" customHeight="1" x14ac:dyDescent="0.2">
      <c r="A18" s="232" t="s">
        <v>35</v>
      </c>
      <c r="B18" s="374"/>
      <c r="C18" s="365"/>
      <c r="D18" s="366">
        <f t="shared" ref="D18:D23" si="4">SUM(B18:B18)</f>
        <v>0</v>
      </c>
      <c r="E18" s="98"/>
      <c r="F18" s="71"/>
      <c r="G18" s="72">
        <f t="shared" ref="G18:G23" si="5">SUM(E18:E18)</f>
        <v>0</v>
      </c>
      <c r="H18" s="413"/>
      <c r="I18" s="404"/>
      <c r="J18" s="405">
        <f t="shared" ref="J18:J23" si="6">SUM(H18:H18)</f>
        <v>0</v>
      </c>
      <c r="K18" s="443"/>
      <c r="L18" s="100" t="s">
        <v>36</v>
      </c>
      <c r="M18" s="374"/>
      <c r="N18" s="526"/>
      <c r="O18" s="525">
        <f t="shared" si="1"/>
        <v>0</v>
      </c>
      <c r="P18" s="98"/>
      <c r="Q18" s="101"/>
      <c r="R18" s="97">
        <f t="shared" si="2"/>
        <v>0</v>
      </c>
      <c r="S18" s="413"/>
      <c r="T18" s="490"/>
      <c r="U18" s="489">
        <f t="shared" si="3"/>
        <v>0</v>
      </c>
      <c r="V18" s="443"/>
    </row>
    <row r="19" spans="1:22" ht="12.95" customHeight="1" x14ac:dyDescent="0.2">
      <c r="A19" s="104" t="s">
        <v>200</v>
      </c>
      <c r="B19" s="368">
        <v>30037520</v>
      </c>
      <c r="C19" s="369">
        <v>23312424</v>
      </c>
      <c r="D19" s="366">
        <f>SUM(B19:C19)</f>
        <v>53349944</v>
      </c>
      <c r="E19" s="178">
        <v>31813220</v>
      </c>
      <c r="F19" s="83">
        <v>18585602</v>
      </c>
      <c r="G19" s="72">
        <f>SUM(E19:F19)</f>
        <v>50398822</v>
      </c>
      <c r="H19" s="407">
        <v>31813220</v>
      </c>
      <c r="I19" s="408">
        <v>18585602</v>
      </c>
      <c r="J19" s="405">
        <f>SUM(H19:I19)</f>
        <v>50398822</v>
      </c>
      <c r="K19" s="443">
        <f>SUM(J19/G19)</f>
        <v>1</v>
      </c>
      <c r="L19" s="100" t="s">
        <v>38</v>
      </c>
      <c r="M19" s="374"/>
      <c r="N19" s="526"/>
      <c r="O19" s="525"/>
      <c r="P19" s="98"/>
      <c r="Q19" s="101"/>
      <c r="R19" s="97"/>
      <c r="S19" s="413"/>
      <c r="T19" s="490"/>
      <c r="U19" s="489">
        <f t="shared" si="3"/>
        <v>0</v>
      </c>
      <c r="V19" s="443"/>
    </row>
    <row r="20" spans="1:22" ht="12.95" customHeight="1" x14ac:dyDescent="0.2">
      <c r="A20" s="231" t="s">
        <v>201</v>
      </c>
      <c r="B20" s="368">
        <v>3109380</v>
      </c>
      <c r="C20" s="369">
        <f>902576+4518000</f>
        <v>5420576</v>
      </c>
      <c r="D20" s="366">
        <f>SUM(B20:C20)</f>
        <v>8529956</v>
      </c>
      <c r="E20" s="82">
        <f>399150+11000</f>
        <v>410150</v>
      </c>
      <c r="F20" s="83">
        <f>-507670-11000</f>
        <v>-518670</v>
      </c>
      <c r="G20" s="72">
        <f>SUM(E20:F20)</f>
        <v>-108520</v>
      </c>
      <c r="H20" s="407">
        <v>410150</v>
      </c>
      <c r="I20" s="408">
        <v>-518670</v>
      </c>
      <c r="J20" s="405">
        <f>SUM(H20:I20)</f>
        <v>-108520</v>
      </c>
      <c r="K20" s="443">
        <f>SUM(J20/G20)</f>
        <v>1</v>
      </c>
      <c r="L20" s="102" t="s">
        <v>40</v>
      </c>
      <c r="M20" s="374"/>
      <c r="N20" s="526"/>
      <c r="O20" s="525"/>
      <c r="P20" s="98"/>
      <c r="Q20" s="101"/>
      <c r="R20" s="97"/>
      <c r="S20" s="413"/>
      <c r="T20" s="490"/>
      <c r="U20" s="489">
        <f t="shared" si="3"/>
        <v>0</v>
      </c>
      <c r="V20" s="443"/>
    </row>
    <row r="21" spans="1:22" ht="12.95" customHeight="1" x14ac:dyDescent="0.2">
      <c r="A21" s="100" t="s">
        <v>202</v>
      </c>
      <c r="B21" s="374"/>
      <c r="C21" s="365"/>
      <c r="D21" s="366">
        <f t="shared" si="4"/>
        <v>0</v>
      </c>
      <c r="E21" s="98"/>
      <c r="F21" s="71"/>
      <c r="G21" s="72">
        <f t="shared" si="5"/>
        <v>0</v>
      </c>
      <c r="H21" s="413"/>
      <c r="I21" s="404"/>
      <c r="J21" s="405">
        <f t="shared" si="6"/>
        <v>0</v>
      </c>
      <c r="K21" s="443"/>
      <c r="L21" s="100" t="s">
        <v>41</v>
      </c>
      <c r="M21" s="374"/>
      <c r="N21" s="526"/>
      <c r="O21" s="525">
        <f t="shared" si="1"/>
        <v>0</v>
      </c>
      <c r="P21" s="98"/>
      <c r="Q21" s="101"/>
      <c r="R21" s="97">
        <f t="shared" si="2"/>
        <v>0</v>
      </c>
      <c r="S21" s="413"/>
      <c r="T21" s="490"/>
      <c r="U21" s="489">
        <f t="shared" si="3"/>
        <v>0</v>
      </c>
      <c r="V21" s="443"/>
    </row>
    <row r="22" spans="1:22" ht="12.95" customHeight="1" x14ac:dyDescent="0.2">
      <c r="A22" s="233" t="s">
        <v>43</v>
      </c>
      <c r="B22" s="372"/>
      <c r="C22" s="375"/>
      <c r="D22" s="366">
        <f t="shared" si="4"/>
        <v>0</v>
      </c>
      <c r="E22" s="93"/>
      <c r="F22" s="99"/>
      <c r="G22" s="72">
        <f t="shared" si="5"/>
        <v>0</v>
      </c>
      <c r="H22" s="411"/>
      <c r="I22" s="414"/>
      <c r="J22" s="405">
        <f t="shared" si="6"/>
        <v>0</v>
      </c>
      <c r="K22" s="443"/>
      <c r="L22" s="73" t="s">
        <v>44</v>
      </c>
      <c r="M22" s="372"/>
      <c r="N22" s="527"/>
      <c r="O22" s="525">
        <f t="shared" si="1"/>
        <v>0</v>
      </c>
      <c r="P22" s="93"/>
      <c r="Q22" s="103"/>
      <c r="R22" s="97">
        <f t="shared" si="2"/>
        <v>0</v>
      </c>
      <c r="S22" s="411"/>
      <c r="T22" s="491"/>
      <c r="U22" s="489">
        <f t="shared" si="3"/>
        <v>0</v>
      </c>
      <c r="V22" s="443"/>
    </row>
    <row r="23" spans="1:22" ht="12.95" customHeight="1" thickBot="1" x14ac:dyDescent="0.25">
      <c r="A23" s="232" t="s">
        <v>203</v>
      </c>
      <c r="B23" s="374"/>
      <c r="C23" s="375"/>
      <c r="D23" s="366">
        <f t="shared" si="4"/>
        <v>0</v>
      </c>
      <c r="E23" s="98"/>
      <c r="F23" s="99"/>
      <c r="G23" s="72">
        <f t="shared" si="5"/>
        <v>0</v>
      </c>
      <c r="H23" s="413"/>
      <c r="I23" s="414"/>
      <c r="J23" s="405">
        <f t="shared" si="6"/>
        <v>0</v>
      </c>
      <c r="K23" s="443"/>
      <c r="L23" s="104"/>
      <c r="M23" s="374"/>
      <c r="N23" s="528"/>
      <c r="O23" s="529">
        <f t="shared" si="1"/>
        <v>0</v>
      </c>
      <c r="P23" s="98"/>
      <c r="Q23" s="105"/>
      <c r="R23" s="106">
        <f t="shared" si="2"/>
        <v>0</v>
      </c>
      <c r="S23" s="413"/>
      <c r="T23" s="492"/>
      <c r="U23" s="493">
        <f t="shared" si="3"/>
        <v>0</v>
      </c>
      <c r="V23" s="443"/>
    </row>
    <row r="24" spans="1:22" ht="24" customHeight="1" thickBot="1" x14ac:dyDescent="0.25">
      <c r="A24" s="91" t="s">
        <v>47</v>
      </c>
      <c r="B24" s="370">
        <f t="shared" ref="B24:J24" si="7">SUM(B16:B23)</f>
        <v>33146900</v>
      </c>
      <c r="C24" s="370">
        <f t="shared" si="7"/>
        <v>28733000</v>
      </c>
      <c r="D24" s="370">
        <f t="shared" si="7"/>
        <v>61879900</v>
      </c>
      <c r="E24" s="89">
        <f t="shared" si="7"/>
        <v>32223370</v>
      </c>
      <c r="F24" s="89">
        <f t="shared" si="7"/>
        <v>20632957</v>
      </c>
      <c r="G24" s="89">
        <f t="shared" si="7"/>
        <v>52856327</v>
      </c>
      <c r="H24" s="409">
        <f t="shared" si="7"/>
        <v>32223370</v>
      </c>
      <c r="I24" s="409">
        <f t="shared" si="7"/>
        <v>20622957</v>
      </c>
      <c r="J24" s="409">
        <f t="shared" si="7"/>
        <v>52856327</v>
      </c>
      <c r="K24" s="445">
        <f>SUM(J24/G24)</f>
        <v>1</v>
      </c>
      <c r="L24" s="91" t="s">
        <v>204</v>
      </c>
      <c r="M24" s="530">
        <f>SUM(M16:M23)</f>
        <v>0</v>
      </c>
      <c r="N24" s="376">
        <f>SUM(N16:N23)</f>
        <v>0</v>
      </c>
      <c r="O24" s="531">
        <f>SUM(M24:N24)</f>
        <v>0</v>
      </c>
      <c r="P24" s="108">
        <f>SUM(P16:P23)</f>
        <v>0</v>
      </c>
      <c r="Q24" s="107">
        <f>SUM(Q16:Q23)</f>
        <v>0</v>
      </c>
      <c r="R24" s="109">
        <f>SUM(P24:Q24)</f>
        <v>0</v>
      </c>
      <c r="S24" s="494">
        <f>SUM(S16:S23)</f>
        <v>0</v>
      </c>
      <c r="T24" s="415">
        <f>SUM(T16:T23)</f>
        <v>0</v>
      </c>
      <c r="U24" s="495">
        <f t="shared" si="3"/>
        <v>0</v>
      </c>
      <c r="V24" s="445"/>
    </row>
    <row r="25" spans="1:22" s="115" customFormat="1" ht="15.75" thickBot="1" x14ac:dyDescent="0.25">
      <c r="A25" s="112" t="s">
        <v>205</v>
      </c>
      <c r="B25" s="376">
        <f t="shared" ref="B25:J25" si="8">SUM(B24,B15)</f>
        <v>33186900</v>
      </c>
      <c r="C25" s="377">
        <f t="shared" si="8"/>
        <v>41687000</v>
      </c>
      <c r="D25" s="377">
        <f t="shared" si="8"/>
        <v>74873900</v>
      </c>
      <c r="E25" s="107">
        <f t="shared" si="8"/>
        <v>32273370</v>
      </c>
      <c r="F25" s="111">
        <f t="shared" si="8"/>
        <v>35277367</v>
      </c>
      <c r="G25" s="111">
        <f t="shared" si="8"/>
        <v>67550737</v>
      </c>
      <c r="H25" s="415">
        <f t="shared" si="8"/>
        <v>32226042</v>
      </c>
      <c r="I25" s="416">
        <f t="shared" si="8"/>
        <v>34309605</v>
      </c>
      <c r="J25" s="416">
        <f t="shared" si="8"/>
        <v>66545647</v>
      </c>
      <c r="K25" s="446">
        <f>SUM(J25/G25)</f>
        <v>0.98512096174465125</v>
      </c>
      <c r="L25" s="112" t="s">
        <v>49</v>
      </c>
      <c r="M25" s="532">
        <f>SUM(M15+M24)</f>
        <v>31662900</v>
      </c>
      <c r="N25" s="532">
        <f>SUM(N15+N24)</f>
        <v>38621000</v>
      </c>
      <c r="O25" s="533">
        <f>SUM(M25:N25)</f>
        <v>70283900</v>
      </c>
      <c r="P25" s="113">
        <f>SUM(P15+P24)</f>
        <v>30224370</v>
      </c>
      <c r="Q25" s="113">
        <f>SUM(Q15+Q24)</f>
        <v>30582419</v>
      </c>
      <c r="R25" s="114">
        <f>SUM(P25:Q25)</f>
        <v>60806789</v>
      </c>
      <c r="S25" s="496">
        <f>SUM(S15+S24)</f>
        <v>30092200</v>
      </c>
      <c r="T25" s="496">
        <f>SUM(T15+T24)</f>
        <v>29226421</v>
      </c>
      <c r="U25" s="497">
        <f>SUM(S25:T25)</f>
        <v>59318621</v>
      </c>
      <c r="V25" s="446">
        <f>SUM(U25/R25)</f>
        <v>0.97552628539553377</v>
      </c>
    </row>
    <row r="26" spans="1:22" x14ac:dyDescent="0.2">
      <c r="A26" s="16" t="s">
        <v>51</v>
      </c>
      <c r="B26" s="364"/>
      <c r="C26" s="365"/>
      <c r="D26" s="366">
        <f>SUM(B26:B26)</f>
        <v>0</v>
      </c>
      <c r="E26" s="70"/>
      <c r="F26" s="71"/>
      <c r="G26" s="72">
        <f>SUM(E26:E26)</f>
        <v>0</v>
      </c>
      <c r="H26" s="403"/>
      <c r="I26" s="404"/>
      <c r="J26" s="405">
        <f>SUM(H26:H26)</f>
        <v>0</v>
      </c>
      <c r="K26" s="443"/>
      <c r="L26" s="16" t="s">
        <v>12</v>
      </c>
      <c r="M26" s="364">
        <v>254000</v>
      </c>
      <c r="N26" s="519">
        <v>3066000</v>
      </c>
      <c r="O26" s="525">
        <f>SUM(F26:N26)</f>
        <v>3320000</v>
      </c>
      <c r="P26" s="70">
        <v>919700</v>
      </c>
      <c r="Q26" s="81">
        <v>2931511</v>
      </c>
      <c r="R26" s="97">
        <f>SUM(P26:Q26)</f>
        <v>3851211</v>
      </c>
      <c r="S26" s="403">
        <v>919266</v>
      </c>
      <c r="T26" s="483">
        <v>2930670</v>
      </c>
      <c r="U26" s="489">
        <f>SUM(S26:T26)</f>
        <v>3849936</v>
      </c>
      <c r="V26" s="443">
        <f>SUM(U26/R26)</f>
        <v>0.99966893530372658</v>
      </c>
    </row>
    <row r="27" spans="1:22" x14ac:dyDescent="0.2">
      <c r="A27" s="47" t="s">
        <v>145</v>
      </c>
      <c r="B27" s="367"/>
      <c r="C27" s="365"/>
      <c r="D27" s="366">
        <f>SUM(B27:B27)</f>
        <v>0</v>
      </c>
      <c r="E27" s="77"/>
      <c r="F27" s="71"/>
      <c r="G27" s="72">
        <f>SUM(E27:E27)</f>
        <v>0</v>
      </c>
      <c r="H27" s="406"/>
      <c r="I27" s="404"/>
      <c r="J27" s="405">
        <f>SUM(H27:H27)</f>
        <v>0</v>
      </c>
      <c r="K27" s="443"/>
      <c r="L27" s="116" t="s">
        <v>143</v>
      </c>
      <c r="M27" s="367"/>
      <c r="N27" s="519">
        <v>0</v>
      </c>
      <c r="O27" s="525">
        <f>SUM(F27:N27)</f>
        <v>0</v>
      </c>
      <c r="P27" s="77"/>
      <c r="Q27" s="81">
        <v>0</v>
      </c>
      <c r="R27" s="97">
        <f>SUM(I27:Q27)</f>
        <v>0</v>
      </c>
      <c r="S27" s="406"/>
      <c r="T27" s="483">
        <v>0</v>
      </c>
      <c r="U27" s="489">
        <f>SUM(M27:T27)</f>
        <v>0</v>
      </c>
      <c r="V27" s="443"/>
    </row>
    <row r="28" spans="1:22" x14ac:dyDescent="0.2">
      <c r="A28" s="11" t="s">
        <v>54</v>
      </c>
      <c r="B28" s="367"/>
      <c r="C28" s="365"/>
      <c r="D28" s="366">
        <f>SUM(B28:B28)</f>
        <v>0</v>
      </c>
      <c r="E28" s="77"/>
      <c r="F28" s="71"/>
      <c r="G28" s="72">
        <f>SUM(E28:E28)</f>
        <v>0</v>
      </c>
      <c r="H28" s="406"/>
      <c r="I28" s="404"/>
      <c r="J28" s="405">
        <f>SUM(H28:H28)</f>
        <v>0</v>
      </c>
      <c r="K28" s="443"/>
      <c r="L28" s="14" t="s">
        <v>11</v>
      </c>
      <c r="M28" s="367">
        <v>1270000</v>
      </c>
      <c r="N28" s="519">
        <v>0</v>
      </c>
      <c r="O28" s="525">
        <f>SUM(F28:N28)</f>
        <v>1270000</v>
      </c>
      <c r="P28" s="77">
        <v>1129300</v>
      </c>
      <c r="Q28" s="81">
        <v>1763437</v>
      </c>
      <c r="R28" s="97">
        <f>SUM(P28:Q28)</f>
        <v>2892737</v>
      </c>
      <c r="S28" s="406">
        <v>1081824</v>
      </c>
      <c r="T28" s="483">
        <v>1763422</v>
      </c>
      <c r="U28" s="489">
        <f>SUM(S28:T28)</f>
        <v>2845246</v>
      </c>
      <c r="V28" s="443">
        <f>SUM(U28/R28)</f>
        <v>0.98358267619904605</v>
      </c>
    </row>
    <row r="29" spans="1:22" x14ac:dyDescent="0.2">
      <c r="A29" s="104" t="s">
        <v>200</v>
      </c>
      <c r="B29" s="367"/>
      <c r="C29" s="365"/>
      <c r="D29" s="366">
        <f>SUM(B29:C29)</f>
        <v>0</v>
      </c>
      <c r="E29" s="77"/>
      <c r="F29" s="71"/>
      <c r="G29" s="72">
        <f>SUM(E29:F29)</f>
        <v>0</v>
      </c>
      <c r="H29" s="406"/>
      <c r="I29" s="404"/>
      <c r="J29" s="405">
        <f>SUM(H29:I29)</f>
        <v>0</v>
      </c>
      <c r="K29" s="443"/>
      <c r="L29" s="116" t="s">
        <v>144</v>
      </c>
      <c r="M29" s="367"/>
      <c r="N29" s="519"/>
      <c r="O29" s="525">
        <f>SUM(F29:N29)</f>
        <v>0</v>
      </c>
      <c r="P29" s="77"/>
      <c r="Q29" s="81"/>
      <c r="R29" s="97">
        <f>SUM(I29:Q29)</f>
        <v>0</v>
      </c>
      <c r="S29" s="406"/>
      <c r="T29" s="483"/>
      <c r="U29" s="489">
        <f>SUM(M29:T29)</f>
        <v>0</v>
      </c>
      <c r="V29" s="443"/>
    </row>
    <row r="30" spans="1:22" x14ac:dyDescent="0.2">
      <c r="A30" s="231" t="s">
        <v>201</v>
      </c>
      <c r="B30" s="367"/>
      <c r="C30" s="365">
        <v>0</v>
      </c>
      <c r="D30" s="366">
        <f>SUM(B30:C30)</f>
        <v>0</v>
      </c>
      <c r="E30" s="77"/>
      <c r="F30" s="71">
        <v>0</v>
      </c>
      <c r="G30" s="72">
        <f>SUM(E30:F30)</f>
        <v>0</v>
      </c>
      <c r="H30" s="406"/>
      <c r="I30" s="404">
        <v>0</v>
      </c>
      <c r="J30" s="405">
        <f>SUM(H30:I30)</f>
        <v>0</v>
      </c>
      <c r="K30" s="443"/>
      <c r="L30" s="11" t="s">
        <v>142</v>
      </c>
      <c r="M30" s="367"/>
      <c r="N30" s="519"/>
      <c r="O30" s="525">
        <f>SUM(F30:F30)</f>
        <v>0</v>
      </c>
      <c r="P30" s="77"/>
      <c r="Q30" s="81"/>
      <c r="R30" s="97">
        <f>SUM(I30:I30)</f>
        <v>0</v>
      </c>
      <c r="S30" s="406"/>
      <c r="T30" s="483"/>
      <c r="U30" s="489">
        <f>SUM(M30:M30)</f>
        <v>0</v>
      </c>
      <c r="V30" s="443"/>
    </row>
    <row r="31" spans="1:22" ht="13.5" thickBot="1" x14ac:dyDescent="0.25">
      <c r="A31" s="19" t="s">
        <v>58</v>
      </c>
      <c r="B31" s="378"/>
      <c r="C31" s="379"/>
      <c r="D31" s="366">
        <f>SUM(B31:B31)</f>
        <v>0</v>
      </c>
      <c r="E31" s="117"/>
      <c r="F31" s="118"/>
      <c r="G31" s="72">
        <f>SUM(E31:E31)</f>
        <v>0</v>
      </c>
      <c r="H31" s="417"/>
      <c r="I31" s="418"/>
      <c r="J31" s="405">
        <f>SUM(H31:H31)</f>
        <v>0</v>
      </c>
      <c r="K31" s="443"/>
      <c r="L31" s="11" t="s">
        <v>141</v>
      </c>
      <c r="M31" s="534"/>
      <c r="N31" s="535"/>
      <c r="O31" s="529">
        <f>SUM(F31:F31)</f>
        <v>0</v>
      </c>
      <c r="P31" s="119"/>
      <c r="Q31" s="120"/>
      <c r="R31" s="106">
        <f>SUM(I31:I31)</f>
        <v>0</v>
      </c>
      <c r="S31" s="498"/>
      <c r="T31" s="499"/>
      <c r="U31" s="493">
        <f>SUM(M31:M31)</f>
        <v>0</v>
      </c>
      <c r="V31" s="443"/>
    </row>
    <row r="32" spans="1:22" ht="13.5" thickBot="1" x14ac:dyDescent="0.25">
      <c r="A32" s="123" t="s">
        <v>206</v>
      </c>
      <c r="B32" s="380">
        <f>SUM(B27:B31)</f>
        <v>0</v>
      </c>
      <c r="C32" s="381">
        <f>SUM(C27:C30)</f>
        <v>0</v>
      </c>
      <c r="D32" s="380">
        <f>SUM(D27:D31)</f>
        <v>0</v>
      </c>
      <c r="E32" s="121">
        <f>SUM(E27:E31)</f>
        <v>0</v>
      </c>
      <c r="F32" s="122">
        <f>SUM(F27:F30)</f>
        <v>0</v>
      </c>
      <c r="G32" s="121">
        <f>SUM(G27:G31)</f>
        <v>0</v>
      </c>
      <c r="H32" s="419">
        <f>SUM(H27:H31)</f>
        <v>0</v>
      </c>
      <c r="I32" s="420">
        <f>SUM(I27:I30)</f>
        <v>0</v>
      </c>
      <c r="J32" s="419">
        <f>SUM(J27:J31)</f>
        <v>0</v>
      </c>
      <c r="K32" s="447"/>
      <c r="L32" s="123" t="s">
        <v>207</v>
      </c>
      <c r="M32" s="380">
        <f t="shared" ref="M32:T32" si="9">SUM(M26:M31)</f>
        <v>1524000</v>
      </c>
      <c r="N32" s="380">
        <f t="shared" si="9"/>
        <v>3066000</v>
      </c>
      <c r="O32" s="536">
        <f t="shared" si="9"/>
        <v>4590000</v>
      </c>
      <c r="P32" s="121">
        <f t="shared" si="9"/>
        <v>2049000</v>
      </c>
      <c r="Q32" s="121">
        <f t="shared" si="9"/>
        <v>4694948</v>
      </c>
      <c r="R32" s="234">
        <f>SUM(P32:Q32)</f>
        <v>6743948</v>
      </c>
      <c r="S32" s="419">
        <f t="shared" si="9"/>
        <v>2001090</v>
      </c>
      <c r="T32" s="419">
        <f t="shared" si="9"/>
        <v>4694092</v>
      </c>
      <c r="U32" s="500">
        <f>SUM(S32:T32)</f>
        <v>6695182</v>
      </c>
      <c r="V32" s="447">
        <f>SUM(U32/R32)</f>
        <v>0.99276892407829953</v>
      </c>
    </row>
    <row r="33" spans="1:22" x14ac:dyDescent="0.2">
      <c r="A33" s="235" t="s">
        <v>208</v>
      </c>
      <c r="B33" s="382"/>
      <c r="C33" s="383"/>
      <c r="D33" s="384">
        <f t="shared" ref="D33:D38" si="10">SUM(B33:B33)</f>
        <v>0</v>
      </c>
      <c r="E33" s="124"/>
      <c r="F33" s="125"/>
      <c r="G33" s="126">
        <f t="shared" ref="G33:G38" si="11">SUM(E33:E33)</f>
        <v>0</v>
      </c>
      <c r="H33" s="421"/>
      <c r="I33" s="422"/>
      <c r="J33" s="423">
        <f t="shared" ref="J33:J38" si="12">SUM(H33:H33)</f>
        <v>0</v>
      </c>
      <c r="K33" s="448"/>
      <c r="L33" s="96" t="s">
        <v>36</v>
      </c>
      <c r="M33" s="382"/>
      <c r="N33" s="537"/>
      <c r="O33" s="538">
        <f t="shared" ref="O33:O38" si="13">SUM(F33:F33)</f>
        <v>0</v>
      </c>
      <c r="P33" s="124"/>
      <c r="Q33" s="127"/>
      <c r="R33" s="128">
        <f t="shared" ref="R33:R38" si="14">SUM(I33:I33)</f>
        <v>0</v>
      </c>
      <c r="S33" s="421"/>
      <c r="T33" s="501"/>
      <c r="U33" s="502">
        <f t="shared" ref="U33:U38" si="15">SUM(M33:M33)</f>
        <v>0</v>
      </c>
      <c r="V33" s="448"/>
    </row>
    <row r="34" spans="1:22" x14ac:dyDescent="0.2">
      <c r="A34" s="236" t="s">
        <v>63</v>
      </c>
      <c r="B34" s="385"/>
      <c r="C34" s="386"/>
      <c r="D34" s="387">
        <f t="shared" si="10"/>
        <v>0</v>
      </c>
      <c r="E34" s="129"/>
      <c r="F34" s="130"/>
      <c r="G34" s="131">
        <f t="shared" si="11"/>
        <v>0</v>
      </c>
      <c r="H34" s="424"/>
      <c r="I34" s="425"/>
      <c r="J34" s="426">
        <f t="shared" si="12"/>
        <v>0</v>
      </c>
      <c r="K34" s="449"/>
      <c r="L34" s="103" t="s">
        <v>44</v>
      </c>
      <c r="M34" s="385"/>
      <c r="N34" s="539"/>
      <c r="O34" s="540">
        <f t="shared" si="13"/>
        <v>0</v>
      </c>
      <c r="P34" s="129"/>
      <c r="Q34" s="132"/>
      <c r="R34" s="133">
        <f t="shared" si="14"/>
        <v>0</v>
      </c>
      <c r="S34" s="424"/>
      <c r="T34" s="503"/>
      <c r="U34" s="504">
        <f t="shared" si="15"/>
        <v>0</v>
      </c>
      <c r="V34" s="449"/>
    </row>
    <row r="35" spans="1:22" x14ac:dyDescent="0.2">
      <c r="A35" s="236" t="s">
        <v>65</v>
      </c>
      <c r="B35" s="385"/>
      <c r="C35" s="386"/>
      <c r="D35" s="387">
        <f t="shared" si="10"/>
        <v>0</v>
      </c>
      <c r="E35" s="129"/>
      <c r="F35" s="130"/>
      <c r="G35" s="131">
        <f t="shared" si="11"/>
        <v>0</v>
      </c>
      <c r="H35" s="424"/>
      <c r="I35" s="425"/>
      <c r="J35" s="426">
        <f t="shared" si="12"/>
        <v>0</v>
      </c>
      <c r="K35" s="449"/>
      <c r="L35" s="103" t="s">
        <v>66</v>
      </c>
      <c r="M35" s="385"/>
      <c r="N35" s="539"/>
      <c r="O35" s="540">
        <f t="shared" si="13"/>
        <v>0</v>
      </c>
      <c r="P35" s="129"/>
      <c r="Q35" s="132"/>
      <c r="R35" s="133">
        <f t="shared" si="14"/>
        <v>0</v>
      </c>
      <c r="S35" s="424"/>
      <c r="T35" s="503"/>
      <c r="U35" s="504">
        <f t="shared" si="15"/>
        <v>0</v>
      </c>
      <c r="V35" s="449"/>
    </row>
    <row r="36" spans="1:22" x14ac:dyDescent="0.2">
      <c r="A36" s="100" t="s">
        <v>116</v>
      </c>
      <c r="B36" s="388"/>
      <c r="C36" s="389"/>
      <c r="D36" s="387">
        <f t="shared" si="10"/>
        <v>0</v>
      </c>
      <c r="E36" s="134"/>
      <c r="F36" s="135"/>
      <c r="G36" s="131">
        <f t="shared" si="11"/>
        <v>0</v>
      </c>
      <c r="H36" s="427"/>
      <c r="I36" s="428"/>
      <c r="J36" s="426">
        <f t="shared" si="12"/>
        <v>0</v>
      </c>
      <c r="K36" s="449"/>
      <c r="L36" s="136"/>
      <c r="M36" s="388"/>
      <c r="N36" s="541"/>
      <c r="O36" s="540">
        <f t="shared" si="13"/>
        <v>0</v>
      </c>
      <c r="P36" s="134"/>
      <c r="Q36" s="137"/>
      <c r="R36" s="133">
        <f t="shared" si="14"/>
        <v>0</v>
      </c>
      <c r="S36" s="427"/>
      <c r="T36" s="505"/>
      <c r="U36" s="504">
        <f t="shared" si="15"/>
        <v>0</v>
      </c>
      <c r="V36" s="449"/>
    </row>
    <row r="37" spans="1:22" x14ac:dyDescent="0.2">
      <c r="A37" s="236" t="s">
        <v>118</v>
      </c>
      <c r="B37" s="385"/>
      <c r="C37" s="386"/>
      <c r="D37" s="387">
        <f t="shared" si="10"/>
        <v>0</v>
      </c>
      <c r="E37" s="129"/>
      <c r="F37" s="130"/>
      <c r="G37" s="131">
        <f t="shared" si="11"/>
        <v>0</v>
      </c>
      <c r="H37" s="424"/>
      <c r="I37" s="425"/>
      <c r="J37" s="426">
        <f t="shared" si="12"/>
        <v>0</v>
      </c>
      <c r="K37" s="449"/>
      <c r="L37" s="136"/>
      <c r="M37" s="385"/>
      <c r="N37" s="539"/>
      <c r="O37" s="540">
        <f t="shared" si="13"/>
        <v>0</v>
      </c>
      <c r="P37" s="129"/>
      <c r="Q37" s="132"/>
      <c r="R37" s="133">
        <f t="shared" si="14"/>
        <v>0</v>
      </c>
      <c r="S37" s="424"/>
      <c r="T37" s="503"/>
      <c r="U37" s="504">
        <f t="shared" si="15"/>
        <v>0</v>
      </c>
      <c r="V37" s="449"/>
    </row>
    <row r="38" spans="1:22" ht="13.5" thickBot="1" x14ac:dyDescent="0.25">
      <c r="A38" s="237" t="s">
        <v>120</v>
      </c>
      <c r="B38" s="390"/>
      <c r="C38" s="391"/>
      <c r="D38" s="392">
        <f t="shared" si="10"/>
        <v>0</v>
      </c>
      <c r="E38" s="138"/>
      <c r="F38" s="139"/>
      <c r="G38" s="140">
        <f t="shared" si="11"/>
        <v>0</v>
      </c>
      <c r="H38" s="429"/>
      <c r="I38" s="430"/>
      <c r="J38" s="431">
        <f t="shared" si="12"/>
        <v>0</v>
      </c>
      <c r="K38" s="450"/>
      <c r="L38" s="141"/>
      <c r="M38" s="390"/>
      <c r="N38" s="542"/>
      <c r="O38" s="543">
        <f t="shared" si="13"/>
        <v>0</v>
      </c>
      <c r="P38" s="138"/>
      <c r="Q38" s="142"/>
      <c r="R38" s="143">
        <f t="shared" si="14"/>
        <v>0</v>
      </c>
      <c r="S38" s="429"/>
      <c r="T38" s="506"/>
      <c r="U38" s="507">
        <f t="shared" si="15"/>
        <v>0</v>
      </c>
      <c r="V38" s="450"/>
    </row>
    <row r="39" spans="1:22" ht="17.25" customHeight="1" thickBot="1" x14ac:dyDescent="0.25">
      <c r="A39" s="146" t="s">
        <v>224</v>
      </c>
      <c r="B39" s="393">
        <f>SUM(B33:B38)</f>
        <v>0</v>
      </c>
      <c r="C39" s="394"/>
      <c r="D39" s="393">
        <f>SUM(D33:D38)</f>
        <v>0</v>
      </c>
      <c r="E39" s="144">
        <f>SUM(E33:E38)</f>
        <v>0</v>
      </c>
      <c r="F39" s="145"/>
      <c r="G39" s="144">
        <f>SUM(G33:G38)</f>
        <v>0</v>
      </c>
      <c r="H39" s="432">
        <f>SUM(H33:H38)</f>
        <v>0</v>
      </c>
      <c r="I39" s="433"/>
      <c r="J39" s="432">
        <f>SUM(J33:J38)</f>
        <v>0</v>
      </c>
      <c r="K39" s="451"/>
      <c r="L39" s="146" t="s">
        <v>225</v>
      </c>
      <c r="M39" s="393">
        <f t="shared" ref="M39:U39" si="16">SUM(M33:M38)</f>
        <v>0</v>
      </c>
      <c r="N39" s="393">
        <f t="shared" si="16"/>
        <v>0</v>
      </c>
      <c r="O39" s="544">
        <f t="shared" si="16"/>
        <v>0</v>
      </c>
      <c r="P39" s="144">
        <f t="shared" si="16"/>
        <v>0</v>
      </c>
      <c r="Q39" s="144">
        <f t="shared" si="16"/>
        <v>0</v>
      </c>
      <c r="R39" s="238">
        <f t="shared" si="16"/>
        <v>0</v>
      </c>
      <c r="S39" s="432">
        <f t="shared" si="16"/>
        <v>0</v>
      </c>
      <c r="T39" s="432">
        <f t="shared" si="16"/>
        <v>0</v>
      </c>
      <c r="U39" s="508">
        <f t="shared" si="16"/>
        <v>0</v>
      </c>
      <c r="V39" s="451"/>
    </row>
    <row r="40" spans="1:22" ht="13.5" thickBot="1" x14ac:dyDescent="0.25">
      <c r="A40" s="112" t="s">
        <v>227</v>
      </c>
      <c r="B40" s="395">
        <f>SUM(B39,B32)</f>
        <v>0</v>
      </c>
      <c r="C40" s="395">
        <f>SUM(C32+C39)</f>
        <v>0</v>
      </c>
      <c r="D40" s="395">
        <f>SUM(D39,D32)</f>
        <v>0</v>
      </c>
      <c r="E40" s="239">
        <f>SUM(E39,E32)</f>
        <v>0</v>
      </c>
      <c r="F40" s="239">
        <f>SUM(F32+F39)</f>
        <v>0</v>
      </c>
      <c r="G40" s="239">
        <f>SUM(G39,G32)</f>
        <v>0</v>
      </c>
      <c r="H40" s="434">
        <f>SUM(H39,H32)</f>
        <v>0</v>
      </c>
      <c r="I40" s="434">
        <f>SUM(I32+I39)</f>
        <v>0</v>
      </c>
      <c r="J40" s="434">
        <f>SUM(J39,J32)</f>
        <v>0</v>
      </c>
      <c r="K40" s="452"/>
      <c r="L40" s="110" t="s">
        <v>226</v>
      </c>
      <c r="M40" s="545">
        <f t="shared" ref="M40:T40" si="17">SUM(M32+M39)</f>
        <v>1524000</v>
      </c>
      <c r="N40" s="395">
        <f t="shared" si="17"/>
        <v>3066000</v>
      </c>
      <c r="O40" s="546">
        <f t="shared" si="17"/>
        <v>4590000</v>
      </c>
      <c r="P40" s="197">
        <f t="shared" si="17"/>
        <v>2049000</v>
      </c>
      <c r="Q40" s="239">
        <f t="shared" si="17"/>
        <v>4694948</v>
      </c>
      <c r="R40" s="198">
        <f t="shared" si="17"/>
        <v>6743948</v>
      </c>
      <c r="S40" s="509">
        <f t="shared" si="17"/>
        <v>2001090</v>
      </c>
      <c r="T40" s="434">
        <f t="shared" si="17"/>
        <v>4694092</v>
      </c>
      <c r="U40" s="510">
        <f>SUM(S40:T40)</f>
        <v>6695182</v>
      </c>
      <c r="V40" s="452">
        <f>SUM(U40/R40)</f>
        <v>0.99276892407829953</v>
      </c>
    </row>
    <row r="41" spans="1:22" ht="13.5" customHeight="1" thickBot="1" x14ac:dyDescent="0.25">
      <c r="A41" s="258" t="s">
        <v>212</v>
      </c>
      <c r="B41" s="396">
        <f t="shared" ref="B41:J41" si="18">SUM(B25+B40)</f>
        <v>33186900</v>
      </c>
      <c r="C41" s="397">
        <f t="shared" si="18"/>
        <v>41687000</v>
      </c>
      <c r="D41" s="398">
        <f t="shared" si="18"/>
        <v>74873900</v>
      </c>
      <c r="E41" s="148">
        <f t="shared" si="18"/>
        <v>32273370</v>
      </c>
      <c r="F41" s="69">
        <f t="shared" si="18"/>
        <v>35277367</v>
      </c>
      <c r="G41" s="147">
        <f t="shared" si="18"/>
        <v>67550737</v>
      </c>
      <c r="H41" s="435">
        <f t="shared" si="18"/>
        <v>32226042</v>
      </c>
      <c r="I41" s="436">
        <f t="shared" si="18"/>
        <v>34309605</v>
      </c>
      <c r="J41" s="437">
        <f t="shared" si="18"/>
        <v>66545647</v>
      </c>
      <c r="K41" s="453">
        <f>SUM(J41/G41)</f>
        <v>0.98512096174465125</v>
      </c>
      <c r="L41" s="148" t="s">
        <v>213</v>
      </c>
      <c r="M41" s="398">
        <f>SUM(M25+M40)</f>
        <v>33186900</v>
      </c>
      <c r="N41" s="398">
        <f>SUM(N25+N40)</f>
        <v>41687000</v>
      </c>
      <c r="O41" s="523">
        <f>SUM(M41:N41)</f>
        <v>74873900</v>
      </c>
      <c r="P41" s="147">
        <f>SUM(P25+P40)</f>
        <v>32273370</v>
      </c>
      <c r="Q41" s="147">
        <f>SUM(Q25+Q40)</f>
        <v>35277367</v>
      </c>
      <c r="R41" s="92">
        <f>SUM(P41:Q41)</f>
        <v>67550737</v>
      </c>
      <c r="S41" s="437">
        <f>SUM(S25+S40)</f>
        <v>32093290</v>
      </c>
      <c r="T41" s="437">
        <f>SUM(T25+T40)</f>
        <v>33920513</v>
      </c>
      <c r="U41" s="487">
        <f>SUM(S41:T41)</f>
        <v>66013803</v>
      </c>
      <c r="V41" s="453">
        <f>SUM(U41/R41)</f>
        <v>0.9772477093773233</v>
      </c>
    </row>
    <row r="42" spans="1:22" ht="13.5" customHeight="1" thickBot="1" x14ac:dyDescent="0.25">
      <c r="A42" s="2" t="s">
        <v>80</v>
      </c>
      <c r="B42" s="399">
        <f>SUM(B15+B32)</f>
        <v>40000</v>
      </c>
      <c r="C42" s="400"/>
      <c r="D42" s="399">
        <f>SUM(D15+D32)</f>
        <v>12994000</v>
      </c>
      <c r="E42" s="2">
        <f>SUM(E15+E32)</f>
        <v>50000</v>
      </c>
      <c r="F42" s="149"/>
      <c r="G42" s="2">
        <f>SUM(G15+G32)</f>
        <v>14694410</v>
      </c>
      <c r="H42" s="438">
        <f>SUM(H15+H32)</f>
        <v>2672</v>
      </c>
      <c r="I42" s="439"/>
      <c r="J42" s="438">
        <f>SUM(J15+J32)</f>
        <v>13689320</v>
      </c>
      <c r="K42" s="453">
        <f>SUM(J42/G42)</f>
        <v>0.93160052019781669</v>
      </c>
      <c r="L42" s="43"/>
      <c r="M42" s="547"/>
      <c r="N42" s="547"/>
      <c r="O42" s="548"/>
      <c r="P42" s="150"/>
      <c r="Q42" s="150"/>
      <c r="R42" s="151"/>
      <c r="S42" s="511"/>
      <c r="T42" s="511"/>
      <c r="U42" s="512"/>
      <c r="V42" s="453"/>
    </row>
    <row r="43" spans="1:22" ht="21.75" customHeight="1" x14ac:dyDescent="0.2">
      <c r="A43" s="153"/>
      <c r="B43" s="2">
        <f>SUM(B17+B18+B34+B35)</f>
        <v>0</v>
      </c>
      <c r="C43" s="2"/>
      <c r="D43" s="2">
        <f>SUM(D17+D18+D34+D35)</f>
        <v>0</v>
      </c>
      <c r="E43" s="2"/>
      <c r="F43" s="2"/>
      <c r="G43" s="2"/>
      <c r="H43" s="2"/>
      <c r="I43" s="2"/>
      <c r="J43" s="2"/>
      <c r="K43" s="2"/>
      <c r="L43" s="1" t="s">
        <v>677</v>
      </c>
      <c r="M43" s="547">
        <f>78239+16390</f>
        <v>94629</v>
      </c>
      <c r="N43" s="547">
        <f>2466846+4550</f>
        <v>2471396</v>
      </c>
      <c r="O43" s="549">
        <f>SUM(F43:N43)</f>
        <v>2566025</v>
      </c>
      <c r="P43" s="150"/>
      <c r="Q43" s="150"/>
      <c r="R43" s="224"/>
      <c r="S43" s="511">
        <f>156547+36570</f>
        <v>193117</v>
      </c>
      <c r="T43" s="511">
        <f>2613789+48345</f>
        <v>2662134</v>
      </c>
      <c r="U43" s="513">
        <f>SUM(S43:T43)</f>
        <v>2855251</v>
      </c>
      <c r="V43" s="2"/>
    </row>
    <row r="44" spans="1:22" x14ac:dyDescent="0.2">
      <c r="S44" s="57">
        <f>SUM(H41-S41)</f>
        <v>132752</v>
      </c>
      <c r="T44" s="57">
        <f>SUM(I41-T41)</f>
        <v>389092</v>
      </c>
      <c r="U44" s="57">
        <f>SUM(J41-U41)</f>
        <v>531844</v>
      </c>
    </row>
    <row r="45" spans="1:22" ht="15" x14ac:dyDescent="0.25">
      <c r="L45" s="152"/>
      <c r="M45" s="152"/>
      <c r="N45" s="152"/>
      <c r="O45" s="152"/>
      <c r="P45" s="152"/>
      <c r="Q45" s="152"/>
      <c r="R45" s="152"/>
      <c r="S45" s="152"/>
      <c r="T45" s="152"/>
    </row>
    <row r="51" spans="21:21" x14ac:dyDescent="0.2">
      <c r="U51" s="57">
        <v>66013803</v>
      </c>
    </row>
    <row r="52" spans="21:21" x14ac:dyDescent="0.2">
      <c r="U52" s="57">
        <f>SUM(U51-U41)</f>
        <v>0</v>
      </c>
    </row>
  </sheetData>
  <mergeCells count="7">
    <mergeCell ref="L1:U1"/>
    <mergeCell ref="A4:U4"/>
    <mergeCell ref="T5:U5"/>
    <mergeCell ref="I5:J5"/>
    <mergeCell ref="A3:J3"/>
    <mergeCell ref="L3:U3"/>
    <mergeCell ref="F1:J1"/>
  </mergeCells>
  <pageMargins left="0.70866141732283472" right="0.70866141732283472" top="0.74803149606299213" bottom="0.35433070866141736" header="0.31496062992125984" footer="0.31496062992125984"/>
  <pageSetup paperSize="9" scale="77" fitToWidth="2" orientation="landscape" r:id="rId1"/>
  <colBreaks count="1" manualBreakCount="1">
    <brk id="11" max="4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7"/>
  <sheetViews>
    <sheetView tabSelected="1" topLeftCell="A5" zoomScaleNormal="100" zoomScaleSheetLayoutView="100" workbookViewId="0">
      <selection activeCell="Q34" sqref="Q34"/>
    </sheetView>
  </sheetViews>
  <sheetFormatPr defaultRowHeight="12.75" x14ac:dyDescent="0.2"/>
  <cols>
    <col min="1" max="1" width="5.140625" style="154" customWidth="1"/>
    <col min="2" max="2" width="42.7109375" style="155" customWidth="1"/>
    <col min="3" max="3" width="11.5703125" style="221" bestFit="1" customWidth="1"/>
    <col min="4" max="4" width="11.5703125" style="221" hidden="1" customWidth="1"/>
    <col min="5" max="6" width="11.7109375" style="221" customWidth="1"/>
    <col min="7" max="7" width="11.5703125" style="221" bestFit="1" customWidth="1"/>
    <col min="8" max="8" width="6.85546875" style="325" bestFit="1" customWidth="1"/>
    <col min="9" max="9" width="45.42578125" style="154" customWidth="1"/>
    <col min="10" max="10" width="12.42578125" style="248" customWidth="1"/>
    <col min="11" max="11" width="11.7109375" style="248" hidden="1" customWidth="1"/>
    <col min="12" max="13" width="11.42578125" style="248" customWidth="1"/>
    <col min="14" max="14" width="12.140625" style="248" customWidth="1"/>
    <col min="15" max="15" width="8.28515625" style="266" customWidth="1"/>
    <col min="16" max="16384" width="9.140625" style="154"/>
  </cols>
  <sheetData>
    <row r="1" spans="1:15" x14ac:dyDescent="0.2">
      <c r="D1" s="220"/>
      <c r="E1" s="220"/>
      <c r="F1" s="220"/>
      <c r="G1" s="220"/>
      <c r="H1" s="324"/>
      <c r="I1" s="1348" t="s">
        <v>1008</v>
      </c>
      <c r="J1" s="1348"/>
      <c r="K1" s="1348"/>
      <c r="L1" s="1348"/>
      <c r="M1" s="1348"/>
      <c r="N1" s="1348"/>
      <c r="O1" s="1368"/>
    </row>
    <row r="2" spans="1:15" x14ac:dyDescent="0.2">
      <c r="I2" s="156"/>
      <c r="J2" s="156"/>
      <c r="K2" s="156"/>
      <c r="L2" s="156"/>
      <c r="M2" s="156"/>
      <c r="N2" s="156"/>
      <c r="O2" s="341"/>
    </row>
    <row r="3" spans="1:15" ht="15.75" customHeight="1" x14ac:dyDescent="0.2">
      <c r="A3" s="1350" t="s">
        <v>284</v>
      </c>
      <c r="B3" s="1350"/>
      <c r="C3" s="1350"/>
      <c r="D3" s="1350"/>
      <c r="E3" s="1350"/>
      <c r="F3" s="1350"/>
      <c r="G3" s="1350"/>
      <c r="H3" s="1350"/>
      <c r="I3" s="1350"/>
      <c r="J3" s="1350"/>
      <c r="K3" s="1350"/>
      <c r="L3" s="1350"/>
      <c r="M3" s="1350"/>
      <c r="N3" s="1350"/>
      <c r="O3" s="1350"/>
    </row>
    <row r="4" spans="1:15" ht="15.75" customHeight="1" x14ac:dyDescent="0.2">
      <c r="A4" s="1350" t="s">
        <v>663</v>
      </c>
      <c r="B4" s="1350"/>
      <c r="C4" s="1350"/>
      <c r="D4" s="1350"/>
      <c r="E4" s="1350"/>
      <c r="F4" s="1350"/>
      <c r="G4" s="1350"/>
      <c r="H4" s="1350"/>
      <c r="I4" s="1350"/>
      <c r="J4" s="1350"/>
      <c r="K4" s="1350"/>
      <c r="L4" s="1350"/>
      <c r="M4" s="1350"/>
      <c r="N4" s="1350"/>
      <c r="O4" s="1350"/>
    </row>
    <row r="5" spans="1:15" ht="13.5" thickBot="1" x14ac:dyDescent="0.25"/>
    <row r="6" spans="1:15" ht="18" customHeight="1" thickBot="1" x14ac:dyDescent="0.25">
      <c r="A6" s="1369" t="s">
        <v>13</v>
      </c>
      <c r="B6" s="157" t="s">
        <v>14</v>
      </c>
      <c r="C6" s="158"/>
      <c r="D6" s="158"/>
      <c r="E6" s="158"/>
      <c r="F6" s="158"/>
      <c r="G6" s="158"/>
      <c r="H6" s="326"/>
      <c r="I6" s="159" t="s">
        <v>15</v>
      </c>
      <c r="J6" s="160"/>
      <c r="K6" s="160"/>
      <c r="L6" s="160"/>
      <c r="M6" s="160"/>
      <c r="N6" s="160"/>
      <c r="O6" s="342"/>
    </row>
    <row r="7" spans="1:15" s="164" customFormat="1" ht="42" customHeight="1" thickBot="1" x14ac:dyDescent="0.25">
      <c r="A7" s="1370"/>
      <c r="B7" s="161" t="s">
        <v>16</v>
      </c>
      <c r="C7" s="226" t="s">
        <v>269</v>
      </c>
      <c r="D7" s="226" t="s">
        <v>281</v>
      </c>
      <c r="E7" s="226" t="s">
        <v>282</v>
      </c>
      <c r="F7" s="226" t="s">
        <v>658</v>
      </c>
      <c r="G7" s="226" t="s">
        <v>659</v>
      </c>
      <c r="H7" s="267" t="s">
        <v>283</v>
      </c>
      <c r="I7" s="162" t="s">
        <v>16</v>
      </c>
      <c r="J7" s="226" t="s">
        <v>269</v>
      </c>
      <c r="K7" s="226" t="s">
        <v>281</v>
      </c>
      <c r="L7" s="226" t="s">
        <v>282</v>
      </c>
      <c r="M7" s="226" t="s">
        <v>658</v>
      </c>
      <c r="N7" s="226" t="s">
        <v>659</v>
      </c>
      <c r="O7" s="267" t="s">
        <v>283</v>
      </c>
    </row>
    <row r="8" spans="1:15" s="168" customFormat="1" ht="12" customHeight="1" thickBot="1" x14ac:dyDescent="0.25">
      <c r="A8" s="165">
        <v>1</v>
      </c>
      <c r="B8" s="166">
        <v>2</v>
      </c>
      <c r="C8" s="166" t="s">
        <v>137</v>
      </c>
      <c r="D8" s="166" t="s">
        <v>273</v>
      </c>
      <c r="E8" s="166"/>
      <c r="F8" s="166"/>
      <c r="G8" s="166" t="s">
        <v>274</v>
      </c>
      <c r="H8" s="327" t="s">
        <v>275</v>
      </c>
      <c r="I8" s="165" t="s">
        <v>126</v>
      </c>
      <c r="J8" s="167" t="s">
        <v>137</v>
      </c>
      <c r="K8" s="166" t="s">
        <v>273</v>
      </c>
      <c r="L8" s="550"/>
      <c r="M8" s="550"/>
      <c r="N8" s="167" t="s">
        <v>274</v>
      </c>
      <c r="O8" s="343" t="s">
        <v>275</v>
      </c>
    </row>
    <row r="9" spans="1:15" ht="12.95" customHeight="1" x14ac:dyDescent="0.2">
      <c r="A9" s="169" t="s">
        <v>129</v>
      </c>
      <c r="B9" s="170" t="s">
        <v>134</v>
      </c>
      <c r="C9" s="170"/>
      <c r="D9" s="170"/>
      <c r="E9" s="170"/>
      <c r="F9" s="170"/>
      <c r="G9" s="170"/>
      <c r="H9" s="328"/>
      <c r="I9" s="171" t="s">
        <v>17</v>
      </c>
      <c r="J9" s="172"/>
      <c r="K9" s="172"/>
      <c r="L9" s="172"/>
      <c r="M9" s="172"/>
      <c r="N9" s="172"/>
      <c r="O9" s="344"/>
    </row>
    <row r="10" spans="1:15" ht="12.95" customHeight="1" x14ac:dyDescent="0.2">
      <c r="A10" s="173" t="s">
        <v>128</v>
      </c>
      <c r="B10" s="174" t="s">
        <v>18</v>
      </c>
      <c r="C10" s="174">
        <v>62079900</v>
      </c>
      <c r="D10" s="174">
        <v>59520845</v>
      </c>
      <c r="E10" s="174">
        <v>59520845</v>
      </c>
      <c r="F10" s="174">
        <v>50440302</v>
      </c>
      <c r="G10" s="174">
        <v>50440302</v>
      </c>
      <c r="H10" s="329">
        <f>SUM(G10/F10)</f>
        <v>1</v>
      </c>
      <c r="I10" s="175" t="s">
        <v>19</v>
      </c>
      <c r="J10" s="176"/>
      <c r="K10" s="176"/>
      <c r="L10" s="176"/>
      <c r="M10" s="176"/>
      <c r="N10" s="176"/>
      <c r="O10" s="345"/>
    </row>
    <row r="11" spans="1:15" ht="12.95" customHeight="1" x14ac:dyDescent="0.2">
      <c r="A11" s="173" t="s">
        <v>127</v>
      </c>
      <c r="B11" s="174" t="s">
        <v>20</v>
      </c>
      <c r="C11" s="174"/>
      <c r="D11" s="174"/>
      <c r="E11" s="174"/>
      <c r="F11" s="174"/>
      <c r="G11" s="174"/>
      <c r="H11" s="329"/>
      <c r="I11" s="175" t="s">
        <v>21</v>
      </c>
      <c r="J11" s="176">
        <v>234593</v>
      </c>
      <c r="K11" s="176">
        <v>234752</v>
      </c>
      <c r="L11" s="176">
        <v>234752</v>
      </c>
      <c r="M11" s="176">
        <v>185252</v>
      </c>
      <c r="N11" s="176">
        <v>125630</v>
      </c>
      <c r="O11" s="345">
        <f>SUM(N11/M11)</f>
        <v>0.67815732083864144</v>
      </c>
    </row>
    <row r="12" spans="1:15" ht="12.95" customHeight="1" x14ac:dyDescent="0.2">
      <c r="A12" s="173" t="s">
        <v>126</v>
      </c>
      <c r="B12" s="174" t="s">
        <v>22</v>
      </c>
      <c r="C12" s="177"/>
      <c r="D12" s="177"/>
      <c r="E12" s="177"/>
      <c r="F12" s="177">
        <v>659</v>
      </c>
      <c r="G12" s="177">
        <v>659</v>
      </c>
      <c r="H12" s="329">
        <f>SUM(G12/F12)</f>
        <v>1</v>
      </c>
      <c r="I12" s="175" t="s">
        <v>23</v>
      </c>
      <c r="J12" s="176"/>
      <c r="K12" s="176"/>
      <c r="L12" s="176"/>
      <c r="M12" s="176"/>
      <c r="N12" s="176"/>
      <c r="O12" s="345"/>
    </row>
    <row r="13" spans="1:15" ht="12.95" customHeight="1" x14ac:dyDescent="0.2">
      <c r="A13" s="173" t="s">
        <v>125</v>
      </c>
      <c r="B13" s="178" t="s">
        <v>214</v>
      </c>
      <c r="C13" s="178"/>
      <c r="D13" s="178"/>
      <c r="E13" s="178"/>
      <c r="F13" s="178"/>
      <c r="G13" s="178"/>
      <c r="H13" s="329"/>
      <c r="I13" s="175" t="s">
        <v>24</v>
      </c>
      <c r="J13" s="179"/>
      <c r="K13" s="179"/>
      <c r="L13" s="179"/>
      <c r="M13" s="179"/>
      <c r="N13" s="179"/>
      <c r="O13" s="345"/>
    </row>
    <row r="14" spans="1:15" ht="12.95" customHeight="1" x14ac:dyDescent="0.2">
      <c r="A14" s="173" t="s">
        <v>130</v>
      </c>
      <c r="B14" s="178" t="s">
        <v>215</v>
      </c>
      <c r="C14" s="178"/>
      <c r="D14" s="178"/>
      <c r="E14" s="178"/>
      <c r="F14" s="178"/>
      <c r="G14" s="178"/>
      <c r="H14" s="329"/>
      <c r="I14" s="175" t="s">
        <v>25</v>
      </c>
      <c r="J14" s="179"/>
      <c r="K14" s="179"/>
      <c r="L14" s="179"/>
      <c r="M14" s="179"/>
      <c r="N14" s="179"/>
      <c r="O14" s="345"/>
    </row>
    <row r="15" spans="1:15" ht="12.95" customHeight="1" thickBot="1" x14ac:dyDescent="0.25">
      <c r="A15" s="180" t="s">
        <v>131</v>
      </c>
      <c r="B15" s="181"/>
      <c r="C15" s="182"/>
      <c r="D15" s="182"/>
      <c r="E15" s="182"/>
      <c r="F15" s="182"/>
      <c r="G15" s="182"/>
      <c r="H15" s="329"/>
      <c r="I15" s="183" t="s">
        <v>26</v>
      </c>
      <c r="J15" s="184">
        <v>61879900</v>
      </c>
      <c r="K15" s="184">
        <v>59320845</v>
      </c>
      <c r="L15" s="184">
        <v>59320845</v>
      </c>
      <c r="M15" s="184">
        <v>50290302</v>
      </c>
      <c r="N15" s="184">
        <v>50290302</v>
      </c>
      <c r="O15" s="345">
        <f>SUM(N15/M15)</f>
        <v>1</v>
      </c>
    </row>
    <row r="16" spans="1:15" ht="22.5" customHeight="1" thickBot="1" x14ac:dyDescent="0.25">
      <c r="A16" s="185" t="s">
        <v>132</v>
      </c>
      <c r="B16" s="186" t="s">
        <v>27</v>
      </c>
      <c r="C16" s="186">
        <f>SUM(C9:C15)</f>
        <v>62079900</v>
      </c>
      <c r="D16" s="186">
        <f>SUM(D9:D15)</f>
        <v>59520845</v>
      </c>
      <c r="E16" s="186">
        <f>SUM(E9:E15)</f>
        <v>59520845</v>
      </c>
      <c r="F16" s="186">
        <f>SUM(F9:F15)</f>
        <v>50440961</v>
      </c>
      <c r="G16" s="186">
        <f>SUM(G9:G15)</f>
        <v>50440961</v>
      </c>
      <c r="H16" s="330">
        <f>SUM(G16/F16)</f>
        <v>1</v>
      </c>
      <c r="I16" s="187" t="s">
        <v>30</v>
      </c>
      <c r="J16" s="188">
        <f>SUM(J9:J15)</f>
        <v>62114493</v>
      </c>
      <c r="K16" s="188">
        <f>SUM(K9:K15)</f>
        <v>59555597</v>
      </c>
      <c r="L16" s="188">
        <f>SUM(L9:L15)</f>
        <v>59555597</v>
      </c>
      <c r="M16" s="188">
        <f>SUM(M9:M15)</f>
        <v>50475554</v>
      </c>
      <c r="N16" s="188">
        <f>SUM(N9:N15)</f>
        <v>50415932</v>
      </c>
      <c r="O16" s="347">
        <f>SUM(N16/M16)</f>
        <v>0.99881879453962996</v>
      </c>
    </row>
    <row r="17" spans="1:15" ht="12.95" customHeight="1" x14ac:dyDescent="0.2">
      <c r="A17" s="169" t="s">
        <v>5</v>
      </c>
      <c r="B17" s="189" t="s">
        <v>31</v>
      </c>
      <c r="C17" s="189"/>
      <c r="D17" s="189"/>
      <c r="E17" s="189"/>
      <c r="F17" s="189"/>
      <c r="G17" s="189"/>
      <c r="H17" s="331"/>
      <c r="I17" s="190" t="s">
        <v>32</v>
      </c>
      <c r="J17" s="191"/>
      <c r="K17" s="191"/>
      <c r="L17" s="191"/>
      <c r="M17" s="191"/>
      <c r="N17" s="191"/>
      <c r="O17" s="348"/>
    </row>
    <row r="18" spans="1:15" ht="12.95" customHeight="1" x14ac:dyDescent="0.2">
      <c r="A18" s="173" t="s">
        <v>6</v>
      </c>
      <c r="B18" s="192" t="s">
        <v>33</v>
      </c>
      <c r="C18" s="192">
        <v>34593</v>
      </c>
      <c r="D18" s="192">
        <v>34752</v>
      </c>
      <c r="E18" s="192">
        <v>34752</v>
      </c>
      <c r="F18" s="192">
        <v>34593</v>
      </c>
      <c r="G18" s="192">
        <v>34593</v>
      </c>
      <c r="H18" s="332">
        <f>SUM(G18/F18)</f>
        <v>1</v>
      </c>
      <c r="I18" s="193" t="s">
        <v>34</v>
      </c>
      <c r="J18" s="194"/>
      <c r="K18" s="194"/>
      <c r="L18" s="194"/>
      <c r="M18" s="194"/>
      <c r="N18" s="194"/>
      <c r="O18" s="349"/>
    </row>
    <row r="19" spans="1:15" ht="12.95" customHeight="1" x14ac:dyDescent="0.2">
      <c r="A19" s="173" t="s">
        <v>7</v>
      </c>
      <c r="B19" s="192" t="s">
        <v>35</v>
      </c>
      <c r="C19" s="192"/>
      <c r="D19" s="192"/>
      <c r="E19" s="192"/>
      <c r="F19" s="192"/>
      <c r="G19" s="192"/>
      <c r="H19" s="332"/>
      <c r="I19" s="193" t="s">
        <v>36</v>
      </c>
      <c r="J19" s="194"/>
      <c r="K19" s="194"/>
      <c r="L19" s="194"/>
      <c r="M19" s="194"/>
      <c r="N19" s="194"/>
      <c r="O19" s="349"/>
    </row>
    <row r="20" spans="1:15" ht="12.95" customHeight="1" x14ac:dyDescent="0.2">
      <c r="A20" s="173" t="s">
        <v>8</v>
      </c>
      <c r="B20" s="192" t="s">
        <v>37</v>
      </c>
      <c r="C20" s="192"/>
      <c r="D20" s="192"/>
      <c r="E20" s="192"/>
      <c r="F20" s="192"/>
      <c r="G20" s="192"/>
      <c r="H20" s="332"/>
      <c r="I20" s="193" t="s">
        <v>38</v>
      </c>
      <c r="J20" s="194"/>
      <c r="K20" s="194"/>
      <c r="L20" s="194"/>
      <c r="M20" s="194"/>
      <c r="N20" s="194"/>
      <c r="O20" s="349"/>
    </row>
    <row r="21" spans="1:15" ht="12.95" customHeight="1" x14ac:dyDescent="0.2">
      <c r="A21" s="173" t="s">
        <v>9</v>
      </c>
      <c r="B21" s="192" t="s">
        <v>39</v>
      </c>
      <c r="C21" s="192"/>
      <c r="D21" s="192"/>
      <c r="E21" s="192"/>
      <c r="F21" s="192"/>
      <c r="G21" s="192"/>
      <c r="H21" s="332"/>
      <c r="I21" s="193" t="s">
        <v>40</v>
      </c>
      <c r="J21" s="194"/>
      <c r="K21" s="194"/>
      <c r="L21" s="194"/>
      <c r="M21" s="194"/>
      <c r="N21" s="194"/>
      <c r="O21" s="349"/>
    </row>
    <row r="22" spans="1:15" ht="12.95" customHeight="1" x14ac:dyDescent="0.2">
      <c r="A22" s="173" t="s">
        <v>10</v>
      </c>
      <c r="B22" s="192" t="s">
        <v>202</v>
      </c>
      <c r="C22" s="192"/>
      <c r="D22" s="192"/>
      <c r="E22" s="192"/>
      <c r="F22" s="192"/>
      <c r="G22" s="192"/>
      <c r="H22" s="332"/>
      <c r="I22" s="193" t="s">
        <v>41</v>
      </c>
      <c r="J22" s="194"/>
      <c r="K22" s="194"/>
      <c r="L22" s="194"/>
      <c r="M22" s="194"/>
      <c r="N22" s="194"/>
      <c r="O22" s="349"/>
    </row>
    <row r="23" spans="1:15" ht="12.95" customHeight="1" x14ac:dyDescent="0.2">
      <c r="A23" s="173" t="s">
        <v>42</v>
      </c>
      <c r="B23" s="192" t="s">
        <v>43</v>
      </c>
      <c r="C23" s="192"/>
      <c r="D23" s="192"/>
      <c r="E23" s="192"/>
      <c r="F23" s="192"/>
      <c r="G23" s="192"/>
      <c r="H23" s="332"/>
      <c r="I23" s="175" t="s">
        <v>44</v>
      </c>
      <c r="J23" s="194"/>
      <c r="K23" s="194"/>
      <c r="L23" s="194"/>
      <c r="M23" s="194"/>
      <c r="N23" s="194"/>
      <c r="O23" s="349"/>
    </row>
    <row r="24" spans="1:15" ht="12.95" customHeight="1" thickBot="1" x14ac:dyDescent="0.25">
      <c r="A24" s="180" t="s">
        <v>45</v>
      </c>
      <c r="B24" s="195" t="s">
        <v>203</v>
      </c>
      <c r="C24" s="195"/>
      <c r="D24" s="195"/>
      <c r="E24" s="195"/>
      <c r="F24" s="195"/>
      <c r="G24" s="195"/>
      <c r="H24" s="333"/>
      <c r="I24" s="183"/>
      <c r="J24" s="196"/>
      <c r="K24" s="196"/>
      <c r="L24" s="196"/>
      <c r="M24" s="196"/>
      <c r="N24" s="196"/>
      <c r="O24" s="350"/>
    </row>
    <row r="25" spans="1:15" ht="27.75" customHeight="1" thickBot="1" x14ac:dyDescent="0.25">
      <c r="A25" s="185" t="s">
        <v>46</v>
      </c>
      <c r="B25" s="186" t="s">
        <v>47</v>
      </c>
      <c r="C25" s="186">
        <f t="shared" ref="C25:H25" si="0">SUM(C17:C24)</f>
        <v>34593</v>
      </c>
      <c r="D25" s="186">
        <f t="shared" si="0"/>
        <v>34752</v>
      </c>
      <c r="E25" s="186">
        <f t="shared" si="0"/>
        <v>34752</v>
      </c>
      <c r="F25" s="186">
        <f t="shared" si="0"/>
        <v>34593</v>
      </c>
      <c r="G25" s="186">
        <f t="shared" si="0"/>
        <v>34593</v>
      </c>
      <c r="H25" s="330">
        <f t="shared" si="0"/>
        <v>1</v>
      </c>
      <c r="I25" s="187" t="s">
        <v>204</v>
      </c>
      <c r="J25" s="188">
        <f>SUM(J17:J24)</f>
        <v>0</v>
      </c>
      <c r="K25" s="188">
        <f>SUM(K17:K24)</f>
        <v>0</v>
      </c>
      <c r="L25" s="188"/>
      <c r="M25" s="188"/>
      <c r="N25" s="188">
        <f>SUM(N17:N24)</f>
        <v>0</v>
      </c>
      <c r="O25" s="347">
        <f>SUM(O17:O24)</f>
        <v>0</v>
      </c>
    </row>
    <row r="26" spans="1:15" ht="13.5" thickBot="1" x14ac:dyDescent="0.25">
      <c r="A26" s="185" t="s">
        <v>48</v>
      </c>
      <c r="B26" s="197" t="s">
        <v>205</v>
      </c>
      <c r="C26" s="197">
        <f>SUM(C25,C16)</f>
        <v>62114493</v>
      </c>
      <c r="D26" s="197">
        <f>SUM(D25,D16)</f>
        <v>59555597</v>
      </c>
      <c r="E26" s="197">
        <f>SUM(E25,E16)</f>
        <v>59555597</v>
      </c>
      <c r="F26" s="197">
        <f>SUM(F25,F16)</f>
        <v>50475554</v>
      </c>
      <c r="G26" s="197">
        <f>SUM(G25,G16)</f>
        <v>50475554</v>
      </c>
      <c r="H26" s="334">
        <f>SUM(G26/F26)</f>
        <v>1</v>
      </c>
      <c r="I26" s="185" t="s">
        <v>49</v>
      </c>
      <c r="J26" s="198">
        <f>SUM(J16+J25)</f>
        <v>62114493</v>
      </c>
      <c r="K26" s="198">
        <f>SUM(K16+K25)</f>
        <v>59555597</v>
      </c>
      <c r="L26" s="198">
        <f>SUM(L16+L25)</f>
        <v>59555597</v>
      </c>
      <c r="M26" s="198">
        <f>SUM(M16+M25)</f>
        <v>50475554</v>
      </c>
      <c r="N26" s="198">
        <f>SUM(N16+N25)</f>
        <v>50415932</v>
      </c>
      <c r="O26" s="351">
        <f>SUM(N26/M26)</f>
        <v>0.99881879453962996</v>
      </c>
    </row>
    <row r="27" spans="1:15" x14ac:dyDescent="0.2">
      <c r="A27" s="169" t="s">
        <v>50</v>
      </c>
      <c r="B27" s="199" t="s">
        <v>51</v>
      </c>
      <c r="C27" s="170">
        <v>0</v>
      </c>
      <c r="D27" s="170">
        <v>0</v>
      </c>
      <c r="E27" s="170"/>
      <c r="F27" s="170"/>
      <c r="G27" s="170">
        <v>0</v>
      </c>
      <c r="H27" s="328">
        <v>0</v>
      </c>
      <c r="I27" s="199" t="s">
        <v>12</v>
      </c>
      <c r="J27" s="172"/>
      <c r="K27" s="172"/>
      <c r="L27" s="172"/>
      <c r="M27" s="172"/>
      <c r="N27" s="172"/>
      <c r="O27" s="344"/>
    </row>
    <row r="28" spans="1:15" x14ac:dyDescent="0.2">
      <c r="A28" s="173" t="s">
        <v>52</v>
      </c>
      <c r="B28" s="175" t="s">
        <v>216</v>
      </c>
      <c r="C28" s="174"/>
      <c r="D28" s="174"/>
      <c r="E28" s="174"/>
      <c r="F28" s="174"/>
      <c r="G28" s="174"/>
      <c r="H28" s="329"/>
      <c r="I28" s="175" t="s">
        <v>217</v>
      </c>
      <c r="J28" s="176"/>
      <c r="K28" s="176"/>
      <c r="L28" s="176"/>
      <c r="M28" s="176"/>
      <c r="N28" s="176"/>
      <c r="O28" s="345"/>
    </row>
    <row r="29" spans="1:15" x14ac:dyDescent="0.2">
      <c r="A29" s="173" t="s">
        <v>53</v>
      </c>
      <c r="B29" s="175" t="s">
        <v>54</v>
      </c>
      <c r="C29" s="174"/>
      <c r="D29" s="174"/>
      <c r="E29" s="174"/>
      <c r="F29" s="174"/>
      <c r="G29" s="174"/>
      <c r="H29" s="329"/>
      <c r="I29" s="200" t="s">
        <v>11</v>
      </c>
      <c r="J29" s="176"/>
      <c r="K29" s="176"/>
      <c r="L29" s="176"/>
      <c r="M29" s="176"/>
      <c r="N29" s="176"/>
      <c r="O29" s="345"/>
    </row>
    <row r="30" spans="1:15" x14ac:dyDescent="0.2">
      <c r="A30" s="173" t="s">
        <v>55</v>
      </c>
      <c r="B30" s="175" t="s">
        <v>136</v>
      </c>
      <c r="C30" s="174"/>
      <c r="D30" s="174"/>
      <c r="E30" s="174"/>
      <c r="F30" s="174"/>
      <c r="G30" s="174"/>
      <c r="H30" s="329"/>
      <c r="I30" s="175" t="s">
        <v>218</v>
      </c>
      <c r="J30" s="176"/>
      <c r="K30" s="176"/>
      <c r="L30" s="176"/>
      <c r="M30" s="176"/>
      <c r="N30" s="176"/>
      <c r="O30" s="345"/>
    </row>
    <row r="31" spans="1:15" x14ac:dyDescent="0.2">
      <c r="A31" s="173" t="s">
        <v>56</v>
      </c>
      <c r="B31" s="175" t="s">
        <v>219</v>
      </c>
      <c r="C31" s="174"/>
      <c r="D31" s="174"/>
      <c r="E31" s="174"/>
      <c r="F31" s="174"/>
      <c r="G31" s="174"/>
      <c r="H31" s="329"/>
      <c r="I31" s="175" t="s">
        <v>220</v>
      </c>
      <c r="J31" s="176"/>
      <c r="K31" s="176"/>
      <c r="L31" s="176"/>
      <c r="M31" s="176"/>
      <c r="N31" s="176"/>
      <c r="O31" s="345"/>
    </row>
    <row r="32" spans="1:15" ht="13.5" thickBot="1" x14ac:dyDescent="0.25">
      <c r="A32" s="201" t="s">
        <v>57</v>
      </c>
      <c r="B32" s="202" t="s">
        <v>58</v>
      </c>
      <c r="C32" s="203"/>
      <c r="D32" s="203"/>
      <c r="E32" s="203"/>
      <c r="F32" s="203"/>
      <c r="G32" s="203"/>
      <c r="H32" s="335"/>
      <c r="I32" s="183" t="s">
        <v>26</v>
      </c>
      <c r="J32" s="184">
        <v>0</v>
      </c>
      <c r="K32" s="184">
        <v>0</v>
      </c>
      <c r="L32" s="184"/>
      <c r="M32" s="184"/>
      <c r="N32" s="184">
        <v>0</v>
      </c>
      <c r="O32" s="346">
        <v>0</v>
      </c>
    </row>
    <row r="33" spans="1:15" ht="13.5" thickBot="1" x14ac:dyDescent="0.25">
      <c r="A33" s="185" t="s">
        <v>59</v>
      </c>
      <c r="B33" s="186" t="s">
        <v>206</v>
      </c>
      <c r="C33" s="186">
        <f>SUM(C27)</f>
        <v>0</v>
      </c>
      <c r="D33" s="186">
        <f>SUM(D27)</f>
        <v>0</v>
      </c>
      <c r="E33" s="186"/>
      <c r="F33" s="186"/>
      <c r="G33" s="186">
        <f>SUM(G27)</f>
        <v>0</v>
      </c>
      <c r="H33" s="330">
        <f>SUM(H27)</f>
        <v>0</v>
      </c>
      <c r="I33" s="187" t="s">
        <v>207</v>
      </c>
      <c r="J33" s="188">
        <f>SUM(J27:J32)</f>
        <v>0</v>
      </c>
      <c r="K33" s="188">
        <f>SUM(K27:K32)</f>
        <v>0</v>
      </c>
      <c r="L33" s="188"/>
      <c r="M33" s="188"/>
      <c r="N33" s="188">
        <f>SUM(N27:N32)</f>
        <v>0</v>
      </c>
      <c r="O33" s="347">
        <f>SUM(O27:O32)</f>
        <v>0</v>
      </c>
    </row>
    <row r="34" spans="1:15" x14ac:dyDescent="0.2">
      <c r="A34" s="169" t="s">
        <v>60</v>
      </c>
      <c r="B34" s="204" t="s">
        <v>61</v>
      </c>
      <c r="C34" s="204"/>
      <c r="D34" s="204"/>
      <c r="E34" s="204"/>
      <c r="F34" s="204"/>
      <c r="G34" s="204"/>
      <c r="H34" s="336"/>
      <c r="I34" s="190" t="s">
        <v>36</v>
      </c>
      <c r="J34" s="205"/>
      <c r="K34" s="205"/>
      <c r="L34" s="205"/>
      <c r="M34" s="205"/>
      <c r="N34" s="205"/>
      <c r="O34" s="352"/>
    </row>
    <row r="35" spans="1:15" x14ac:dyDescent="0.2">
      <c r="A35" s="173" t="s">
        <v>62</v>
      </c>
      <c r="B35" s="206" t="s">
        <v>63</v>
      </c>
      <c r="C35" s="206"/>
      <c r="D35" s="206"/>
      <c r="E35" s="206"/>
      <c r="F35" s="206"/>
      <c r="G35" s="206"/>
      <c r="H35" s="337"/>
      <c r="I35" s="193" t="s">
        <v>44</v>
      </c>
      <c r="J35" s="207"/>
      <c r="K35" s="207"/>
      <c r="L35" s="207"/>
      <c r="M35" s="207"/>
      <c r="N35" s="207"/>
      <c r="O35" s="353"/>
    </row>
    <row r="36" spans="1:15" x14ac:dyDescent="0.2">
      <c r="A36" s="173" t="s">
        <v>64</v>
      </c>
      <c r="B36" s="206" t="s">
        <v>65</v>
      </c>
      <c r="C36" s="206"/>
      <c r="D36" s="206"/>
      <c r="E36" s="206"/>
      <c r="F36" s="206"/>
      <c r="G36" s="206"/>
      <c r="H36" s="337"/>
      <c r="I36" s="193" t="s">
        <v>66</v>
      </c>
      <c r="J36" s="207"/>
      <c r="K36" s="207"/>
      <c r="L36" s="207"/>
      <c r="M36" s="207"/>
      <c r="N36" s="207"/>
      <c r="O36" s="353"/>
    </row>
    <row r="37" spans="1:15" x14ac:dyDescent="0.2">
      <c r="A37" s="173" t="s">
        <v>67</v>
      </c>
      <c r="B37" s="208" t="s">
        <v>116</v>
      </c>
      <c r="C37" s="208"/>
      <c r="D37" s="208"/>
      <c r="E37" s="208"/>
      <c r="F37" s="208"/>
      <c r="G37" s="208"/>
      <c r="H37" s="338"/>
      <c r="I37" s="209"/>
      <c r="J37" s="210"/>
      <c r="K37" s="210"/>
      <c r="L37" s="210"/>
      <c r="M37" s="210"/>
      <c r="N37" s="210"/>
      <c r="O37" s="354"/>
    </row>
    <row r="38" spans="1:15" x14ac:dyDescent="0.2">
      <c r="A38" s="173" t="s">
        <v>117</v>
      </c>
      <c r="B38" s="206" t="s">
        <v>118</v>
      </c>
      <c r="C38" s="206"/>
      <c r="D38" s="206"/>
      <c r="E38" s="206"/>
      <c r="F38" s="206"/>
      <c r="G38" s="206"/>
      <c r="H38" s="337"/>
      <c r="I38" s="209"/>
      <c r="J38" s="207"/>
      <c r="K38" s="207"/>
      <c r="L38" s="207"/>
      <c r="M38" s="207"/>
      <c r="N38" s="207"/>
      <c r="O38" s="353"/>
    </row>
    <row r="39" spans="1:15" ht="13.5" thickBot="1" x14ac:dyDescent="0.25">
      <c r="A39" s="180" t="s">
        <v>119</v>
      </c>
      <c r="B39" s="211" t="s">
        <v>120</v>
      </c>
      <c r="C39" s="211"/>
      <c r="D39" s="211"/>
      <c r="E39" s="211"/>
      <c r="F39" s="211"/>
      <c r="G39" s="211"/>
      <c r="H39" s="339"/>
      <c r="I39" s="212"/>
      <c r="J39" s="213"/>
      <c r="K39" s="213"/>
      <c r="L39" s="213"/>
      <c r="M39" s="213"/>
      <c r="N39" s="213"/>
      <c r="O39" s="355"/>
    </row>
    <row r="40" spans="1:15" ht="21.75" thickBot="1" x14ac:dyDescent="0.25">
      <c r="A40" s="185" t="s">
        <v>121</v>
      </c>
      <c r="B40" s="186" t="s">
        <v>209</v>
      </c>
      <c r="C40" s="186">
        <f>SUM(C34:C39)</f>
        <v>0</v>
      </c>
      <c r="D40" s="186">
        <f>SUM(D34:D39)</f>
        <v>0</v>
      </c>
      <c r="E40" s="186"/>
      <c r="F40" s="186"/>
      <c r="G40" s="186">
        <f>SUM(G34:G39)</f>
        <v>0</v>
      </c>
      <c r="H40" s="330">
        <f>SUM(H34:H39)</f>
        <v>0</v>
      </c>
      <c r="I40" s="187" t="s">
        <v>221</v>
      </c>
      <c r="J40" s="188">
        <f>SUM(J34:J39)</f>
        <v>0</v>
      </c>
      <c r="K40" s="188">
        <f>SUM(K34:K39)</f>
        <v>0</v>
      </c>
      <c r="L40" s="188"/>
      <c r="M40" s="188"/>
      <c r="N40" s="188">
        <f>SUM(N34:N39)</f>
        <v>0</v>
      </c>
      <c r="O40" s="347">
        <f>SUM(O34:O39)</f>
        <v>0</v>
      </c>
    </row>
    <row r="41" spans="1:15" ht="26.25" thickBot="1" x14ac:dyDescent="0.25">
      <c r="A41" s="185" t="s">
        <v>122</v>
      </c>
      <c r="B41" s="197" t="s">
        <v>210</v>
      </c>
      <c r="C41" s="197">
        <f>SUM(C40,C33)</f>
        <v>0</v>
      </c>
      <c r="D41" s="197">
        <f>SUM(D40,D33)</f>
        <v>0</v>
      </c>
      <c r="E41" s="197"/>
      <c r="F41" s="197"/>
      <c r="G41" s="197">
        <f>SUM(G40,G33)</f>
        <v>0</v>
      </c>
      <c r="H41" s="334">
        <f>SUM(H40,H33)</f>
        <v>0</v>
      </c>
      <c r="I41" s="185" t="s">
        <v>211</v>
      </c>
      <c r="J41" s="198">
        <f>SUM(J33+J40)</f>
        <v>0</v>
      </c>
      <c r="K41" s="198">
        <f>SUM(K33+K40)</f>
        <v>0</v>
      </c>
      <c r="L41" s="198"/>
      <c r="M41" s="198"/>
      <c r="N41" s="198">
        <f>SUM(N33+N40)</f>
        <v>0</v>
      </c>
      <c r="O41" s="351">
        <f>SUM(O33+O40)</f>
        <v>0</v>
      </c>
    </row>
    <row r="42" spans="1:15" ht="21.75" customHeight="1" thickBot="1" x14ac:dyDescent="0.25">
      <c r="A42" s="214" t="s">
        <v>123</v>
      </c>
      <c r="B42" s="215" t="s">
        <v>212</v>
      </c>
      <c r="C42" s="215">
        <f t="shared" ref="C42:H42" si="1">SUM(C26+C41)</f>
        <v>62114493</v>
      </c>
      <c r="D42" s="215">
        <f t="shared" si="1"/>
        <v>59555597</v>
      </c>
      <c r="E42" s="215">
        <f t="shared" si="1"/>
        <v>59555597</v>
      </c>
      <c r="F42" s="215">
        <f t="shared" si="1"/>
        <v>50475554</v>
      </c>
      <c r="G42" s="215">
        <f t="shared" si="1"/>
        <v>50475554</v>
      </c>
      <c r="H42" s="340">
        <f t="shared" si="1"/>
        <v>1</v>
      </c>
      <c r="I42" s="216" t="s">
        <v>213</v>
      </c>
      <c r="J42" s="217">
        <f>SUM(J26+J41)</f>
        <v>62114493</v>
      </c>
      <c r="K42" s="217">
        <f>SUM(K26+K41)</f>
        <v>59555597</v>
      </c>
      <c r="L42" s="217">
        <f>SUM(L26+L41)</f>
        <v>59555597</v>
      </c>
      <c r="M42" s="217">
        <f>SUM(M26+M41)</f>
        <v>50475554</v>
      </c>
      <c r="N42" s="217">
        <f>SUM(N26+N41)</f>
        <v>50415932</v>
      </c>
      <c r="O42" s="356">
        <f>SUM(N42/M42)</f>
        <v>0.99881879453962996</v>
      </c>
    </row>
    <row r="43" spans="1:15" ht="13.5" customHeight="1" x14ac:dyDescent="0.2">
      <c r="A43" s="218"/>
      <c r="B43" s="219" t="s">
        <v>80</v>
      </c>
      <c r="C43" s="221">
        <f t="shared" ref="C43:H43" si="2">SUM(C16+C33)</f>
        <v>62079900</v>
      </c>
      <c r="D43" s="221">
        <f t="shared" si="2"/>
        <v>59520845</v>
      </c>
      <c r="E43" s="221">
        <f t="shared" si="2"/>
        <v>59520845</v>
      </c>
      <c r="F43" s="221">
        <f t="shared" si="2"/>
        <v>50440961</v>
      </c>
      <c r="G43" s="221">
        <f t="shared" si="2"/>
        <v>50440961</v>
      </c>
      <c r="H43" s="325">
        <f t="shared" si="2"/>
        <v>1</v>
      </c>
      <c r="I43" s="220"/>
      <c r="J43" s="220"/>
      <c r="K43" s="220"/>
      <c r="L43" s="220"/>
      <c r="M43" s="220"/>
      <c r="N43" s="220"/>
      <c r="O43" s="324"/>
    </row>
    <row r="44" spans="1:15" ht="27" customHeight="1" x14ac:dyDescent="0.2">
      <c r="A44" s="218"/>
      <c r="B44" s="221" t="s">
        <v>81</v>
      </c>
      <c r="C44" s="221">
        <f t="shared" ref="C44:H44" si="3">SUM(C18+C19+C35+C36)</f>
        <v>34593</v>
      </c>
      <c r="D44" s="221">
        <f t="shared" si="3"/>
        <v>34752</v>
      </c>
      <c r="E44" s="221">
        <f t="shared" si="3"/>
        <v>34752</v>
      </c>
      <c r="F44" s="221">
        <f t="shared" si="3"/>
        <v>34593</v>
      </c>
      <c r="G44" s="221">
        <f t="shared" si="3"/>
        <v>34593</v>
      </c>
      <c r="H44" s="325">
        <f t="shared" si="3"/>
        <v>1</v>
      </c>
      <c r="I44" s="154" t="s">
        <v>664</v>
      </c>
      <c r="J44" s="222">
        <v>34593</v>
      </c>
      <c r="K44" s="222"/>
      <c r="L44" s="222"/>
      <c r="M44" s="222"/>
      <c r="N44" s="222">
        <v>59622</v>
      </c>
    </row>
    <row r="45" spans="1:15" ht="13.5" customHeight="1" x14ac:dyDescent="0.2">
      <c r="A45" s="218"/>
      <c r="B45" s="220"/>
      <c r="C45" s="220"/>
      <c r="D45" s="220"/>
      <c r="E45" s="220"/>
      <c r="F45" s="220"/>
      <c r="G45" s="220"/>
      <c r="H45" s="324"/>
      <c r="I45" s="220"/>
      <c r="J45" s="220"/>
      <c r="K45" s="220"/>
      <c r="L45" s="220"/>
      <c r="M45" s="220"/>
      <c r="N45" s="220">
        <f>SUM(G42-N42)</f>
        <v>59622</v>
      </c>
      <c r="O45" s="324"/>
    </row>
    <row r="47" spans="1:15" ht="15" x14ac:dyDescent="0.25">
      <c r="I47" s="223"/>
      <c r="J47" s="223"/>
      <c r="K47" s="223"/>
      <c r="L47" s="223"/>
      <c r="M47" s="223"/>
      <c r="N47" s="358"/>
      <c r="O47" s="357"/>
    </row>
  </sheetData>
  <mergeCells count="4">
    <mergeCell ref="I1:O1"/>
    <mergeCell ref="A3:O3"/>
    <mergeCell ref="A4:O4"/>
    <mergeCell ref="A6:A7"/>
  </mergeCells>
  <printOptions horizontalCentered="1"/>
  <pageMargins left="0.31496062992125984" right="0.31496062992125984" top="0.39370078740157483" bottom="0.51181102362204722" header="0.6692913385826772" footer="0.27559055118110237"/>
  <pageSetup paperSize="9" scale="71" orientation="landscape" verticalDpi="30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3"/>
  <sheetViews>
    <sheetView zoomScaleNormal="100" workbookViewId="0">
      <selection activeCell="B1" sqref="B1:H1"/>
    </sheetView>
  </sheetViews>
  <sheetFormatPr defaultRowHeight="12.75" x14ac:dyDescent="0.2"/>
  <cols>
    <col min="1" max="1" width="24" style="633" customWidth="1"/>
    <col min="2" max="2" width="10.7109375" style="633" customWidth="1"/>
    <col min="3" max="3" width="3.85546875" style="633" customWidth="1"/>
    <col min="4" max="4" width="15" style="633" customWidth="1"/>
    <col min="5" max="5" width="3.85546875" style="633" customWidth="1"/>
    <col min="6" max="6" width="17.7109375" style="633" customWidth="1"/>
    <col min="7" max="7" width="3.85546875" style="635" customWidth="1"/>
    <col min="8" max="8" width="19.85546875" style="633" customWidth="1"/>
    <col min="9" max="16384" width="9.140625" style="633"/>
  </cols>
  <sheetData>
    <row r="1" spans="1:13" ht="12.75" customHeight="1" x14ac:dyDescent="0.2">
      <c r="B1" s="1353" t="s">
        <v>1009</v>
      </c>
      <c r="C1" s="1371"/>
      <c r="D1" s="1371"/>
      <c r="E1" s="1371"/>
      <c r="F1" s="1371"/>
      <c r="G1" s="1371"/>
      <c r="H1" s="1371"/>
    </row>
    <row r="2" spans="1:13" x14ac:dyDescent="0.2">
      <c r="H2" s="635"/>
    </row>
    <row r="3" spans="1:13" x14ac:dyDescent="0.2">
      <c r="A3" s="633" t="s">
        <v>418</v>
      </c>
      <c r="H3" s="635"/>
    </row>
    <row r="4" spans="1:13" ht="13.5" thickBot="1" x14ac:dyDescent="0.25"/>
    <row r="5" spans="1:13" x14ac:dyDescent="0.2">
      <c r="A5" s="636" t="s">
        <v>378</v>
      </c>
      <c r="B5" s="637"/>
      <c r="C5" s="637"/>
      <c r="D5" s="638"/>
      <c r="E5" s="638"/>
      <c r="F5" s="638"/>
      <c r="G5" s="639"/>
      <c r="H5" s="640"/>
    </row>
    <row r="6" spans="1:13" ht="25.5" x14ac:dyDescent="0.2">
      <c r="A6" s="641"/>
      <c r="B6" s="642" t="s">
        <v>379</v>
      </c>
      <c r="C6" s="642"/>
      <c r="D6" s="642" t="s">
        <v>380</v>
      </c>
      <c r="E6" s="642"/>
      <c r="F6" s="642" t="s">
        <v>381</v>
      </c>
      <c r="G6" s="643"/>
      <c r="H6" s="644" t="s">
        <v>382</v>
      </c>
    </row>
    <row r="7" spans="1:13" x14ac:dyDescent="0.2">
      <c r="A7" s="641" t="s">
        <v>383</v>
      </c>
      <c r="B7" s="645" t="s">
        <v>384</v>
      </c>
      <c r="C7" s="646">
        <v>0</v>
      </c>
      <c r="D7" s="647" t="s">
        <v>385</v>
      </c>
      <c r="E7" s="648">
        <v>0</v>
      </c>
      <c r="F7" s="649"/>
      <c r="G7" s="646">
        <f t="shared" ref="G7:G12" si="0">SUM(C7+E7)</f>
        <v>0</v>
      </c>
      <c r="H7" s="650"/>
    </row>
    <row r="8" spans="1:13" x14ac:dyDescent="0.2">
      <c r="A8" s="641" t="s">
        <v>419</v>
      </c>
      <c r="B8" s="645" t="s">
        <v>420</v>
      </c>
      <c r="C8" s="648">
        <v>1</v>
      </c>
      <c r="D8" s="647" t="s">
        <v>385</v>
      </c>
      <c r="E8" s="648"/>
      <c r="F8" s="648"/>
      <c r="G8" s="646">
        <f t="shared" si="0"/>
        <v>1</v>
      </c>
      <c r="H8" s="651"/>
    </row>
    <row r="9" spans="1:13" x14ac:dyDescent="0.2">
      <c r="A9" s="641" t="s">
        <v>387</v>
      </c>
      <c r="B9" s="645" t="s">
        <v>388</v>
      </c>
      <c r="C9" s="648">
        <v>0</v>
      </c>
      <c r="D9" s="648"/>
      <c r="E9" s="648">
        <v>7</v>
      </c>
      <c r="F9" s="648" t="s">
        <v>421</v>
      </c>
      <c r="G9" s="646">
        <f t="shared" si="0"/>
        <v>7</v>
      </c>
      <c r="H9" s="651"/>
    </row>
    <row r="10" spans="1:13" x14ac:dyDescent="0.2">
      <c r="A10" s="641" t="s">
        <v>389</v>
      </c>
      <c r="B10" s="645" t="s">
        <v>390</v>
      </c>
      <c r="C10" s="648">
        <v>1</v>
      </c>
      <c r="D10" s="648" t="s">
        <v>386</v>
      </c>
      <c r="E10" s="648">
        <v>0</v>
      </c>
      <c r="F10" s="648"/>
      <c r="G10" s="646">
        <f t="shared" si="0"/>
        <v>1</v>
      </c>
      <c r="H10" s="651"/>
    </row>
    <row r="11" spans="1:13" x14ac:dyDescent="0.2">
      <c r="A11" s="641" t="s">
        <v>391</v>
      </c>
      <c r="B11" s="645" t="s">
        <v>392</v>
      </c>
      <c r="C11" s="648">
        <v>1</v>
      </c>
      <c r="D11" s="648" t="s">
        <v>386</v>
      </c>
      <c r="E11" s="648"/>
      <c r="F11" s="648"/>
      <c r="G11" s="646">
        <f t="shared" si="0"/>
        <v>1</v>
      </c>
      <c r="H11" s="651"/>
    </row>
    <row r="12" spans="1:13" s="656" customFormat="1" ht="15.75" customHeight="1" thickBot="1" x14ac:dyDescent="0.25">
      <c r="A12" s="652" t="s">
        <v>382</v>
      </c>
      <c r="B12" s="653"/>
      <c r="C12" s="653">
        <f>SUM(C7:C11)</f>
        <v>3</v>
      </c>
      <c r="D12" s="653"/>
      <c r="E12" s="653">
        <f>SUM(E7:E11)</f>
        <v>7</v>
      </c>
      <c r="F12" s="653"/>
      <c r="G12" s="654">
        <f t="shared" si="0"/>
        <v>10</v>
      </c>
      <c r="H12" s="655"/>
      <c r="M12" s="647" t="s">
        <v>385</v>
      </c>
    </row>
    <row r="13" spans="1:13" ht="13.5" thickBot="1" x14ac:dyDescent="0.25">
      <c r="A13" s="657"/>
      <c r="H13" s="658"/>
    </row>
    <row r="14" spans="1:13" x14ac:dyDescent="0.2">
      <c r="A14" s="636" t="s">
        <v>393</v>
      </c>
      <c r="B14" s="637"/>
      <c r="C14" s="638"/>
      <c r="D14" s="638"/>
      <c r="E14" s="638"/>
      <c r="F14" s="638"/>
      <c r="G14" s="639"/>
      <c r="H14" s="640"/>
    </row>
    <row r="15" spans="1:13" ht="25.5" x14ac:dyDescent="0.2">
      <c r="A15" s="641"/>
      <c r="B15" s="642" t="s">
        <v>379</v>
      </c>
      <c r="C15" s="659"/>
      <c r="D15" s="659" t="s">
        <v>380</v>
      </c>
      <c r="E15" s="659"/>
      <c r="F15" s="659" t="s">
        <v>381</v>
      </c>
      <c r="G15" s="660"/>
      <c r="H15" s="650" t="s">
        <v>382</v>
      </c>
    </row>
    <row r="16" spans="1:13" x14ac:dyDescent="0.2">
      <c r="A16" s="641" t="s">
        <v>395</v>
      </c>
      <c r="B16" s="661" t="s">
        <v>394</v>
      </c>
      <c r="C16" s="648">
        <v>6</v>
      </c>
      <c r="D16" s="648" t="s">
        <v>386</v>
      </c>
      <c r="E16" s="648"/>
      <c r="F16" s="648"/>
      <c r="G16" s="646"/>
      <c r="H16" s="651"/>
    </row>
    <row r="17" spans="1:8" x14ac:dyDescent="0.2">
      <c r="A17" s="641" t="s">
        <v>396</v>
      </c>
      <c r="B17" s="645" t="s">
        <v>397</v>
      </c>
      <c r="C17" s="646">
        <v>1</v>
      </c>
      <c r="D17" s="648" t="s">
        <v>398</v>
      </c>
      <c r="E17" s="648"/>
      <c r="F17" s="662"/>
      <c r="G17" s="660"/>
      <c r="H17" s="650"/>
    </row>
    <row r="18" spans="1:8" x14ac:dyDescent="0.2">
      <c r="A18" s="641" t="s">
        <v>399</v>
      </c>
      <c r="B18" s="645" t="s">
        <v>400</v>
      </c>
      <c r="C18" s="646">
        <v>2</v>
      </c>
      <c r="D18" s="648" t="s">
        <v>398</v>
      </c>
      <c r="E18" s="648"/>
      <c r="F18" s="662"/>
      <c r="G18" s="660"/>
      <c r="H18" s="650"/>
    </row>
    <row r="19" spans="1:8" x14ac:dyDescent="0.2">
      <c r="A19" s="641" t="s">
        <v>401</v>
      </c>
      <c r="B19" s="645" t="s">
        <v>402</v>
      </c>
      <c r="C19" s="646">
        <v>1</v>
      </c>
      <c r="D19" s="648" t="s">
        <v>398</v>
      </c>
      <c r="E19" s="648"/>
      <c r="F19" s="662"/>
      <c r="G19" s="660"/>
      <c r="H19" s="650"/>
    </row>
    <row r="20" spans="1:8" x14ac:dyDescent="0.2">
      <c r="A20" s="641" t="s">
        <v>403</v>
      </c>
      <c r="B20" s="645" t="s">
        <v>404</v>
      </c>
      <c r="C20" s="646">
        <v>1</v>
      </c>
      <c r="D20" s="647" t="s">
        <v>385</v>
      </c>
      <c r="E20" s="648"/>
      <c r="F20" s="662"/>
      <c r="G20" s="660"/>
      <c r="H20" s="650"/>
    </row>
    <row r="21" spans="1:8" s="656" customFormat="1" ht="13.5" thickBot="1" x14ac:dyDescent="0.25">
      <c r="A21" s="652" t="s">
        <v>382</v>
      </c>
      <c r="B21" s="653"/>
      <c r="C21" s="653">
        <f>SUM(C16:C20)</f>
        <v>11</v>
      </c>
      <c r="D21" s="653"/>
      <c r="E21" s="653"/>
      <c r="F21" s="653"/>
      <c r="G21" s="663">
        <f>SUM(C21)</f>
        <v>11</v>
      </c>
      <c r="H21" s="655"/>
    </row>
    <row r="22" spans="1:8" ht="13.5" thickBot="1" x14ac:dyDescent="0.25">
      <c r="A22" s="657"/>
      <c r="H22" s="658"/>
    </row>
    <row r="23" spans="1:8" ht="25.5" x14ac:dyDescent="0.2">
      <c r="A23" s="664" t="s">
        <v>291</v>
      </c>
      <c r="B23" s="637"/>
      <c r="C23" s="638"/>
      <c r="D23" s="638"/>
      <c r="E23" s="638"/>
      <c r="F23" s="638"/>
      <c r="G23" s="639"/>
      <c r="H23" s="640"/>
    </row>
    <row r="24" spans="1:8" ht="25.5" x14ac:dyDescent="0.2">
      <c r="A24" s="641"/>
      <c r="B24" s="642" t="s">
        <v>379</v>
      </c>
      <c r="C24" s="659"/>
      <c r="D24" s="659" t="s">
        <v>380</v>
      </c>
      <c r="E24" s="659"/>
      <c r="F24" s="659" t="s">
        <v>381</v>
      </c>
      <c r="G24" s="660"/>
      <c r="H24" s="650" t="s">
        <v>382</v>
      </c>
    </row>
    <row r="25" spans="1:8" x14ac:dyDescent="0.2">
      <c r="A25" s="641" t="s">
        <v>405</v>
      </c>
      <c r="B25" s="661" t="s">
        <v>388</v>
      </c>
      <c r="C25" s="648">
        <v>1</v>
      </c>
      <c r="D25" s="648" t="s">
        <v>406</v>
      </c>
      <c r="E25" s="648"/>
      <c r="F25" s="648"/>
      <c r="G25" s="646"/>
      <c r="H25" s="651"/>
    </row>
    <row r="26" spans="1:8" x14ac:dyDescent="0.2">
      <c r="A26" s="641" t="s">
        <v>407</v>
      </c>
      <c r="B26" s="661" t="s">
        <v>388</v>
      </c>
      <c r="C26" s="648">
        <v>5</v>
      </c>
      <c r="D26" s="648" t="s">
        <v>408</v>
      </c>
      <c r="E26" s="648"/>
      <c r="F26" s="648"/>
      <c r="G26" s="646"/>
      <c r="H26" s="651"/>
    </row>
    <row r="27" spans="1:8" x14ac:dyDescent="0.2">
      <c r="A27" s="641" t="s">
        <v>405</v>
      </c>
      <c r="B27" s="661" t="s">
        <v>388</v>
      </c>
      <c r="C27" s="648"/>
      <c r="D27" s="648"/>
      <c r="E27" s="648">
        <v>1</v>
      </c>
      <c r="F27" s="648" t="s">
        <v>385</v>
      </c>
      <c r="G27" s="646"/>
      <c r="H27" s="651"/>
    </row>
    <row r="28" spans="1:8" ht="13.5" thickBot="1" x14ac:dyDescent="0.25">
      <c r="A28" s="652" t="s">
        <v>382</v>
      </c>
      <c r="B28" s="653"/>
      <c r="C28" s="653">
        <f>SUM(C25:C27)</f>
        <v>6</v>
      </c>
      <c r="D28" s="653"/>
      <c r="E28" s="653">
        <f>SUM(E25:E27)</f>
        <v>1</v>
      </c>
      <c r="F28" s="653"/>
      <c r="G28" s="663">
        <f>SUM(C28+E28)</f>
        <v>7</v>
      </c>
      <c r="H28" s="655"/>
    </row>
    <row r="30" spans="1:8" ht="13.5" thickBot="1" x14ac:dyDescent="0.25"/>
    <row r="31" spans="1:8" x14ac:dyDescent="0.2">
      <c r="A31" s="636" t="s">
        <v>409</v>
      </c>
      <c r="B31" s="637"/>
      <c r="C31" s="638"/>
      <c r="D31" s="638"/>
      <c r="E31" s="638"/>
      <c r="F31" s="638"/>
      <c r="G31" s="639"/>
      <c r="H31" s="640"/>
    </row>
    <row r="32" spans="1:8" ht="25.5" x14ac:dyDescent="0.2">
      <c r="A32" s="641"/>
      <c r="B32" s="642" t="s">
        <v>379</v>
      </c>
      <c r="C32" s="659"/>
      <c r="D32" s="659" t="s">
        <v>410</v>
      </c>
      <c r="E32" s="659"/>
      <c r="F32" s="650" t="s">
        <v>411</v>
      </c>
      <c r="G32" s="660" t="s">
        <v>412</v>
      </c>
      <c r="H32" s="665" t="s">
        <v>413</v>
      </c>
    </row>
    <row r="33" spans="1:13" x14ac:dyDescent="0.2">
      <c r="A33" s="676" t="s">
        <v>422</v>
      </c>
      <c r="B33" s="677" t="s">
        <v>414</v>
      </c>
      <c r="C33" s="678">
        <v>9</v>
      </c>
      <c r="D33" s="678" t="s">
        <v>385</v>
      </c>
      <c r="E33" s="678"/>
      <c r="F33" s="678">
        <v>10</v>
      </c>
      <c r="G33" s="679">
        <v>8</v>
      </c>
      <c r="H33" s="680">
        <f>C33/12*F33</f>
        <v>7.5</v>
      </c>
      <c r="M33" s="666"/>
    </row>
    <row r="34" spans="1:13" x14ac:dyDescent="0.2">
      <c r="A34" s="676" t="s">
        <v>423</v>
      </c>
      <c r="B34" s="677" t="s">
        <v>415</v>
      </c>
      <c r="C34" s="678">
        <v>0</v>
      </c>
      <c r="D34" s="678" t="s">
        <v>385</v>
      </c>
      <c r="E34" s="678"/>
      <c r="F34" s="678">
        <v>0</v>
      </c>
      <c r="G34" s="679">
        <v>0</v>
      </c>
      <c r="H34" s="681">
        <f>C34/12*F34</f>
        <v>0</v>
      </c>
      <c r="M34" s="666"/>
    </row>
    <row r="35" spans="1:13" x14ac:dyDescent="0.2">
      <c r="A35" s="676" t="s">
        <v>416</v>
      </c>
      <c r="B35" s="677" t="s">
        <v>415</v>
      </c>
      <c r="C35" s="678">
        <v>3</v>
      </c>
      <c r="D35" s="678" t="s">
        <v>385</v>
      </c>
      <c r="E35" s="678"/>
      <c r="F35" s="678">
        <v>3</v>
      </c>
      <c r="G35" s="679">
        <v>1</v>
      </c>
      <c r="H35" s="680">
        <f>C35/12*F35</f>
        <v>0.75</v>
      </c>
      <c r="M35" s="666"/>
    </row>
    <row r="36" spans="1:13" ht="13.5" thickBot="1" x14ac:dyDescent="0.25">
      <c r="A36" s="652" t="s">
        <v>382</v>
      </c>
      <c r="B36" s="653"/>
      <c r="C36" s="653">
        <f>SUM(C33:C35)</f>
        <v>12</v>
      </c>
      <c r="D36" s="653"/>
      <c r="E36" s="653">
        <f>SUM(E33:E35)</f>
        <v>0</v>
      </c>
      <c r="F36" s="653"/>
      <c r="G36" s="663">
        <f>SUM(G33:G35)</f>
        <v>9</v>
      </c>
      <c r="H36" s="667">
        <f>SUM(H33:H35)</f>
        <v>8.25</v>
      </c>
      <c r="M36" s="666"/>
    </row>
    <row r="37" spans="1:13" x14ac:dyDescent="0.2">
      <c r="A37" s="668"/>
      <c r="B37" s="669"/>
      <c r="C37" s="669"/>
      <c r="D37" s="669"/>
      <c r="E37" s="669"/>
      <c r="F37" s="669"/>
      <c r="G37" s="670"/>
      <c r="H37" s="671"/>
    </row>
    <row r="38" spans="1:13" ht="24" customHeight="1" thickBot="1" x14ac:dyDescent="0.35">
      <c r="A38" s="672" t="s">
        <v>417</v>
      </c>
      <c r="B38" s="673"/>
      <c r="C38" s="673">
        <f>SUM(C28+C21+C12+C36)</f>
        <v>32</v>
      </c>
      <c r="D38" s="673"/>
      <c r="E38" s="673">
        <f>SUM(+E28+E21+E12+E36)</f>
        <v>8</v>
      </c>
      <c r="F38" s="673">
        <f>SUM(+F28+F21+F12+F36)</f>
        <v>0</v>
      </c>
      <c r="G38" s="674">
        <f>SUM(G12+G21+G28+G36)</f>
        <v>37</v>
      </c>
      <c r="H38" s="675"/>
    </row>
    <row r="41" spans="1:13" x14ac:dyDescent="0.2">
      <c r="A41" s="633" t="s">
        <v>997</v>
      </c>
    </row>
    <row r="42" spans="1:13" x14ac:dyDescent="0.2">
      <c r="A42" s="633" t="s">
        <v>424</v>
      </c>
    </row>
    <row r="43" spans="1:13" x14ac:dyDescent="0.2">
      <c r="A43" s="633" t="s">
        <v>998</v>
      </c>
    </row>
  </sheetData>
  <mergeCells count="1">
    <mergeCell ref="B1:H1"/>
  </mergeCells>
  <printOptions horizontalCentered="1"/>
  <pageMargins left="0.59055118110236227" right="0.59055118110236227" top="0.78740157480314965" bottom="0.47244094488188981" header="0.35433070866141736" footer="0.27559055118110237"/>
  <pageSetup paperSize="9" scale="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6"/>
  <sheetViews>
    <sheetView zoomScaleNormal="100" workbookViewId="0">
      <selection activeCell="I13" sqref="I13"/>
    </sheetView>
  </sheetViews>
  <sheetFormatPr defaultRowHeight="12.75" x14ac:dyDescent="0.2"/>
  <cols>
    <col min="1" max="1" width="46.42578125" bestFit="1" customWidth="1"/>
    <col min="2" max="4" width="15.7109375" customWidth="1"/>
    <col min="5" max="5" width="13.7109375" bestFit="1" customWidth="1"/>
    <col min="6" max="6" width="6.42578125" style="1329" customWidth="1"/>
    <col min="7" max="10" width="15.7109375" customWidth="1"/>
    <col min="12" max="12" width="11.42578125" bestFit="1" customWidth="1"/>
  </cols>
  <sheetData>
    <row r="1" spans="1:10" ht="14.1" customHeight="1" x14ac:dyDescent="0.2">
      <c r="A1" s="1372" t="s">
        <v>1010</v>
      </c>
      <c r="B1" s="1373"/>
      <c r="C1" s="1373"/>
      <c r="D1" s="1373"/>
      <c r="E1" s="1322"/>
      <c r="F1" s="1325"/>
      <c r="G1" s="1321"/>
      <c r="H1" s="1321"/>
      <c r="I1" s="1321"/>
      <c r="J1" s="1321"/>
    </row>
    <row r="2" spans="1:10" ht="14.1" customHeight="1" x14ac:dyDescent="0.2">
      <c r="A2" s="1255"/>
      <c r="B2" s="1255"/>
      <c r="C2" s="1256"/>
      <c r="D2" s="1256"/>
      <c r="E2" s="1256"/>
      <c r="F2" s="1326"/>
      <c r="G2" s="1257"/>
      <c r="H2" s="1257"/>
      <c r="I2" s="1257"/>
      <c r="J2" s="1258"/>
    </row>
    <row r="3" spans="1:10" ht="37.5" customHeight="1" x14ac:dyDescent="0.2">
      <c r="A3" s="1374" t="s">
        <v>957</v>
      </c>
      <c r="B3" s="1375"/>
      <c r="C3" s="1375"/>
      <c r="D3" s="1375"/>
      <c r="E3" s="1324"/>
      <c r="F3" s="1327"/>
      <c r="G3" s="1319"/>
      <c r="H3" s="1319"/>
      <c r="I3" s="1319"/>
      <c r="J3" s="1319"/>
    </row>
    <row r="4" spans="1:10" ht="14.1" customHeight="1" x14ac:dyDescent="0.2">
      <c r="A4" s="1376" t="s">
        <v>958</v>
      </c>
      <c r="B4" s="1377"/>
      <c r="C4" s="1377"/>
      <c r="D4" s="1377"/>
      <c r="E4" s="1323"/>
      <c r="F4" s="1328"/>
      <c r="G4" s="1259"/>
      <c r="H4" s="1259"/>
      <c r="I4" s="1259"/>
      <c r="J4" s="1259"/>
    </row>
    <row r="5" spans="1:10" ht="14.1" customHeight="1" x14ac:dyDescent="0.2">
      <c r="A5" s="1259"/>
      <c r="B5" s="1323"/>
      <c r="C5" s="1323"/>
      <c r="D5" s="1323"/>
      <c r="E5" s="1323"/>
      <c r="F5" s="1328"/>
      <c r="G5" s="1259"/>
      <c r="H5" s="1259"/>
      <c r="I5" s="1259"/>
      <c r="J5" s="1259"/>
    </row>
    <row r="6" spans="1:10" ht="14.1" customHeight="1" x14ac:dyDescent="0.2">
      <c r="A6" s="1259"/>
      <c r="B6" s="1323"/>
      <c r="C6" s="1323"/>
      <c r="D6" s="1323"/>
      <c r="E6" s="1323"/>
      <c r="F6" s="1328"/>
      <c r="G6" s="1259"/>
      <c r="H6" s="1259"/>
      <c r="I6" s="1259"/>
      <c r="J6" s="1259"/>
    </row>
    <row r="7" spans="1:10" ht="14.1" customHeight="1" x14ac:dyDescent="0.2">
      <c r="A7" s="1259"/>
      <c r="B7" s="1259"/>
      <c r="C7" s="1259"/>
      <c r="D7" s="1259"/>
      <c r="E7" s="1259"/>
      <c r="F7" s="1328"/>
      <c r="G7" s="1259"/>
      <c r="H7" s="1259"/>
      <c r="I7" s="1259"/>
      <c r="J7" s="1259"/>
    </row>
    <row r="8" spans="1:10" ht="14.1" customHeight="1" x14ac:dyDescent="0.25">
      <c r="A8" s="1381" t="s">
        <v>139</v>
      </c>
      <c r="B8" s="1382"/>
      <c r="C8" s="1382"/>
      <c r="D8" s="1382"/>
      <c r="E8" s="1355"/>
      <c r="F8" s="1355"/>
      <c r="G8" s="1258"/>
    </row>
    <row r="9" spans="1:10" ht="14.1" customHeight="1" thickBot="1" x14ac:dyDescent="0.25">
      <c r="A9" s="1383" t="s">
        <v>959</v>
      </c>
      <c r="B9" s="1384"/>
      <c r="C9" s="1384"/>
      <c r="D9" s="1384"/>
      <c r="E9" s="1355"/>
      <c r="F9" s="1355"/>
    </row>
    <row r="10" spans="1:10" ht="14.1" customHeight="1" x14ac:dyDescent="0.2">
      <c r="A10" s="1260"/>
      <c r="B10" s="1261" t="s">
        <v>960</v>
      </c>
      <c r="C10" s="1261" t="s">
        <v>961</v>
      </c>
      <c r="D10" s="1339" t="s">
        <v>962</v>
      </c>
      <c r="E10" s="1260" t="s">
        <v>494</v>
      </c>
      <c r="F10" s="1341"/>
    </row>
    <row r="11" spans="1:10" ht="14.1" customHeight="1" x14ac:dyDescent="0.2">
      <c r="A11" s="1263" t="s">
        <v>963</v>
      </c>
      <c r="B11" s="1264">
        <v>0</v>
      </c>
      <c r="C11" s="1264">
        <v>13318000</v>
      </c>
      <c r="D11" s="1280">
        <v>13110217</v>
      </c>
      <c r="E11" s="1342"/>
      <c r="F11" s="1343">
        <f t="shared" ref="F11:F20" si="0">SUM(D11/C11)</f>
        <v>0.98439833308304547</v>
      </c>
    </row>
    <row r="12" spans="1:10" ht="14.1" customHeight="1" x14ac:dyDescent="0.2">
      <c r="A12" s="1263" t="s">
        <v>232</v>
      </c>
      <c r="B12" s="1264">
        <v>0</v>
      </c>
      <c r="C12" s="1264">
        <v>3407000</v>
      </c>
      <c r="D12" s="1280">
        <v>3301111</v>
      </c>
      <c r="E12" s="1342">
        <f>SUM(D11:D12)</f>
        <v>16411328</v>
      </c>
      <c r="F12" s="1343">
        <f t="shared" si="0"/>
        <v>0.96892016436747874</v>
      </c>
    </row>
    <row r="13" spans="1:10" ht="14.1" customHeight="1" x14ac:dyDescent="0.2">
      <c r="A13" s="1263" t="s">
        <v>995</v>
      </c>
      <c r="B13" s="1264">
        <v>5500000</v>
      </c>
      <c r="C13" s="1264">
        <f>3880000-C15</f>
        <v>1990000</v>
      </c>
      <c r="D13" s="1280">
        <v>0</v>
      </c>
      <c r="E13" s="1342"/>
      <c r="F13" s="1343">
        <f t="shared" si="0"/>
        <v>0</v>
      </c>
      <c r="G13" s="1258"/>
    </row>
    <row r="14" spans="1:10" ht="14.1" customHeight="1" x14ac:dyDescent="0.2">
      <c r="A14" s="1263" t="s">
        <v>232</v>
      </c>
      <c r="B14" s="1264">
        <v>1485000</v>
      </c>
      <c r="C14" s="1264">
        <f>1050000-C16</f>
        <v>540000</v>
      </c>
      <c r="D14" s="1280">
        <v>0</v>
      </c>
      <c r="E14" s="1342">
        <f>SUM(D13:D14)</f>
        <v>0</v>
      </c>
      <c r="F14" s="1343">
        <f t="shared" si="0"/>
        <v>0</v>
      </c>
      <c r="G14" s="1258"/>
    </row>
    <row r="15" spans="1:10" ht="14.1" customHeight="1" x14ac:dyDescent="0.2">
      <c r="A15" s="1263" t="s">
        <v>996</v>
      </c>
      <c r="B15" s="1264">
        <v>0</v>
      </c>
      <c r="C15" s="1264">
        <v>1890000</v>
      </c>
      <c r="D15" s="1280">
        <v>1888603</v>
      </c>
      <c r="E15" s="1342"/>
      <c r="F15" s="1343">
        <f t="shared" si="0"/>
        <v>0.99926084656084657</v>
      </c>
      <c r="G15" s="1258"/>
    </row>
    <row r="16" spans="1:10" ht="14.1" customHeight="1" x14ac:dyDescent="0.2">
      <c r="A16" s="1263" t="s">
        <v>232</v>
      </c>
      <c r="B16" s="1264">
        <v>0</v>
      </c>
      <c r="C16" s="1264">
        <v>510000</v>
      </c>
      <c r="D16" s="1280">
        <v>509922</v>
      </c>
      <c r="E16" s="1342">
        <f>SUM(D15:D16)</f>
        <v>2398525</v>
      </c>
      <c r="F16" s="1343">
        <f t="shared" si="0"/>
        <v>0.99984705882352942</v>
      </c>
      <c r="G16" s="1258"/>
    </row>
    <row r="17" spans="1:7" ht="14.1" customHeight="1" x14ac:dyDescent="0.2">
      <c r="A17" s="1263" t="s">
        <v>965</v>
      </c>
      <c r="B17" s="1264">
        <v>5700000</v>
      </c>
      <c r="C17" s="1264">
        <v>5700000</v>
      </c>
      <c r="D17" s="1280">
        <v>4073271</v>
      </c>
      <c r="E17" s="1342"/>
      <c r="F17" s="1343">
        <f t="shared" si="0"/>
        <v>0.71460894736842107</v>
      </c>
      <c r="G17" s="1258"/>
    </row>
    <row r="18" spans="1:7" ht="14.1" customHeight="1" x14ac:dyDescent="0.2">
      <c r="A18" s="1263" t="s">
        <v>232</v>
      </c>
      <c r="B18" s="1264">
        <v>1540000</v>
      </c>
      <c r="C18" s="1264">
        <v>1540000</v>
      </c>
      <c r="D18" s="1280">
        <v>1099783</v>
      </c>
      <c r="E18" s="1342">
        <f>SUM(D17:D18)</f>
        <v>5173054</v>
      </c>
      <c r="F18" s="1343">
        <f t="shared" si="0"/>
        <v>0.71414480519480517</v>
      </c>
      <c r="G18" s="1258"/>
    </row>
    <row r="19" spans="1:7" ht="14.1" customHeight="1" x14ac:dyDescent="0.2">
      <c r="A19" s="1263" t="s">
        <v>966</v>
      </c>
      <c r="B19" s="1266">
        <v>5000000</v>
      </c>
      <c r="C19" s="1266">
        <v>5000000</v>
      </c>
      <c r="D19" s="1282">
        <v>4086300</v>
      </c>
      <c r="E19" s="1279"/>
      <c r="F19" s="1343">
        <f t="shared" si="0"/>
        <v>0.81725999999999999</v>
      </c>
    </row>
    <row r="20" spans="1:7" ht="14.1" customHeight="1" x14ac:dyDescent="0.2">
      <c r="A20" s="1263" t="s">
        <v>232</v>
      </c>
      <c r="B20" s="1266">
        <v>1350000</v>
      </c>
      <c r="C20" s="1266">
        <v>1350000</v>
      </c>
      <c r="D20" s="1282">
        <v>1008936</v>
      </c>
      <c r="E20" s="1279">
        <f>SUM(D19:D20)</f>
        <v>5095236</v>
      </c>
      <c r="F20" s="1343">
        <f t="shared" si="0"/>
        <v>0.74736000000000002</v>
      </c>
    </row>
    <row r="21" spans="1:7" ht="14.1" customHeight="1" x14ac:dyDescent="0.2">
      <c r="A21" s="1263" t="s">
        <v>967</v>
      </c>
      <c r="B21" s="1266">
        <v>0</v>
      </c>
      <c r="C21" s="1266">
        <v>0</v>
      </c>
      <c r="D21" s="1282">
        <v>133100</v>
      </c>
      <c r="E21" s="1279"/>
      <c r="F21" s="1343"/>
    </row>
    <row r="22" spans="1:7" ht="14.1" customHeight="1" x14ac:dyDescent="0.2">
      <c r="A22" s="1263" t="s">
        <v>232</v>
      </c>
      <c r="B22" s="1266">
        <v>0</v>
      </c>
      <c r="C22" s="1266">
        <v>0</v>
      </c>
      <c r="D22" s="1282">
        <v>35937</v>
      </c>
      <c r="E22" s="1279">
        <f>SUM(D21:D22)</f>
        <v>169037</v>
      </c>
      <c r="F22" s="1343"/>
    </row>
    <row r="23" spans="1:7" ht="14.1" customHeight="1" x14ac:dyDescent="0.2">
      <c r="A23" s="1263" t="s">
        <v>968</v>
      </c>
      <c r="B23" s="1266">
        <v>414000</v>
      </c>
      <c r="C23" s="1266">
        <v>414000</v>
      </c>
      <c r="D23" s="1282">
        <v>411269</v>
      </c>
      <c r="E23" s="1279"/>
      <c r="F23" s="1343">
        <f t="shared" ref="F23:F29" si="1">SUM(D23/C23)</f>
        <v>0.99340338164251207</v>
      </c>
    </row>
    <row r="24" spans="1:7" ht="14.1" customHeight="1" x14ac:dyDescent="0.2">
      <c r="A24" s="1263" t="s">
        <v>232</v>
      </c>
      <c r="B24" s="1266">
        <v>112000</v>
      </c>
      <c r="C24" s="1266">
        <v>112000</v>
      </c>
      <c r="D24" s="1282">
        <v>111043</v>
      </c>
      <c r="E24" s="1279">
        <f>SUM(D23:D24)</f>
        <v>522312</v>
      </c>
      <c r="F24" s="1343">
        <f t="shared" si="1"/>
        <v>0.99145535714285715</v>
      </c>
    </row>
    <row r="25" spans="1:7" ht="14.1" customHeight="1" x14ac:dyDescent="0.2">
      <c r="A25" s="1263" t="s">
        <v>969</v>
      </c>
      <c r="B25" s="1266">
        <v>210000</v>
      </c>
      <c r="C25" s="1266">
        <v>210000</v>
      </c>
      <c r="D25" s="1282">
        <v>132921</v>
      </c>
      <c r="E25" s="1279"/>
      <c r="F25" s="1343">
        <f t="shared" si="1"/>
        <v>0.63295714285714288</v>
      </c>
    </row>
    <row r="26" spans="1:7" ht="14.1" customHeight="1" x14ac:dyDescent="0.2">
      <c r="A26" s="1263" t="s">
        <v>232</v>
      </c>
      <c r="B26" s="1266">
        <v>57000</v>
      </c>
      <c r="C26" s="1266">
        <v>57000</v>
      </c>
      <c r="D26" s="1282">
        <v>35889</v>
      </c>
      <c r="E26" s="1279">
        <f>SUM(D25:D26)</f>
        <v>168810</v>
      </c>
      <c r="F26" s="1343">
        <f t="shared" si="1"/>
        <v>0.62963157894736843</v>
      </c>
    </row>
    <row r="27" spans="1:7" ht="14.1" customHeight="1" x14ac:dyDescent="0.2">
      <c r="A27" s="1263" t="s">
        <v>970</v>
      </c>
      <c r="B27" s="1266">
        <v>0</v>
      </c>
      <c r="C27" s="1266">
        <v>900000</v>
      </c>
      <c r="D27" s="1282">
        <v>900000</v>
      </c>
      <c r="E27" s="1279">
        <f>SUM(D27)</f>
        <v>900000</v>
      </c>
      <c r="F27" s="1343">
        <f t="shared" si="1"/>
        <v>1</v>
      </c>
    </row>
    <row r="28" spans="1:7" ht="14.1" customHeight="1" x14ac:dyDescent="0.2">
      <c r="A28" s="1263" t="s">
        <v>971</v>
      </c>
      <c r="B28" s="1266">
        <v>225000</v>
      </c>
      <c r="C28" s="1266">
        <v>225000</v>
      </c>
      <c r="D28" s="1282">
        <v>0</v>
      </c>
      <c r="E28" s="1279"/>
      <c r="F28" s="1343">
        <f t="shared" si="1"/>
        <v>0</v>
      </c>
    </row>
    <row r="29" spans="1:7" ht="14.1" customHeight="1" x14ac:dyDescent="0.2">
      <c r="A29" s="1263" t="s">
        <v>232</v>
      </c>
      <c r="B29" s="1266">
        <v>61000</v>
      </c>
      <c r="C29" s="1266">
        <v>61000</v>
      </c>
      <c r="D29" s="1282">
        <v>0</v>
      </c>
      <c r="E29" s="1279">
        <f>SUM(D28:D29)</f>
        <v>0</v>
      </c>
      <c r="F29" s="1343">
        <f t="shared" si="1"/>
        <v>0</v>
      </c>
    </row>
    <row r="30" spans="1:7" ht="14.1" customHeight="1" x14ac:dyDescent="0.2">
      <c r="A30" s="1263" t="s">
        <v>972</v>
      </c>
      <c r="B30" s="1266">
        <v>0</v>
      </c>
      <c r="C30" s="1266">
        <v>0</v>
      </c>
      <c r="D30" s="1282">
        <v>0</v>
      </c>
      <c r="E30" s="1279"/>
      <c r="F30" s="1343"/>
    </row>
    <row r="31" spans="1:7" ht="14.1" customHeight="1" x14ac:dyDescent="0.2">
      <c r="A31" s="1263" t="s">
        <v>280</v>
      </c>
      <c r="B31" s="1266">
        <v>0</v>
      </c>
      <c r="C31" s="1266">
        <v>100000</v>
      </c>
      <c r="D31" s="1282">
        <v>98347</v>
      </c>
      <c r="E31" s="1279"/>
      <c r="F31" s="1343">
        <f>SUM(D31/C31)</f>
        <v>0.98346999999999996</v>
      </c>
    </row>
    <row r="32" spans="1:7" ht="14.1" customHeight="1" x14ac:dyDescent="0.2">
      <c r="A32" s="1263" t="s">
        <v>232</v>
      </c>
      <c r="B32" s="1266">
        <v>0</v>
      </c>
      <c r="C32" s="1266">
        <v>27000</v>
      </c>
      <c r="D32" s="1282">
        <v>26554</v>
      </c>
      <c r="E32" s="1279">
        <f>SUM(D31:D32)</f>
        <v>124901</v>
      </c>
      <c r="F32" s="1343">
        <f>SUM(D32/C32)</f>
        <v>0.98348148148148151</v>
      </c>
    </row>
    <row r="33" spans="1:6" ht="14.1" customHeight="1" x14ac:dyDescent="0.2">
      <c r="A33" s="1263" t="s">
        <v>973</v>
      </c>
      <c r="B33" s="1266">
        <v>0</v>
      </c>
      <c r="C33" s="1266">
        <v>0</v>
      </c>
      <c r="D33" s="1282">
        <v>127200</v>
      </c>
      <c r="E33" s="1279"/>
      <c r="F33" s="1343"/>
    </row>
    <row r="34" spans="1:6" ht="14.1" customHeight="1" x14ac:dyDescent="0.2">
      <c r="A34" s="1263" t="s">
        <v>232</v>
      </c>
      <c r="B34" s="1266">
        <v>0</v>
      </c>
      <c r="C34" s="1266">
        <v>0</v>
      </c>
      <c r="D34" s="1282">
        <v>34344</v>
      </c>
      <c r="E34" s="1279">
        <f>SUM(D33:D34)</f>
        <v>161544</v>
      </c>
      <c r="F34" s="1343"/>
    </row>
    <row r="35" spans="1:6" ht="14.1" customHeight="1" x14ac:dyDescent="0.2">
      <c r="A35" s="1263" t="s">
        <v>974</v>
      </c>
      <c r="B35" s="1266">
        <v>0</v>
      </c>
      <c r="C35" s="1266">
        <v>53000</v>
      </c>
      <c r="D35" s="1282">
        <v>52800</v>
      </c>
      <c r="E35" s="1279"/>
      <c r="F35" s="1343">
        <f>SUM(D35/C35)</f>
        <v>0.99622641509433962</v>
      </c>
    </row>
    <row r="36" spans="1:6" ht="14.1" customHeight="1" x14ac:dyDescent="0.2">
      <c r="A36" s="1263" t="s">
        <v>232</v>
      </c>
      <c r="B36" s="1266">
        <v>0</v>
      </c>
      <c r="C36" s="1266">
        <v>15000</v>
      </c>
      <c r="D36" s="1282">
        <v>14256</v>
      </c>
      <c r="E36" s="1279">
        <f>SUM(D35:D36)</f>
        <v>67056</v>
      </c>
      <c r="F36" s="1343">
        <f>SUM(D36/C36)</f>
        <v>0.95040000000000002</v>
      </c>
    </row>
    <row r="37" spans="1:6" ht="14.1" customHeight="1" thickBot="1" x14ac:dyDescent="0.25">
      <c r="A37" s="1268" t="s">
        <v>975</v>
      </c>
      <c r="B37" s="1269">
        <f>SUM(B11:B36)</f>
        <v>21654000</v>
      </c>
      <c r="C37" s="1269">
        <f>SUM(C11:C36)</f>
        <v>37419000</v>
      </c>
      <c r="D37" s="1340">
        <f>SUM(D11:D36)</f>
        <v>31191803</v>
      </c>
      <c r="E37" s="1344"/>
      <c r="F37" s="1345">
        <f>SUM(D37/C37)</f>
        <v>0.83358195034608085</v>
      </c>
    </row>
    <row r="38" spans="1:6" ht="14.1" customHeight="1" thickBot="1" x14ac:dyDescent="0.25">
      <c r="A38" s="1378" t="s">
        <v>976</v>
      </c>
      <c r="B38" s="1379"/>
      <c r="C38" s="1379"/>
      <c r="D38" s="1380"/>
      <c r="E38" s="1330"/>
    </row>
    <row r="39" spans="1:6" ht="14.1" customHeight="1" x14ac:dyDescent="0.2">
      <c r="A39" s="1260"/>
      <c r="B39" s="1261" t="s">
        <v>960</v>
      </c>
      <c r="C39" s="1261" t="s">
        <v>961</v>
      </c>
      <c r="D39" s="1262" t="s">
        <v>962</v>
      </c>
      <c r="E39" s="1331"/>
    </row>
    <row r="40" spans="1:6" ht="14.1" customHeight="1" x14ac:dyDescent="0.2">
      <c r="A40" s="1263" t="s">
        <v>977</v>
      </c>
      <c r="B40" s="1271">
        <f>11818000+800000</f>
        <v>12618000</v>
      </c>
      <c r="C40" s="1264">
        <v>0</v>
      </c>
      <c r="D40" s="1265">
        <v>0</v>
      </c>
      <c r="E40" s="1332"/>
    </row>
    <row r="41" spans="1:6" ht="14.1" customHeight="1" x14ac:dyDescent="0.2">
      <c r="A41" s="1263" t="s">
        <v>232</v>
      </c>
      <c r="B41" s="1271">
        <f>SUM(B40)*0.27+140</f>
        <v>3407000</v>
      </c>
      <c r="C41" s="1264">
        <v>0</v>
      </c>
      <c r="D41" s="1265">
        <v>0</v>
      </c>
      <c r="E41" s="1332"/>
    </row>
    <row r="42" spans="1:6" ht="14.1" customHeight="1" x14ac:dyDescent="0.2">
      <c r="A42" s="1272" t="s">
        <v>238</v>
      </c>
      <c r="B42" s="1266">
        <v>1000000</v>
      </c>
      <c r="C42" s="1266">
        <v>0</v>
      </c>
      <c r="D42" s="1267">
        <v>0</v>
      </c>
      <c r="E42" s="1333"/>
    </row>
    <row r="43" spans="1:6" ht="14.1" customHeight="1" x14ac:dyDescent="0.2">
      <c r="A43" s="1272" t="s">
        <v>232</v>
      </c>
      <c r="B43" s="1266">
        <v>270000</v>
      </c>
      <c r="C43" s="1266">
        <v>0</v>
      </c>
      <c r="D43" s="1267">
        <v>0</v>
      </c>
      <c r="E43" s="1333"/>
    </row>
    <row r="44" spans="1:6" ht="14.1" customHeight="1" x14ac:dyDescent="0.2">
      <c r="A44" s="1272" t="s">
        <v>978</v>
      </c>
      <c r="B44" s="1266">
        <v>400000</v>
      </c>
      <c r="C44" s="1266">
        <v>400000</v>
      </c>
      <c r="D44" s="1267">
        <v>0</v>
      </c>
      <c r="E44" s="1333"/>
    </row>
    <row r="45" spans="1:6" ht="14.1" customHeight="1" x14ac:dyDescent="0.2">
      <c r="A45" s="1272" t="s">
        <v>232</v>
      </c>
      <c r="B45" s="1266">
        <v>108000</v>
      </c>
      <c r="C45" s="1266">
        <v>108000</v>
      </c>
      <c r="D45" s="1267">
        <v>0</v>
      </c>
      <c r="E45" s="1333"/>
    </row>
    <row r="46" spans="1:6" ht="14.1" customHeight="1" x14ac:dyDescent="0.2">
      <c r="A46" s="1272" t="s">
        <v>979</v>
      </c>
      <c r="B46" s="1266">
        <v>1850000</v>
      </c>
      <c r="C46" s="1266">
        <v>1850000</v>
      </c>
      <c r="D46" s="1267">
        <v>0</v>
      </c>
      <c r="E46" s="1333"/>
    </row>
    <row r="47" spans="1:6" ht="14.1" customHeight="1" x14ac:dyDescent="0.2">
      <c r="A47" s="1272" t="s">
        <v>232</v>
      </c>
      <c r="B47" s="1266">
        <v>500000</v>
      </c>
      <c r="C47" s="1266">
        <v>500000</v>
      </c>
      <c r="D47" s="1267">
        <v>0</v>
      </c>
      <c r="E47" s="1333"/>
    </row>
    <row r="48" spans="1:6" ht="14.1" customHeight="1" x14ac:dyDescent="0.2">
      <c r="A48" s="1272" t="s">
        <v>980</v>
      </c>
      <c r="B48" s="1266">
        <v>2284000</v>
      </c>
      <c r="C48" s="1266">
        <v>0</v>
      </c>
      <c r="D48" s="1267">
        <v>0</v>
      </c>
      <c r="E48" s="1333"/>
    </row>
    <row r="49" spans="1:6" ht="14.1" customHeight="1" x14ac:dyDescent="0.2">
      <c r="A49" s="1272" t="s">
        <v>232</v>
      </c>
      <c r="B49" s="1266">
        <v>617000</v>
      </c>
      <c r="C49" s="1266">
        <v>0</v>
      </c>
      <c r="D49" s="1267">
        <v>0</v>
      </c>
      <c r="E49" s="1333"/>
    </row>
    <row r="50" spans="1:6" ht="14.1" customHeight="1" x14ac:dyDescent="0.2">
      <c r="A50" s="1272" t="s">
        <v>242</v>
      </c>
      <c r="B50" s="1266">
        <v>1500000</v>
      </c>
      <c r="C50" s="1266">
        <v>0</v>
      </c>
      <c r="D50" s="1267">
        <v>0</v>
      </c>
      <c r="E50" s="1333"/>
    </row>
    <row r="51" spans="1:6" ht="14.1" customHeight="1" x14ac:dyDescent="0.2">
      <c r="A51" s="1272" t="s">
        <v>232</v>
      </c>
      <c r="B51" s="1266">
        <v>405000</v>
      </c>
      <c r="C51" s="1266">
        <v>0</v>
      </c>
      <c r="D51" s="1267">
        <v>0</v>
      </c>
      <c r="E51" s="1333"/>
    </row>
    <row r="52" spans="1:6" ht="14.1" customHeight="1" x14ac:dyDescent="0.2">
      <c r="A52" s="1272" t="s">
        <v>981</v>
      </c>
      <c r="B52" s="1266">
        <v>600000</v>
      </c>
      <c r="C52" s="1266">
        <v>657000</v>
      </c>
      <c r="D52" s="1267">
        <v>655024</v>
      </c>
      <c r="E52" s="1333"/>
      <c r="F52" s="1329">
        <f>SUM(D52/C52)</f>
        <v>0.99699238964992387</v>
      </c>
    </row>
    <row r="53" spans="1:6" ht="14.1" customHeight="1" x14ac:dyDescent="0.2">
      <c r="A53" s="1272" t="s">
        <v>232</v>
      </c>
      <c r="B53" s="1266">
        <v>162000</v>
      </c>
      <c r="C53" s="1266">
        <v>180000</v>
      </c>
      <c r="D53" s="1267">
        <v>176857</v>
      </c>
      <c r="E53" s="1333">
        <f>SUM(D52:D53)</f>
        <v>831881</v>
      </c>
      <c r="F53" s="1329">
        <f>SUM(D53/C53)</f>
        <v>0.98253888888888885</v>
      </c>
    </row>
    <row r="54" spans="1:6" ht="14.1" customHeight="1" x14ac:dyDescent="0.2">
      <c r="A54" s="1272" t="s">
        <v>982</v>
      </c>
      <c r="B54" s="1266">
        <v>0</v>
      </c>
      <c r="C54" s="1266">
        <v>614600</v>
      </c>
      <c r="D54" s="1267">
        <v>614600</v>
      </c>
      <c r="E54" s="1333">
        <f>SUM(D54)</f>
        <v>614600</v>
      </c>
      <c r="F54" s="1329">
        <f>SUM(D54/C54)</f>
        <v>1</v>
      </c>
    </row>
    <row r="55" spans="1:6" ht="14.1" customHeight="1" thickBot="1" x14ac:dyDescent="0.25">
      <c r="A55" s="1268" t="s">
        <v>975</v>
      </c>
      <c r="B55" s="1269">
        <f>SUM(B40:B54)</f>
        <v>25721000</v>
      </c>
      <c r="C55" s="1269">
        <f>SUM(C40:C54)</f>
        <v>4309600</v>
      </c>
      <c r="D55" s="1270">
        <f>SUM(D40:D54)</f>
        <v>1446481</v>
      </c>
      <c r="E55" s="1334"/>
      <c r="F55" s="1329">
        <f>SUM(D55/C55)</f>
        <v>0.33564159086690182</v>
      </c>
    </row>
    <row r="56" spans="1:6" ht="14.1" customHeight="1" x14ac:dyDescent="0.2">
      <c r="B56" s="1273"/>
      <c r="C56" s="1273"/>
      <c r="D56" s="1273"/>
      <c r="E56" s="1273"/>
    </row>
  </sheetData>
  <mergeCells count="6">
    <mergeCell ref="A1:D1"/>
    <mergeCell ref="A3:D3"/>
    <mergeCell ref="A4:D4"/>
    <mergeCell ref="A38:D38"/>
    <mergeCell ref="A8:F8"/>
    <mergeCell ref="A9:F9"/>
  </mergeCells>
  <pageMargins left="1.1023622047244095" right="0.31496062992125984" top="0.74803149606299213" bottom="0.74803149606299213" header="0.31496062992125984" footer="0.31496062992125984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1"/>
  <sheetViews>
    <sheetView zoomScaleNormal="100" workbookViewId="0">
      <selection activeCell="N22" sqref="N22"/>
    </sheetView>
  </sheetViews>
  <sheetFormatPr defaultRowHeight="12.75" x14ac:dyDescent="0.2"/>
  <cols>
    <col min="1" max="1" width="46.42578125" bestFit="1" customWidth="1"/>
    <col min="2" max="4" width="15.7109375" customWidth="1"/>
    <col min="5" max="5" width="14.85546875" customWidth="1"/>
    <col min="6" max="6" width="15.140625" customWidth="1"/>
    <col min="7" max="7" width="14.140625" customWidth="1"/>
    <col min="8" max="8" width="14.5703125" customWidth="1"/>
    <col min="9" max="9" width="12.85546875" customWidth="1"/>
    <col min="11" max="11" width="11.42578125" bestFit="1" customWidth="1"/>
  </cols>
  <sheetData>
    <row r="1" spans="1:11" ht="14.1" customHeight="1" x14ac:dyDescent="0.2">
      <c r="A1" s="1372" t="s">
        <v>1010</v>
      </c>
      <c r="B1" s="1386"/>
      <c r="C1" s="1386"/>
      <c r="D1" s="1386"/>
      <c r="E1" s="1386"/>
      <c r="F1" s="1386"/>
      <c r="G1" s="1386"/>
      <c r="H1" s="1386"/>
      <c r="I1" s="1386"/>
    </row>
    <row r="2" spans="1:11" ht="14.1" customHeight="1" x14ac:dyDescent="0.2">
      <c r="A2" s="1255"/>
      <c r="B2" s="1255"/>
      <c r="C2" s="1256"/>
      <c r="D2" s="1256"/>
      <c r="E2" s="1257"/>
      <c r="F2" s="1257"/>
      <c r="G2" s="1257"/>
      <c r="H2" s="1257"/>
      <c r="I2" s="1258"/>
    </row>
    <row r="3" spans="1:11" ht="14.1" customHeight="1" x14ac:dyDescent="0.2">
      <c r="A3" s="1387" t="s">
        <v>957</v>
      </c>
      <c r="B3" s="1387"/>
      <c r="C3" s="1387"/>
      <c r="D3" s="1387"/>
      <c r="E3" s="1387"/>
      <c r="F3" s="1387"/>
      <c r="G3" s="1387"/>
      <c r="H3" s="1387"/>
      <c r="I3" s="1387"/>
    </row>
    <row r="4" spans="1:11" ht="14.1" customHeight="1" x14ac:dyDescent="0.2">
      <c r="A4" s="1376" t="s">
        <v>958</v>
      </c>
      <c r="B4" s="1376"/>
      <c r="C4" s="1376"/>
      <c r="D4" s="1376"/>
      <c r="E4" s="1376"/>
      <c r="F4" s="1376"/>
      <c r="G4" s="1376"/>
      <c r="H4" s="1376"/>
      <c r="I4" s="1376"/>
    </row>
    <row r="5" spans="1:11" ht="14.1" customHeight="1" x14ac:dyDescent="0.2">
      <c r="A5" s="1259"/>
      <c r="B5" s="1259"/>
      <c r="C5" s="1259"/>
      <c r="D5" s="1259"/>
      <c r="E5" s="1259"/>
      <c r="F5" s="1259"/>
      <c r="G5" s="1259"/>
      <c r="H5" s="1259"/>
      <c r="I5" s="1259"/>
    </row>
    <row r="6" spans="1:11" ht="14.1" customHeight="1" thickBot="1" x14ac:dyDescent="0.25">
      <c r="B6" s="1273"/>
      <c r="C6" s="1273"/>
      <c r="D6" s="1273"/>
    </row>
    <row r="7" spans="1:11" ht="14.1" customHeight="1" thickBot="1" x14ac:dyDescent="0.3">
      <c r="A7" s="1388" t="s">
        <v>138</v>
      </c>
      <c r="B7" s="1389"/>
      <c r="C7" s="1389"/>
      <c r="D7" s="1389"/>
      <c r="E7" s="1389"/>
      <c r="F7" s="1389"/>
      <c r="G7" s="1389"/>
      <c r="H7" s="1389"/>
      <c r="I7" s="1390"/>
    </row>
    <row r="8" spans="1:11" ht="14.1" customHeight="1" thickBot="1" x14ac:dyDescent="0.25">
      <c r="A8" s="1378" t="s">
        <v>959</v>
      </c>
      <c r="B8" s="1379"/>
      <c r="C8" s="1379"/>
      <c r="D8" s="1379"/>
      <c r="E8" s="1379"/>
      <c r="F8" s="1379"/>
      <c r="G8" s="1379"/>
      <c r="H8" s="1379"/>
      <c r="I8" s="1385"/>
    </row>
    <row r="9" spans="1:11" ht="14.1" customHeight="1" x14ac:dyDescent="0.2">
      <c r="A9" s="1391"/>
      <c r="B9" s="1393" t="s">
        <v>983</v>
      </c>
      <c r="C9" s="1394"/>
      <c r="D9" s="1394"/>
      <c r="E9" s="1395"/>
      <c r="F9" s="1393" t="s">
        <v>984</v>
      </c>
      <c r="G9" s="1394"/>
      <c r="H9" s="1394"/>
      <c r="I9" s="1396"/>
    </row>
    <row r="10" spans="1:11" ht="14.1" customHeight="1" x14ac:dyDescent="0.2">
      <c r="A10" s="1392"/>
      <c r="B10" s="1274" t="s">
        <v>985</v>
      </c>
      <c r="C10" s="1275" t="s">
        <v>960</v>
      </c>
      <c r="D10" s="1275" t="s">
        <v>961</v>
      </c>
      <c r="E10" s="1276" t="s">
        <v>962</v>
      </c>
      <c r="F10" s="1274" t="s">
        <v>985</v>
      </c>
      <c r="G10" s="1275" t="s">
        <v>960</v>
      </c>
      <c r="H10" s="1275" t="s">
        <v>961</v>
      </c>
      <c r="I10" s="1277" t="s">
        <v>962</v>
      </c>
    </row>
    <row r="11" spans="1:11" ht="14.1" customHeight="1" x14ac:dyDescent="0.2">
      <c r="A11" s="1278" t="s">
        <v>963</v>
      </c>
      <c r="B11" s="1279">
        <v>7500000</v>
      </c>
      <c r="C11" s="1264">
        <v>2500000</v>
      </c>
      <c r="D11" s="1264">
        <v>2500000</v>
      </c>
      <c r="E11" s="1280">
        <v>0</v>
      </c>
      <c r="F11" s="1279">
        <v>0</v>
      </c>
      <c r="G11" s="1264">
        <v>0</v>
      </c>
      <c r="H11" s="1264">
        <v>0</v>
      </c>
      <c r="I11" s="1265">
        <v>0</v>
      </c>
    </row>
    <row r="12" spans="1:11" ht="14.1" customHeight="1" x14ac:dyDescent="0.2">
      <c r="A12" s="1278" t="s">
        <v>964</v>
      </c>
      <c r="B12" s="1279">
        <v>0</v>
      </c>
      <c r="C12" s="1264">
        <v>0</v>
      </c>
      <c r="D12" s="1264">
        <v>0</v>
      </c>
      <c r="E12" s="1280">
        <v>0</v>
      </c>
      <c r="F12" s="1279">
        <v>16207794</v>
      </c>
      <c r="G12" s="1264">
        <v>0</v>
      </c>
      <c r="H12" s="1264">
        <v>0</v>
      </c>
      <c r="I12" s="1265">
        <v>0</v>
      </c>
    </row>
    <row r="13" spans="1:11" ht="14.1" customHeight="1" x14ac:dyDescent="0.2">
      <c r="A13" s="1278" t="s">
        <v>965</v>
      </c>
      <c r="B13" s="1279">
        <v>0</v>
      </c>
      <c r="C13" s="1264">
        <v>3500000</v>
      </c>
      <c r="D13" s="1264">
        <v>3500000</v>
      </c>
      <c r="E13" s="1280">
        <v>3499998</v>
      </c>
      <c r="F13" s="1279">
        <v>0</v>
      </c>
      <c r="G13" s="1264">
        <v>0</v>
      </c>
      <c r="H13" s="1264">
        <v>0</v>
      </c>
      <c r="I13" s="1265">
        <v>0</v>
      </c>
      <c r="J13" s="1281"/>
    </row>
    <row r="14" spans="1:11" ht="14.1" customHeight="1" x14ac:dyDescent="0.2">
      <c r="A14" s="1278" t="s">
        <v>966</v>
      </c>
      <c r="B14" s="1279">
        <v>4996430</v>
      </c>
      <c r="C14" s="1266">
        <v>0</v>
      </c>
      <c r="D14" s="1266">
        <v>0</v>
      </c>
      <c r="E14" s="1282">
        <v>0</v>
      </c>
      <c r="F14" s="1279">
        <v>0</v>
      </c>
      <c r="G14" s="1266">
        <v>0</v>
      </c>
      <c r="H14" s="1266">
        <v>0</v>
      </c>
      <c r="I14" s="1267">
        <v>0</v>
      </c>
    </row>
    <row r="15" spans="1:11" ht="14.1" customHeight="1" x14ac:dyDescent="0.2">
      <c r="A15" s="1278" t="s">
        <v>967</v>
      </c>
      <c r="B15" s="1279">
        <v>0</v>
      </c>
      <c r="C15" s="1266">
        <v>0</v>
      </c>
      <c r="D15" s="1266">
        <v>0</v>
      </c>
      <c r="E15" s="1282">
        <v>0</v>
      </c>
      <c r="F15" s="1279">
        <v>0</v>
      </c>
      <c r="G15" s="1266">
        <v>0</v>
      </c>
      <c r="H15" s="1266">
        <v>0</v>
      </c>
      <c r="I15" s="1267">
        <v>86995</v>
      </c>
    </row>
    <row r="16" spans="1:11" ht="14.1" customHeight="1" x14ac:dyDescent="0.2">
      <c r="A16" s="1278" t="s">
        <v>968</v>
      </c>
      <c r="B16" s="1279">
        <v>0</v>
      </c>
      <c r="C16" s="1266">
        <v>0</v>
      </c>
      <c r="D16" s="1266">
        <v>0</v>
      </c>
      <c r="E16" s="1282">
        <v>0</v>
      </c>
      <c r="F16" s="1279">
        <v>0</v>
      </c>
      <c r="G16" s="1266">
        <v>524000</v>
      </c>
      <c r="H16" s="1266">
        <v>524000</v>
      </c>
      <c r="I16" s="1267">
        <v>395999</v>
      </c>
      <c r="K16" s="1273"/>
    </row>
    <row r="17" spans="1:9" ht="14.1" customHeight="1" thickBot="1" x14ac:dyDescent="0.25">
      <c r="A17" s="1283" t="s">
        <v>972</v>
      </c>
      <c r="B17" s="1284">
        <v>0</v>
      </c>
      <c r="C17" s="1285">
        <v>1805000</v>
      </c>
      <c r="D17" s="1285">
        <v>1805000</v>
      </c>
      <c r="E17" s="1286">
        <v>0</v>
      </c>
      <c r="F17" s="1284">
        <v>0</v>
      </c>
      <c r="G17" s="1285">
        <v>0</v>
      </c>
      <c r="H17" s="1285">
        <v>0</v>
      </c>
      <c r="I17" s="1287">
        <v>0</v>
      </c>
    </row>
    <row r="18" spans="1:9" ht="14.1" customHeight="1" thickBot="1" x14ac:dyDescent="0.25">
      <c r="A18" s="1288" t="s">
        <v>975</v>
      </c>
      <c r="B18" s="1289">
        <f t="shared" ref="B18:I18" si="0">SUM(B11:B17)</f>
        <v>12496430</v>
      </c>
      <c r="C18" s="1290">
        <f t="shared" si="0"/>
        <v>7805000</v>
      </c>
      <c r="D18" s="1290">
        <f t="shared" si="0"/>
        <v>7805000</v>
      </c>
      <c r="E18" s="1291">
        <f t="shared" si="0"/>
        <v>3499998</v>
      </c>
      <c r="F18" s="1289">
        <f t="shared" si="0"/>
        <v>16207794</v>
      </c>
      <c r="G18" s="1290">
        <f t="shared" si="0"/>
        <v>524000</v>
      </c>
      <c r="H18" s="1290">
        <f t="shared" si="0"/>
        <v>524000</v>
      </c>
      <c r="I18" s="1292">
        <f t="shared" si="0"/>
        <v>482994</v>
      </c>
    </row>
    <row r="19" spans="1:9" ht="14.1" customHeight="1" thickBot="1" x14ac:dyDescent="0.25">
      <c r="A19" s="1378" t="s">
        <v>959</v>
      </c>
      <c r="B19" s="1379"/>
      <c r="C19" s="1379"/>
      <c r="D19" s="1379"/>
      <c r="E19" s="1379"/>
      <c r="F19" s="1379"/>
      <c r="G19" s="1379"/>
      <c r="H19" s="1379"/>
      <c r="I19" s="1385"/>
    </row>
    <row r="20" spans="1:9" ht="14.1" customHeight="1" x14ac:dyDescent="0.2">
      <c r="A20" s="1401"/>
      <c r="B20" s="1393" t="s">
        <v>983</v>
      </c>
      <c r="C20" s="1394"/>
      <c r="D20" s="1394"/>
      <c r="E20" s="1396"/>
      <c r="F20" s="1393" t="s">
        <v>984</v>
      </c>
      <c r="G20" s="1394"/>
      <c r="H20" s="1394"/>
      <c r="I20" s="1396"/>
    </row>
    <row r="21" spans="1:9" ht="14.1" customHeight="1" x14ac:dyDescent="0.2">
      <c r="A21" s="1402"/>
      <c r="B21" s="1274" t="s">
        <v>985</v>
      </c>
      <c r="C21" s="1275" t="s">
        <v>960</v>
      </c>
      <c r="D21" s="1275" t="s">
        <v>961</v>
      </c>
      <c r="E21" s="1277" t="s">
        <v>962</v>
      </c>
      <c r="F21" s="1274" t="s">
        <v>985</v>
      </c>
      <c r="G21" s="1275" t="s">
        <v>960</v>
      </c>
      <c r="H21" s="1275" t="s">
        <v>961</v>
      </c>
      <c r="I21" s="1277" t="s">
        <v>962</v>
      </c>
    </row>
    <row r="22" spans="1:9" ht="14.1" customHeight="1" thickBot="1" x14ac:dyDescent="0.25">
      <c r="A22" s="1293" t="s">
        <v>979</v>
      </c>
      <c r="B22" s="1284">
        <v>0</v>
      </c>
      <c r="C22" s="1285">
        <v>0</v>
      </c>
      <c r="D22" s="1285">
        <v>0</v>
      </c>
      <c r="E22" s="1287">
        <v>0</v>
      </c>
      <c r="F22" s="1284">
        <v>0</v>
      </c>
      <c r="G22" s="1285">
        <v>1205000</v>
      </c>
      <c r="H22" s="1285">
        <v>1205000</v>
      </c>
      <c r="I22" s="1287">
        <v>0</v>
      </c>
    </row>
    <row r="23" spans="1:9" ht="14.1" customHeight="1" thickBot="1" x14ac:dyDescent="0.25">
      <c r="A23" s="1288" t="s">
        <v>975</v>
      </c>
      <c r="B23" s="1289">
        <f t="shared" ref="B23:I23" si="1">SUM(B22)</f>
        <v>0</v>
      </c>
      <c r="C23" s="1290">
        <f t="shared" si="1"/>
        <v>0</v>
      </c>
      <c r="D23" s="1290">
        <f t="shared" si="1"/>
        <v>0</v>
      </c>
      <c r="E23" s="1292">
        <f t="shared" si="1"/>
        <v>0</v>
      </c>
      <c r="F23" s="1289">
        <f t="shared" si="1"/>
        <v>0</v>
      </c>
      <c r="G23" s="1290">
        <f t="shared" si="1"/>
        <v>1205000</v>
      </c>
      <c r="H23" s="1290">
        <f t="shared" si="1"/>
        <v>1205000</v>
      </c>
      <c r="I23" s="1292">
        <f t="shared" si="1"/>
        <v>0</v>
      </c>
    </row>
    <row r="24" spans="1:9" ht="14.1" customHeight="1" x14ac:dyDescent="0.2">
      <c r="A24" s="920"/>
      <c r="B24" s="1294"/>
      <c r="C24" s="1294"/>
      <c r="D24" s="1294"/>
      <c r="E24" s="1294"/>
      <c r="F24" s="1294"/>
      <c r="G24" s="1294"/>
      <c r="H24" s="1294"/>
      <c r="I24" s="1294"/>
    </row>
    <row r="25" spans="1:9" ht="14.1" customHeight="1" x14ac:dyDescent="0.2">
      <c r="A25" s="1403" t="s">
        <v>164</v>
      </c>
      <c r="B25" s="1403"/>
      <c r="C25" s="1403"/>
      <c r="D25" s="1403"/>
      <c r="E25" s="1403"/>
      <c r="F25" s="1403"/>
      <c r="G25" s="1403"/>
      <c r="H25" s="1403"/>
      <c r="I25" s="1403"/>
    </row>
    <row r="26" spans="1:9" ht="14.1" customHeight="1" x14ac:dyDescent="0.25">
      <c r="A26" s="1206"/>
      <c r="B26" s="1206"/>
      <c r="C26" s="1206"/>
      <c r="D26" s="1206"/>
      <c r="E26" s="1206"/>
    </row>
    <row r="27" spans="1:9" ht="14.1" customHeight="1" x14ac:dyDescent="0.2">
      <c r="A27" s="1404" t="s">
        <v>986</v>
      </c>
      <c r="B27" s="1404"/>
      <c r="C27" s="1404"/>
      <c r="D27" s="1404"/>
      <c r="E27" s="1404"/>
      <c r="F27" s="1404"/>
      <c r="G27" s="1404"/>
      <c r="H27" s="1404"/>
      <c r="I27" s="1404"/>
    </row>
    <row r="28" spans="1:9" ht="14.1" customHeight="1" thickBot="1" x14ac:dyDescent="0.25">
      <c r="A28" s="1295"/>
      <c r="B28" s="1295"/>
      <c r="C28" s="1295"/>
      <c r="D28" s="1295"/>
      <c r="E28" s="1295"/>
      <c r="F28" s="1295"/>
      <c r="G28" s="1295"/>
      <c r="H28" s="1295"/>
      <c r="I28" s="1295"/>
    </row>
    <row r="29" spans="1:9" ht="14.1" customHeight="1" x14ac:dyDescent="0.2">
      <c r="A29" s="1397"/>
      <c r="B29" s="1399" t="s">
        <v>139</v>
      </c>
      <c r="C29" s="1399"/>
      <c r="D29" s="1400"/>
    </row>
    <row r="30" spans="1:9" ht="14.1" customHeight="1" thickBot="1" x14ac:dyDescent="0.25">
      <c r="A30" s="1398"/>
      <c r="B30" s="1296" t="s">
        <v>137</v>
      </c>
      <c r="C30" s="1296" t="s">
        <v>273</v>
      </c>
      <c r="D30" s="1297" t="s">
        <v>274</v>
      </c>
    </row>
    <row r="31" spans="1:9" ht="14.1" customHeight="1" x14ac:dyDescent="0.2">
      <c r="A31" s="1298" t="s">
        <v>133</v>
      </c>
      <c r="B31" s="1299">
        <v>1000000</v>
      </c>
      <c r="C31" s="1299">
        <v>1200000</v>
      </c>
      <c r="D31" s="1300">
        <v>1200000</v>
      </c>
    </row>
    <row r="32" spans="1:9" ht="14.1" customHeight="1" x14ac:dyDescent="0.2">
      <c r="A32" s="1301" t="s">
        <v>239</v>
      </c>
      <c r="B32" s="1266">
        <v>0</v>
      </c>
      <c r="C32" s="1266">
        <v>587000</v>
      </c>
      <c r="D32" s="1267">
        <v>573986</v>
      </c>
    </row>
    <row r="33" spans="1:9" ht="14.1" customHeight="1" thickBot="1" x14ac:dyDescent="0.25">
      <c r="A33" s="1302" t="s">
        <v>240</v>
      </c>
      <c r="B33" s="1285">
        <v>2502000</v>
      </c>
      <c r="C33" s="1285">
        <v>1915000</v>
      </c>
      <c r="D33" s="1287">
        <v>0</v>
      </c>
    </row>
    <row r="34" spans="1:9" ht="14.1" customHeight="1" thickBot="1" x14ac:dyDescent="0.25">
      <c r="A34" s="1303" t="s">
        <v>975</v>
      </c>
      <c r="B34" s="1290">
        <f>SUM(B31:B33)</f>
        <v>3502000</v>
      </c>
      <c r="C34" s="1290">
        <f>SUM(C31:C33)</f>
        <v>3702000</v>
      </c>
      <c r="D34" s="1292">
        <f>SUM(D31:D33)</f>
        <v>1773986</v>
      </c>
    </row>
    <row r="35" spans="1:9" ht="14.1" customHeight="1" x14ac:dyDescent="0.2">
      <c r="A35" s="1397"/>
      <c r="B35" s="1399" t="s">
        <v>987</v>
      </c>
      <c r="C35" s="1399"/>
      <c r="D35" s="1400"/>
      <c r="E35" s="1273"/>
      <c r="F35" s="1273"/>
      <c r="G35" s="1273"/>
    </row>
    <row r="36" spans="1:9" ht="14.1" customHeight="1" thickBot="1" x14ac:dyDescent="0.25">
      <c r="A36" s="1398"/>
      <c r="B36" s="1296" t="s">
        <v>137</v>
      </c>
      <c r="C36" s="1296" t="s">
        <v>273</v>
      </c>
      <c r="D36" s="1297" t="s">
        <v>274</v>
      </c>
      <c r="E36" s="1273"/>
      <c r="F36" s="1273"/>
      <c r="G36" s="1273"/>
    </row>
    <row r="37" spans="1:9" ht="14.1" customHeight="1" x14ac:dyDescent="0.2">
      <c r="A37" s="1298" t="s">
        <v>133</v>
      </c>
      <c r="B37" s="1299">
        <v>840000</v>
      </c>
      <c r="C37" s="1299">
        <v>840000</v>
      </c>
      <c r="D37" s="1300">
        <v>800000</v>
      </c>
    </row>
    <row r="38" spans="1:9" ht="14.1" customHeight="1" x14ac:dyDescent="0.2">
      <c r="A38" s="1301" t="s">
        <v>262</v>
      </c>
      <c r="B38" s="1266">
        <v>2400000</v>
      </c>
      <c r="C38" s="1266">
        <v>2400000</v>
      </c>
      <c r="D38" s="1267">
        <v>2399998</v>
      </c>
    </row>
    <row r="39" spans="1:9" ht="14.1" customHeight="1" x14ac:dyDescent="0.2">
      <c r="A39" s="1304" t="s">
        <v>240</v>
      </c>
      <c r="B39" s="1266">
        <v>1915000</v>
      </c>
      <c r="C39" s="1266">
        <v>1915000</v>
      </c>
      <c r="D39" s="1267">
        <v>0</v>
      </c>
    </row>
    <row r="40" spans="1:9" ht="14.1" customHeight="1" thickBot="1" x14ac:dyDescent="0.25">
      <c r="A40" s="1305" t="s">
        <v>988</v>
      </c>
      <c r="B40" s="1285">
        <v>0</v>
      </c>
      <c r="C40" s="1285">
        <v>600000</v>
      </c>
      <c r="D40" s="1287">
        <v>600000</v>
      </c>
    </row>
    <row r="41" spans="1:9" ht="14.1" customHeight="1" thickBot="1" x14ac:dyDescent="0.25">
      <c r="A41" s="1303" t="s">
        <v>975</v>
      </c>
      <c r="B41" s="1290">
        <f>SUM(B37:B40)</f>
        <v>5155000</v>
      </c>
      <c r="C41" s="1290">
        <f>SUM(C37:C40)</f>
        <v>5755000</v>
      </c>
      <c r="D41" s="1292">
        <f>SUM(D37:D40)</f>
        <v>3799998</v>
      </c>
    </row>
    <row r="42" spans="1:9" ht="14.1" customHeight="1" x14ac:dyDescent="0.2"/>
    <row r="43" spans="1:9" ht="14.1" customHeight="1" x14ac:dyDescent="0.2">
      <c r="A43" s="1376" t="s">
        <v>989</v>
      </c>
      <c r="B43" s="1376"/>
      <c r="C43" s="1376"/>
      <c r="D43" s="1376"/>
      <c r="E43" s="1376"/>
      <c r="F43" s="1376"/>
      <c r="G43" s="1376"/>
      <c r="H43" s="1376"/>
      <c r="I43" s="1376"/>
    </row>
    <row r="44" spans="1:9" ht="14.1" customHeight="1" thickBot="1" x14ac:dyDescent="0.25"/>
    <row r="45" spans="1:9" ht="14.1" customHeight="1" thickBot="1" x14ac:dyDescent="0.25">
      <c r="A45" s="1306"/>
      <c r="B45" s="1307" t="s">
        <v>137</v>
      </c>
      <c r="C45" s="1308" t="s">
        <v>273</v>
      </c>
    </row>
    <row r="46" spans="1:9" ht="14.1" customHeight="1" x14ac:dyDescent="0.2">
      <c r="A46" s="1309" t="s">
        <v>743</v>
      </c>
      <c r="B46" s="1310">
        <v>9627794</v>
      </c>
      <c r="C46" s="1311">
        <v>15769052</v>
      </c>
    </row>
    <row r="47" spans="1:9" ht="14.1" customHeight="1" x14ac:dyDescent="0.2">
      <c r="A47" s="1312" t="s">
        <v>744</v>
      </c>
      <c r="B47" s="1073">
        <v>5964021</v>
      </c>
      <c r="C47" s="1313">
        <f>23022613-C46</f>
        <v>7253561</v>
      </c>
    </row>
    <row r="48" spans="1:9" ht="14.1" customHeight="1" x14ac:dyDescent="0.2">
      <c r="A48" s="1314" t="s">
        <v>195</v>
      </c>
      <c r="B48" s="1266">
        <v>58928098</v>
      </c>
      <c r="C48" s="1267">
        <v>0</v>
      </c>
    </row>
    <row r="49" spans="1:3" ht="14.1" customHeight="1" thickBot="1" x14ac:dyDescent="0.25">
      <c r="A49" s="1315" t="s">
        <v>990</v>
      </c>
      <c r="B49" s="1285">
        <v>0</v>
      </c>
      <c r="C49" s="1287">
        <v>60000000</v>
      </c>
    </row>
    <row r="50" spans="1:3" ht="26.25" thickBot="1" x14ac:dyDescent="0.25">
      <c r="A50" s="1316" t="s">
        <v>991</v>
      </c>
      <c r="B50" s="1290">
        <f>SUM(B47:B49)</f>
        <v>64892119</v>
      </c>
      <c r="C50" s="1292">
        <f>SUM(C47:C49)</f>
        <v>67253561</v>
      </c>
    </row>
    <row r="51" spans="1:3" ht="15" customHeight="1" x14ac:dyDescent="0.2">
      <c r="B51" s="1273"/>
      <c r="C51" s="1273"/>
    </row>
  </sheetData>
  <mergeCells count="19">
    <mergeCell ref="A35:A36"/>
    <mergeCell ref="B35:D35"/>
    <mergeCell ref="A43:I43"/>
    <mergeCell ref="A20:A21"/>
    <mergeCell ref="B20:E20"/>
    <mergeCell ref="F20:I20"/>
    <mergeCell ref="A25:I25"/>
    <mergeCell ref="A27:I27"/>
    <mergeCell ref="A29:A30"/>
    <mergeCell ref="B29:D29"/>
    <mergeCell ref="A19:I19"/>
    <mergeCell ref="A1:I1"/>
    <mergeCell ref="A3:I3"/>
    <mergeCell ref="A4:I4"/>
    <mergeCell ref="A7:I7"/>
    <mergeCell ref="A8:I8"/>
    <mergeCell ref="A9:A10"/>
    <mergeCell ref="B9:E9"/>
    <mergeCell ref="F9:I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20</vt:i4>
      </vt:variant>
      <vt:variant>
        <vt:lpstr>Névvel ellátott tartományok</vt:lpstr>
      </vt:variant>
      <vt:variant>
        <vt:i4>18</vt:i4>
      </vt:variant>
    </vt:vector>
  </HeadingPairs>
  <TitlesOfParts>
    <vt:vector size="38" baseType="lpstr">
      <vt:lpstr>1.sz.mell  Mérleg SBÖNK</vt:lpstr>
      <vt:lpstr>2. meléklet normatva</vt:lpstr>
      <vt:lpstr>3.sz.mérleg  KH </vt:lpstr>
      <vt:lpstr>4.a sz mell. óvoda összevont</vt:lpstr>
      <vt:lpstr>4.bsz mell. mérleg óvoda rész</vt:lpstr>
      <vt:lpstr>5.sz.mell Mérleg Társulás</vt:lpstr>
      <vt:lpstr>6. létszámos önk összevont</vt:lpstr>
      <vt:lpstr>7. felhalmozás SB Kiadás</vt:lpstr>
      <vt:lpstr>7. felhalmozás SBBevétel</vt:lpstr>
      <vt:lpstr> 8.a. Hitel és stabilitás</vt:lpstr>
      <vt:lpstr>8 .b.többéves </vt:lpstr>
      <vt:lpstr>9.sz.m.Közvetett</vt:lpstr>
      <vt:lpstr>10 .melléklet  Közösen fenntart</vt:lpstr>
      <vt:lpstr>11. maradvány</vt:lpstr>
      <vt:lpstr>12. vagyon</vt:lpstr>
      <vt:lpstr>1 függelék SB</vt:lpstr>
      <vt:lpstr>2. függ. KHCofogosForgalmiKim</vt:lpstr>
      <vt:lpstr>3 függelék  CofogosForg.GDO SBO</vt:lpstr>
      <vt:lpstr>3 füg.Cofogos Konyha</vt:lpstr>
      <vt:lpstr>4 CofForgalmi  Társulás</vt:lpstr>
      <vt:lpstr>' 8.a. Hitel és stabilitás'!Nyomtatási_terület</vt:lpstr>
      <vt:lpstr>'1 függelék SB'!Nyomtatási_terület</vt:lpstr>
      <vt:lpstr>'1.sz.mell  Mérleg SBÖNK'!Nyomtatási_terület</vt:lpstr>
      <vt:lpstr>'10 .melléklet  Közösen fenntart'!Nyomtatási_terület</vt:lpstr>
      <vt:lpstr>'12. vagyon'!Nyomtatási_terület</vt:lpstr>
      <vt:lpstr>'2. függ. KHCofogosForgalmiKim'!Nyomtatási_terület</vt:lpstr>
      <vt:lpstr>'2. meléklet normatva'!Nyomtatási_terület</vt:lpstr>
      <vt:lpstr>'3 füg.Cofogos Konyha'!Nyomtatási_terület</vt:lpstr>
      <vt:lpstr>'3 függelék  CofogosForg.GDO SBO'!Nyomtatási_terület</vt:lpstr>
      <vt:lpstr>'3.sz.mérleg  KH '!Nyomtatási_terület</vt:lpstr>
      <vt:lpstr>'4 CofForgalmi  Társulás'!Nyomtatási_terület</vt:lpstr>
      <vt:lpstr>'4.a sz mell. óvoda összevont'!Nyomtatási_terület</vt:lpstr>
      <vt:lpstr>'4.bsz mell. mérleg óvoda rész'!Nyomtatási_terület</vt:lpstr>
      <vt:lpstr>'5.sz.mell Mérleg Társulás'!Nyomtatási_terület</vt:lpstr>
      <vt:lpstr>'6. létszámos önk összevont'!Nyomtatási_terület</vt:lpstr>
      <vt:lpstr>'7. felhalmozás SB Kiadás'!Nyomtatási_terület</vt:lpstr>
      <vt:lpstr>'8 .b.többéves '!Nyomtatási_terület</vt:lpstr>
      <vt:lpstr>'9.sz.m.Közvetett'!Nyomtatási_terület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Felhasználó</cp:lastModifiedBy>
  <cp:lastPrinted>2021-05-20T12:18:22Z</cp:lastPrinted>
  <dcterms:created xsi:type="dcterms:W3CDTF">2011-08-11T06:20:47Z</dcterms:created>
  <dcterms:modified xsi:type="dcterms:W3CDTF">2021-05-27T09:15:41Z</dcterms:modified>
</cp:coreProperties>
</file>