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igw2k12\Files\Szerkesztoseg\Adatminoseg\Jogtar.CD\Szerződéses különadatbázisok\5kerület\ÉRKEZETT\2021\0602\Kész\"/>
    </mc:Choice>
  </mc:AlternateContent>
  <xr:revisionPtr revIDLastSave="0" documentId="8_{01B908A8-E2AF-4A1E-9ED7-195103609835}" xr6:coauthVersionLast="45" xr6:coauthVersionMax="45" xr10:uidLastSave="{00000000-0000-0000-0000-000000000000}"/>
  <bookViews>
    <workbookView xWindow="-120" yWindow="-120" windowWidth="20700" windowHeight="11160" xr2:uid="{11B28F67-16E5-4560-8032-C9ACF5617F0E}"/>
  </bookViews>
  <sheets>
    <sheet name="kötelező2020." sheetId="1" r:id="rId1"/>
    <sheet name="kötelező2020.felh." sheetId="2" r:id="rId2"/>
    <sheet name="kötelező2020.finansz." sheetId="3" r:id="rId3"/>
  </sheets>
  <externalReferences>
    <externalReference r:id="rId4"/>
  </externalReferences>
  <definedNames>
    <definedName name="_1Excel_BuiltIn_Print_Area_32_1">#REF!</definedName>
    <definedName name="_2Excel_BuiltIn_Print_Area_33_1">#REF!</definedName>
    <definedName name="Excel_BuiltIn_Print_Area_6">#REF!</definedName>
    <definedName name="_xlnm.Print_Area" localSheetId="0">kötelező2020.!$A$1:$M$45</definedName>
    <definedName name="_xlnm.Print_Area" localSheetId="1">'kötelező2020.felh.'!$A$1:$M$43</definedName>
    <definedName name="_xlnm.Print_Area" localSheetId="2">'kötelező2020.finansz.'!$A$1:$M$10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3" l="1"/>
  <c r="C6" i="3"/>
  <c r="E6" i="3"/>
  <c r="G6" i="3"/>
  <c r="I6" i="3"/>
  <c r="K6" i="3"/>
  <c r="L6" i="3"/>
  <c r="L9" i="3" s="1"/>
  <c r="M6" i="3"/>
  <c r="E7" i="3"/>
  <c r="G7" i="3"/>
  <c r="I7" i="3"/>
  <c r="K7" i="3"/>
  <c r="L7" i="3"/>
  <c r="M7" i="3" s="1"/>
  <c r="E8" i="3"/>
  <c r="G8" i="3"/>
  <c r="I8" i="3"/>
  <c r="K8" i="3"/>
  <c r="L8" i="3"/>
  <c r="M8" i="3"/>
  <c r="C9" i="3"/>
  <c r="D9" i="3"/>
  <c r="E9" i="3"/>
  <c r="F9" i="3"/>
  <c r="G9" i="3" s="1"/>
  <c r="H9" i="3"/>
  <c r="I9" i="3"/>
  <c r="J9" i="3"/>
  <c r="K9" i="3" s="1"/>
  <c r="M9" i="3"/>
  <c r="L5" i="2"/>
  <c r="C6" i="2"/>
  <c r="L6" i="2"/>
  <c r="C7" i="2"/>
  <c r="E7" i="2"/>
  <c r="K7" i="2"/>
  <c r="L8" i="2"/>
  <c r="L9" i="2"/>
  <c r="C10" i="2"/>
  <c r="I10" i="2" s="1"/>
  <c r="L11" i="2"/>
  <c r="L12" i="2"/>
  <c r="L13" i="2"/>
  <c r="D14" i="2"/>
  <c r="F14" i="2"/>
  <c r="H14" i="2"/>
  <c r="J14" i="2"/>
  <c r="L16" i="2"/>
  <c r="L17" i="2"/>
  <c r="L18" i="2"/>
  <c r="L20" i="2" s="1"/>
  <c r="L19" i="2"/>
  <c r="C20" i="2"/>
  <c r="D20" i="2"/>
  <c r="F20" i="2"/>
  <c r="H20" i="2"/>
  <c r="J20" i="2"/>
  <c r="E22" i="2"/>
  <c r="G22" i="2"/>
  <c r="I22" i="2"/>
  <c r="K22" i="2"/>
  <c r="K23" i="2" s="1"/>
  <c r="L22" i="2"/>
  <c r="L23" i="2" s="1"/>
  <c r="M23" i="2" s="1"/>
  <c r="C23" i="2"/>
  <c r="D23" i="2"/>
  <c r="E23" i="2"/>
  <c r="F23" i="2"/>
  <c r="F43" i="2" s="1"/>
  <c r="H23" i="2"/>
  <c r="I23" i="2"/>
  <c r="J23" i="2"/>
  <c r="J43" i="2" s="1"/>
  <c r="E25" i="2"/>
  <c r="G25" i="2"/>
  <c r="I25" i="2"/>
  <c r="K25" i="2"/>
  <c r="L25" i="2"/>
  <c r="M25" i="2" s="1"/>
  <c r="C26" i="2"/>
  <c r="I26" i="2" s="1"/>
  <c r="E26" i="2"/>
  <c r="G26" i="2"/>
  <c r="K26" i="2"/>
  <c r="L26" i="2"/>
  <c r="M26" i="2"/>
  <c r="E28" i="2"/>
  <c r="G28" i="2"/>
  <c r="I28" i="2"/>
  <c r="K28" i="2"/>
  <c r="L28" i="2"/>
  <c r="M28" i="2"/>
  <c r="C29" i="2"/>
  <c r="E29" i="2"/>
  <c r="K29" i="2"/>
  <c r="E31" i="2"/>
  <c r="G31" i="2"/>
  <c r="I31" i="2"/>
  <c r="K31" i="2"/>
  <c r="L31" i="2"/>
  <c r="M31" i="2"/>
  <c r="C32" i="2"/>
  <c r="I32" i="2" s="1"/>
  <c r="E34" i="2"/>
  <c r="G34" i="2"/>
  <c r="G35" i="2" s="1"/>
  <c r="I34" i="2"/>
  <c r="K34" i="2"/>
  <c r="K35" i="2" s="1"/>
  <c r="L34" i="2"/>
  <c r="L35" i="2" s="1"/>
  <c r="C35" i="2"/>
  <c r="D35" i="2"/>
  <c r="E35" i="2"/>
  <c r="F35" i="2"/>
  <c r="H35" i="2"/>
  <c r="I35" i="2"/>
  <c r="J35" i="2"/>
  <c r="E37" i="2"/>
  <c r="G37" i="2"/>
  <c r="I37" i="2"/>
  <c r="K37" i="2"/>
  <c r="L37" i="2"/>
  <c r="M37" i="2" s="1"/>
  <c r="C38" i="2"/>
  <c r="I38" i="2" s="1"/>
  <c r="E38" i="2"/>
  <c r="G38" i="2"/>
  <c r="K38" i="2"/>
  <c r="L38" i="2"/>
  <c r="M38" i="2"/>
  <c r="E40" i="2"/>
  <c r="G40" i="2"/>
  <c r="I40" i="2"/>
  <c r="K40" i="2"/>
  <c r="L40" i="2"/>
  <c r="M40" i="2"/>
  <c r="C41" i="2"/>
  <c r="E41" i="2"/>
  <c r="K41" i="2"/>
  <c r="D43" i="2"/>
  <c r="H43" i="2"/>
  <c r="I43" i="2"/>
  <c r="E5" i="1"/>
  <c r="G5" i="1"/>
  <c r="I5" i="1"/>
  <c r="K5" i="1"/>
  <c r="L5" i="1"/>
  <c r="M5" i="1"/>
  <c r="E6" i="1"/>
  <c r="G6" i="1"/>
  <c r="I6" i="1"/>
  <c r="K6" i="1"/>
  <c r="L6" i="1"/>
  <c r="M6" i="1"/>
  <c r="C7" i="1"/>
  <c r="E7" i="1"/>
  <c r="G7" i="1"/>
  <c r="I7" i="1"/>
  <c r="K7" i="1"/>
  <c r="L7" i="1"/>
  <c r="M7" i="1"/>
  <c r="E8" i="1"/>
  <c r="G8" i="1"/>
  <c r="I8" i="1"/>
  <c r="K8" i="1"/>
  <c r="L8" i="1"/>
  <c r="M8" i="1" s="1"/>
  <c r="E9" i="1"/>
  <c r="G9" i="1"/>
  <c r="I9" i="1"/>
  <c r="K9" i="1"/>
  <c r="L9" i="1"/>
  <c r="M9" i="1"/>
  <c r="E10" i="1"/>
  <c r="G10" i="1"/>
  <c r="I10" i="1"/>
  <c r="K10" i="1"/>
  <c r="L10" i="1"/>
  <c r="M10" i="1" s="1"/>
  <c r="E11" i="1"/>
  <c r="G11" i="1"/>
  <c r="I11" i="1"/>
  <c r="K11" i="1"/>
  <c r="L11" i="1"/>
  <c r="M11" i="1"/>
  <c r="D12" i="1"/>
  <c r="G12" i="1"/>
  <c r="I12" i="1"/>
  <c r="K12" i="1"/>
  <c r="C13" i="1"/>
  <c r="E13" i="1"/>
  <c r="K13" i="1"/>
  <c r="L13" i="1"/>
  <c r="M13" i="1" s="1"/>
  <c r="C14" i="1"/>
  <c r="E14" i="1"/>
  <c r="F14" i="1"/>
  <c r="I14" i="1"/>
  <c r="K14" i="1"/>
  <c r="D15" i="1"/>
  <c r="H15" i="1"/>
  <c r="J15" i="1"/>
  <c r="E16" i="1"/>
  <c r="G16" i="1"/>
  <c r="I16" i="1"/>
  <c r="K16" i="1"/>
  <c r="L16" i="1"/>
  <c r="M16" i="1"/>
  <c r="E17" i="1"/>
  <c r="G17" i="1"/>
  <c r="I17" i="1"/>
  <c r="K17" i="1"/>
  <c r="L17" i="1"/>
  <c r="M17" i="1" s="1"/>
  <c r="E18" i="1"/>
  <c r="G18" i="1"/>
  <c r="I18" i="1"/>
  <c r="K18" i="1"/>
  <c r="L18" i="1"/>
  <c r="M18" i="1"/>
  <c r="E19" i="1"/>
  <c r="G19" i="1"/>
  <c r="I19" i="1"/>
  <c r="K19" i="1"/>
  <c r="L19" i="1"/>
  <c r="M19" i="1" s="1"/>
  <c r="E20" i="1"/>
  <c r="G20" i="1"/>
  <c r="I20" i="1"/>
  <c r="K20" i="1"/>
  <c r="L20" i="1"/>
  <c r="M20" i="1"/>
  <c r="C21" i="1"/>
  <c r="K21" i="1" s="1"/>
  <c r="D21" i="1"/>
  <c r="F21" i="1"/>
  <c r="G21" i="1"/>
  <c r="H21" i="1"/>
  <c r="I21" i="1" s="1"/>
  <c r="J21" i="1"/>
  <c r="L21" i="1"/>
  <c r="M21" i="1" s="1"/>
  <c r="E22" i="1"/>
  <c r="G22" i="1"/>
  <c r="G24" i="1" s="1"/>
  <c r="I22" i="1"/>
  <c r="K22" i="1"/>
  <c r="L22" i="1"/>
  <c r="M22" i="1"/>
  <c r="E23" i="1"/>
  <c r="G23" i="1"/>
  <c r="I23" i="1"/>
  <c r="K23" i="1"/>
  <c r="K24" i="1" s="1"/>
  <c r="L23" i="1"/>
  <c r="M23" i="1" s="1"/>
  <c r="C24" i="1"/>
  <c r="D24" i="1"/>
  <c r="E24" i="1" s="1"/>
  <c r="F24" i="1"/>
  <c r="H24" i="1"/>
  <c r="I24" i="1"/>
  <c r="J24" i="1"/>
  <c r="L24" i="1"/>
  <c r="M24" i="1"/>
  <c r="C25" i="1"/>
  <c r="E25" i="1"/>
  <c r="F25" i="1"/>
  <c r="G25" i="1"/>
  <c r="I25" i="1"/>
  <c r="J25" i="1"/>
  <c r="K25" i="1"/>
  <c r="L25" i="1"/>
  <c r="E26" i="1"/>
  <c r="G26" i="1"/>
  <c r="I26" i="1"/>
  <c r="K26" i="1"/>
  <c r="L26" i="1"/>
  <c r="M26" i="1"/>
  <c r="C27" i="1"/>
  <c r="D27" i="1"/>
  <c r="F27" i="1"/>
  <c r="G27" i="1" s="1"/>
  <c r="H27" i="1"/>
  <c r="J27" i="1"/>
  <c r="K27" i="1" s="1"/>
  <c r="E28" i="1"/>
  <c r="F28" i="1"/>
  <c r="I28" i="1"/>
  <c r="J28" i="1"/>
  <c r="K28" i="1" s="1"/>
  <c r="C29" i="1"/>
  <c r="D29" i="1"/>
  <c r="E29" i="1" s="1"/>
  <c r="F29" i="1"/>
  <c r="G29" i="1" s="1"/>
  <c r="H29" i="1"/>
  <c r="I29" i="1" s="1"/>
  <c r="J29" i="1"/>
  <c r="K29" i="1" s="1"/>
  <c r="E30" i="1"/>
  <c r="F30" i="1"/>
  <c r="I30" i="1"/>
  <c r="J30" i="1"/>
  <c r="K30" i="1"/>
  <c r="E31" i="1"/>
  <c r="F31" i="1"/>
  <c r="G31" i="1"/>
  <c r="I31" i="1"/>
  <c r="J31" i="1"/>
  <c r="K31" i="1"/>
  <c r="L31" i="1"/>
  <c r="M31" i="1" s="1"/>
  <c r="E32" i="1"/>
  <c r="F32" i="1"/>
  <c r="G32" i="1"/>
  <c r="I32" i="1"/>
  <c r="J32" i="1"/>
  <c r="K32" i="1" s="1"/>
  <c r="E33" i="1"/>
  <c r="F33" i="1"/>
  <c r="G33" i="1" s="1"/>
  <c r="I33" i="1"/>
  <c r="J33" i="1"/>
  <c r="K33" i="1" s="1"/>
  <c r="E34" i="1"/>
  <c r="F34" i="1"/>
  <c r="G34" i="1" s="1"/>
  <c r="I34" i="1"/>
  <c r="J34" i="1"/>
  <c r="K34" i="1"/>
  <c r="E35" i="1"/>
  <c r="F35" i="1"/>
  <c r="G35" i="1"/>
  <c r="I35" i="1"/>
  <c r="J35" i="1"/>
  <c r="K35" i="1"/>
  <c r="L35" i="1"/>
  <c r="M35" i="1" s="1"/>
  <c r="E36" i="1"/>
  <c r="F36" i="1"/>
  <c r="G36" i="1"/>
  <c r="I36" i="1"/>
  <c r="J36" i="1"/>
  <c r="K36" i="1" s="1"/>
  <c r="E37" i="1"/>
  <c r="F37" i="1"/>
  <c r="G37" i="1" s="1"/>
  <c r="I37" i="1"/>
  <c r="J37" i="1"/>
  <c r="K37" i="1" s="1"/>
  <c r="E38" i="1"/>
  <c r="F38" i="1"/>
  <c r="G38" i="1" s="1"/>
  <c r="I38" i="1"/>
  <c r="J38" i="1"/>
  <c r="K38" i="1"/>
  <c r="E39" i="1"/>
  <c r="F39" i="1"/>
  <c r="G39" i="1"/>
  <c r="I39" i="1"/>
  <c r="J39" i="1"/>
  <c r="K39" i="1"/>
  <c r="L39" i="1"/>
  <c r="M39" i="1" s="1"/>
  <c r="C40" i="1"/>
  <c r="E40" i="1" s="1"/>
  <c r="D40" i="1"/>
  <c r="H40" i="1"/>
  <c r="I40" i="1" s="1"/>
  <c r="E41" i="1"/>
  <c r="F41" i="1"/>
  <c r="G41" i="1"/>
  <c r="I41" i="1"/>
  <c r="J41" i="1"/>
  <c r="K41" i="1"/>
  <c r="L41" i="1"/>
  <c r="M41" i="1" s="1"/>
  <c r="E42" i="1"/>
  <c r="F42" i="1"/>
  <c r="G42" i="1"/>
  <c r="I42" i="1"/>
  <c r="J42" i="1"/>
  <c r="K42" i="1"/>
  <c r="L42" i="1"/>
  <c r="M42" i="1" s="1"/>
  <c r="E43" i="1"/>
  <c r="F43" i="1"/>
  <c r="G43" i="1"/>
  <c r="I43" i="1"/>
  <c r="J43" i="1"/>
  <c r="K43" i="1"/>
  <c r="L43" i="1"/>
  <c r="M43" i="1" s="1"/>
  <c r="E44" i="1"/>
  <c r="F44" i="1"/>
  <c r="G44" i="1"/>
  <c r="I44" i="1"/>
  <c r="J44" i="1"/>
  <c r="K44" i="1"/>
  <c r="L44" i="1"/>
  <c r="M44" i="1" s="1"/>
  <c r="H45" i="1"/>
  <c r="G14" i="1" l="1"/>
  <c r="F15" i="1"/>
  <c r="L36" i="1"/>
  <c r="M36" i="1" s="1"/>
  <c r="L32" i="1"/>
  <c r="M32" i="1" s="1"/>
  <c r="J40" i="1"/>
  <c r="G28" i="1"/>
  <c r="L28" i="1"/>
  <c r="E27" i="1"/>
  <c r="I27" i="1"/>
  <c r="L14" i="1"/>
  <c r="M14" i="1" s="1"/>
  <c r="G41" i="2"/>
  <c r="I41" i="2"/>
  <c r="K32" i="2"/>
  <c r="G29" i="2"/>
  <c r="I29" i="2"/>
  <c r="K10" i="2"/>
  <c r="G7" i="2"/>
  <c r="I7" i="2"/>
  <c r="C14" i="2"/>
  <c r="F40" i="1"/>
  <c r="D45" i="1"/>
  <c r="L37" i="1"/>
  <c r="M37" i="1" s="1"/>
  <c r="L33" i="1"/>
  <c r="M33" i="1" s="1"/>
  <c r="E21" i="1"/>
  <c r="G13" i="1"/>
  <c r="I13" i="1"/>
  <c r="C15" i="1"/>
  <c r="E12" i="1"/>
  <c r="L12" i="1"/>
  <c r="M12" i="1" s="1"/>
  <c r="L41" i="2"/>
  <c r="M41" i="2" s="1"/>
  <c r="L29" i="2"/>
  <c r="M29" i="2" s="1"/>
  <c r="L7" i="2"/>
  <c r="M7" i="2" s="1"/>
  <c r="M25" i="1"/>
  <c r="L27" i="1"/>
  <c r="M27" i="1" s="1"/>
  <c r="C45" i="1"/>
  <c r="I45" i="1" s="1"/>
  <c r="L38" i="1"/>
  <c r="M38" i="1" s="1"/>
  <c r="L34" i="1"/>
  <c r="M34" i="1" s="1"/>
  <c r="L30" i="1"/>
  <c r="G30" i="1"/>
  <c r="L15" i="1"/>
  <c r="M15" i="1" s="1"/>
  <c r="M34" i="2"/>
  <c r="M35" i="2" s="1"/>
  <c r="E32" i="2"/>
  <c r="L32" i="2"/>
  <c r="M32" i="2" s="1"/>
  <c r="G32" i="2"/>
  <c r="M22" i="2"/>
  <c r="G23" i="2"/>
  <c r="G43" i="2" s="1"/>
  <c r="E10" i="2"/>
  <c r="L10" i="2"/>
  <c r="M10" i="2" s="1"/>
  <c r="G10" i="2"/>
  <c r="G40" i="1" l="1"/>
  <c r="F45" i="1"/>
  <c r="G45" i="1" s="1"/>
  <c r="K15" i="1"/>
  <c r="I15" i="1"/>
  <c r="G14" i="2"/>
  <c r="K14" i="2"/>
  <c r="C43" i="2"/>
  <c r="E14" i="2"/>
  <c r="I14" i="2"/>
  <c r="M28" i="1"/>
  <c r="L29" i="1"/>
  <c r="M29" i="1" s="1"/>
  <c r="E15" i="1"/>
  <c r="M30" i="1"/>
  <c r="L40" i="1"/>
  <c r="E45" i="1"/>
  <c r="K40" i="1"/>
  <c r="J45" i="1"/>
  <c r="K45" i="1" s="1"/>
  <c r="G15" i="1"/>
  <c r="L14" i="2"/>
  <c r="E43" i="2" l="1"/>
  <c r="K43" i="2"/>
  <c r="M14" i="2"/>
  <c r="L43" i="2"/>
  <c r="M43" i="2" s="1"/>
  <c r="M40" i="1"/>
  <c r="L45" i="1"/>
  <c r="M45" i="1" s="1"/>
</calcChain>
</file>

<file path=xl/sharedStrings.xml><?xml version="1.0" encoding="utf-8"?>
<sst xmlns="http://schemas.openxmlformats.org/spreadsheetml/2006/main" count="129" uniqueCount="82">
  <si>
    <t>Összesen:</t>
  </si>
  <si>
    <t>5006 Balaton Óvoda</t>
  </si>
  <si>
    <t>5005 Bástya Óvoda</t>
  </si>
  <si>
    <t>5004 Tesz-vesz Óvoda</t>
  </si>
  <si>
    <t>5003 Játékkal-mesével Óvoda</t>
  </si>
  <si>
    <t>5002 Egyesített Szociális Intézmény</t>
  </si>
  <si>
    <t>Pszichiátriai betegek közösségi ellátása</t>
  </si>
  <si>
    <t>Jelzőrendszeres házi segítségnyújtás</t>
  </si>
  <si>
    <t>Egyéb kiegészítő szolgáltatások</t>
  </si>
  <si>
    <t>Családsegítő és gyermekjóléti szolgálat</t>
  </si>
  <si>
    <t>Családsegítő és gyermekjóléti központ</t>
  </si>
  <si>
    <t>Közcélú foglalkoztatás</t>
  </si>
  <si>
    <t>Szociális étkeztetés</t>
  </si>
  <si>
    <t>Időskorúak átmeneti ellátása</t>
  </si>
  <si>
    <t>Házi segítségnyújtás</t>
  </si>
  <si>
    <t>Időskorúak nappali ellátása</t>
  </si>
  <si>
    <t>5001 Egyesített bölcsődék</t>
  </si>
  <si>
    <t>Bölcsődei ellátás</t>
  </si>
  <si>
    <t>4 Polgármesteri Hivatal összesen</t>
  </si>
  <si>
    <t>Állategészségügyi feladatok</t>
  </si>
  <si>
    <t>Települési igazgatási</t>
  </si>
  <si>
    <t>3 Önálló Közterület-felügyelet összesen</t>
  </si>
  <si>
    <t>Parkolási feladatok</t>
  </si>
  <si>
    <t>Közterület felügyeleti kiadások</t>
  </si>
  <si>
    <t>2 Blesz összesen</t>
  </si>
  <si>
    <t>Ügyeleti szolgálat (óra)</t>
  </si>
  <si>
    <t>Ifjúságeü.gondozás</t>
  </si>
  <si>
    <t>Család- és nővédelmi eü.gondozás</t>
  </si>
  <si>
    <t>Fogorvosi alapellátás</t>
  </si>
  <si>
    <t>Háziorvosi szolgálat</t>
  </si>
  <si>
    <t>1 Önkormányzat összesen</t>
  </si>
  <si>
    <t>Közoktatási feladatok működési kiadásai</t>
  </si>
  <si>
    <t>Parkolási tevékenység tárgyévi kiadásai</t>
  </si>
  <si>
    <t>Önkorm.műk. kapcs. kiadások</t>
  </si>
  <si>
    <t>Vagyonhasznosítás és kezelés</t>
  </si>
  <si>
    <t>Egyéb település üzemeltetés</t>
  </si>
  <si>
    <t>Útfenntartás</t>
  </si>
  <si>
    <t>Park és zöldterület fenntartás</t>
  </si>
  <si>
    <t>Közművelődési, tevékenység</t>
  </si>
  <si>
    <t>Szociális és gyermekjóléti ellátások (segélyek)</t>
  </si>
  <si>
    <t>Nemzetiségi önkormányzatok támogatása</t>
  </si>
  <si>
    <t>Önkormányzati hozzájárulás fedezete %</t>
  </si>
  <si>
    <t>Önkorm. Hozzájárulás</t>
  </si>
  <si>
    <t>Pénz-         maradvány fedezete %</t>
  </si>
  <si>
    <t>Kv.         maradvány</t>
  </si>
  <si>
    <t>Átvett pe.       fedezete %</t>
  </si>
  <si>
    <t>NEAK fin. +átvett pe.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</si>
  <si>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</si>
  <si>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</si>
  <si>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</si>
  <si>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</si>
  <si>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teljesítése 100% </t>
  </si>
  <si>
    <t>Megnevezés</t>
  </si>
  <si>
    <t>ezer Ft-ban</t>
  </si>
  <si>
    <t>2020. Működési költségvetés  -  Kötelezően előírt feladatkörök</t>
  </si>
  <si>
    <t>3.számú melléklet</t>
  </si>
  <si>
    <t>Balaton Óvoda</t>
  </si>
  <si>
    <t xml:space="preserve"> tárgyévi terveztett kiadás</t>
  </si>
  <si>
    <t>Felhalmozási kiadások</t>
  </si>
  <si>
    <t>Tesz-vesz Óvoda</t>
  </si>
  <si>
    <t>Bástya Óvoda</t>
  </si>
  <si>
    <t>Játékkal-mesével Óvoda</t>
  </si>
  <si>
    <t>Egyesített Szociális Intézmény</t>
  </si>
  <si>
    <t>Egyesített Bölcsődék</t>
  </si>
  <si>
    <t xml:space="preserve"> áthúzódó kötelezettségek</t>
  </si>
  <si>
    <t>Felújítási kiadások</t>
  </si>
  <si>
    <t>Felhalmozási célú pénzeszközátadás</t>
  </si>
  <si>
    <t xml:space="preserve">Önkormányzati hozzájárulás fedezete % </t>
  </si>
  <si>
    <t xml:space="preserve">Önkorm.       hozzájárulás </t>
  </si>
  <si>
    <t>Kv.       Maradvány és betétlekötés megszüntetése</t>
  </si>
  <si>
    <t xml:space="preserve">Átvett pe.       fedezete %  </t>
  </si>
  <si>
    <t xml:space="preserve">Támogatás és átvett pe. </t>
  </si>
  <si>
    <t>Állami támogatás fedezete %</t>
  </si>
  <si>
    <t xml:space="preserve">Állami támogatás </t>
  </si>
  <si>
    <t xml:space="preserve">Intézm.         bevételek fedezete % </t>
  </si>
  <si>
    <t>Felhalmozási bevételek</t>
  </si>
  <si>
    <t>2020. Felhalmozási költségvetés  -  Kötelezően előírt feladatkörök</t>
  </si>
  <si>
    <t>Felhalmozási támogatás</t>
  </si>
  <si>
    <t>ÁH-n belüli megelőlegezés visszafizetése</t>
  </si>
  <si>
    <t>működési támogatás</t>
  </si>
  <si>
    <t>Irányító szervi támogatásként folyó.támogatás</t>
  </si>
  <si>
    <t>2020. Finanszírozási kiadások  -  Kötelezően előírt feladatkörök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</si>
</sst>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0"/>
      <name val="Arial CE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9"/>
      <name val="Arial"/>
      <family val="2"/>
    </font>
    <font>
      <sz val="10"/>
      <name val="Arial"/>
      <family val="2"/>
    </font>
    <font>
      <sz val="8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shrinkToFit="1"/>
    </xf>
    <xf numFmtId="3" fontId="4" fillId="0" borderId="0" xfId="0" applyNumberFormat="1" applyFont="1"/>
    <xf numFmtId="3" fontId="3" fillId="0" borderId="4" xfId="0" applyNumberFormat="1" applyFont="1" applyBorder="1"/>
    <xf numFmtId="3" fontId="3" fillId="0" borderId="5" xfId="0" applyNumberFormat="1" applyFont="1" applyBorder="1" applyAlignment="1">
      <alignment horizontal="right"/>
    </xf>
    <xf numFmtId="3" fontId="2" fillId="0" borderId="5" xfId="0" applyNumberFormat="1" applyFont="1" applyBorder="1"/>
    <xf numFmtId="3" fontId="3" fillId="0" borderId="6" xfId="0" applyNumberFormat="1" applyFont="1" applyBorder="1" applyAlignment="1">
      <alignment shrinkToFit="1"/>
    </xf>
    <xf numFmtId="3" fontId="3" fillId="0" borderId="7" xfId="0" applyNumberFormat="1" applyFont="1" applyBorder="1"/>
    <xf numFmtId="3" fontId="3" fillId="0" borderId="8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shrinkToFit="1"/>
    </xf>
    <xf numFmtId="3" fontId="3" fillId="0" borderId="1" xfId="0" applyNumberFormat="1" applyFont="1" applyBorder="1"/>
    <xf numFmtId="3" fontId="5" fillId="0" borderId="3" xfId="0" applyNumberFormat="1" applyFont="1" applyBorder="1" applyAlignment="1">
      <alignment shrinkToFit="1"/>
    </xf>
    <xf numFmtId="3" fontId="6" fillId="0" borderId="9" xfId="0" applyNumberFormat="1" applyFont="1" applyBorder="1"/>
    <xf numFmtId="3" fontId="6" fillId="0" borderId="10" xfId="0" applyNumberFormat="1" applyFont="1" applyBorder="1" applyAlignment="1">
      <alignment horizontal="right"/>
    </xf>
    <xf numFmtId="3" fontId="7" fillId="0" borderId="10" xfId="0" applyNumberFormat="1" applyFont="1" applyBorder="1"/>
    <xf numFmtId="3" fontId="6" fillId="0" borderId="11" xfId="0" applyNumberFormat="1" applyFont="1" applyBorder="1" applyAlignment="1">
      <alignment shrinkToFit="1"/>
    </xf>
    <xf numFmtId="3" fontId="6" fillId="0" borderId="12" xfId="0" applyNumberFormat="1" applyFont="1" applyBorder="1"/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7" fillId="0" borderId="15" xfId="0" applyNumberFormat="1" applyFont="1" applyBorder="1"/>
    <xf numFmtId="3" fontId="6" fillId="0" borderId="16" xfId="0" applyNumberFormat="1" applyFont="1" applyBorder="1" applyAlignment="1">
      <alignment shrinkToFit="1"/>
    </xf>
    <xf numFmtId="3" fontId="6" fillId="0" borderId="5" xfId="0" applyNumberFormat="1" applyFont="1" applyBorder="1" applyAlignment="1">
      <alignment horizontal="right"/>
    </xf>
    <xf numFmtId="3" fontId="7" fillId="0" borderId="14" xfId="0" applyNumberFormat="1" applyFont="1" applyBorder="1"/>
    <xf numFmtId="3" fontId="6" fillId="0" borderId="17" xfId="0" applyNumberFormat="1" applyFont="1" applyBorder="1" applyAlignment="1">
      <alignment shrinkToFit="1"/>
    </xf>
    <xf numFmtId="3" fontId="6" fillId="0" borderId="18" xfId="0" applyNumberFormat="1" applyFont="1" applyBorder="1"/>
    <xf numFmtId="3" fontId="7" fillId="0" borderId="13" xfId="0" applyNumberFormat="1" applyFont="1" applyBorder="1"/>
    <xf numFmtId="3" fontId="6" fillId="0" borderId="19" xfId="0" applyNumberFormat="1" applyFont="1" applyBorder="1" applyAlignment="1">
      <alignment shrinkToFit="1"/>
    </xf>
    <xf numFmtId="3" fontId="6" fillId="0" borderId="4" xfId="0" applyNumberFormat="1" applyFont="1" applyBorder="1"/>
    <xf numFmtId="3" fontId="7" fillId="0" borderId="5" xfId="0" applyNumberFormat="1" applyFont="1" applyBorder="1"/>
    <xf numFmtId="3" fontId="6" fillId="0" borderId="6" xfId="0" applyNumberFormat="1" applyFont="1" applyBorder="1" applyAlignment="1">
      <alignment shrinkToFit="1"/>
    </xf>
    <xf numFmtId="3" fontId="6" fillId="0" borderId="20" xfId="0" applyNumberFormat="1" applyFont="1" applyBorder="1"/>
    <xf numFmtId="3" fontId="6" fillId="0" borderId="21" xfId="0" applyNumberFormat="1" applyFont="1" applyBorder="1" applyAlignment="1">
      <alignment horizontal="right"/>
    </xf>
    <xf numFmtId="3" fontId="7" fillId="0" borderId="21" xfId="0" applyNumberFormat="1" applyFont="1" applyBorder="1"/>
    <xf numFmtId="3" fontId="6" fillId="0" borderId="22" xfId="0" applyNumberFormat="1" applyFont="1" applyBorder="1" applyAlignment="1">
      <alignment shrinkToFit="1"/>
    </xf>
    <xf numFmtId="3" fontId="8" fillId="0" borderId="0" xfId="0" applyNumberFormat="1" applyFont="1"/>
    <xf numFmtId="3" fontId="6" fillId="0" borderId="23" xfId="0" applyNumberFormat="1" applyFont="1" applyBorder="1"/>
    <xf numFmtId="3" fontId="7" fillId="0" borderId="13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shrinkToFit="1"/>
    </xf>
    <xf numFmtId="3" fontId="7" fillId="0" borderId="17" xfId="0" applyNumberFormat="1" applyFont="1" applyBorder="1" applyAlignment="1">
      <alignment shrinkToFit="1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9" fillId="0" borderId="24" xfId="0" applyNumberFormat="1" applyFont="1" applyBorder="1" applyAlignment="1">
      <alignment horizontal="right"/>
    </xf>
    <xf numFmtId="3" fontId="9" fillId="0" borderId="0" xfId="0" applyNumberFormat="1" applyFont="1"/>
    <xf numFmtId="3" fontId="10" fillId="0" borderId="0" xfId="0" applyNumberFormat="1" applyFont="1" applyAlignment="1">
      <alignment horizontal="center" vertical="justify"/>
    </xf>
    <xf numFmtId="3" fontId="6" fillId="0" borderId="0" xfId="0" applyNumberFormat="1" applyFont="1" applyAlignment="1">
      <alignment horizontal="right"/>
    </xf>
    <xf numFmtId="164" fontId="0" fillId="0" borderId="0" xfId="0" applyNumberFormat="1"/>
    <xf numFmtId="2" fontId="0" fillId="0" borderId="0" xfId="0" applyNumberFormat="1"/>
    <xf numFmtId="4" fontId="0" fillId="0" borderId="0" xfId="0" applyNumberFormat="1"/>
    <xf numFmtId="0" fontId="6" fillId="0" borderId="0" xfId="0" applyFont="1"/>
    <xf numFmtId="164" fontId="6" fillId="0" borderId="0" xfId="0" applyNumberFormat="1" applyFont="1"/>
    <xf numFmtId="2" fontId="6" fillId="0" borderId="0" xfId="0" applyNumberFormat="1" applyFont="1"/>
    <xf numFmtId="4" fontId="6" fillId="0" borderId="0" xfId="0" applyNumberFormat="1" applyFont="1"/>
    <xf numFmtId="3" fontId="6" fillId="0" borderId="0" xfId="0" applyNumberFormat="1" applyFont="1"/>
    <xf numFmtId="0" fontId="1" fillId="0" borderId="0" xfId="0" applyFont="1"/>
    <xf numFmtId="4" fontId="2" fillId="0" borderId="1" xfId="0" applyNumberFormat="1" applyFont="1" applyBorder="1"/>
    <xf numFmtId="2" fontId="6" fillId="0" borderId="10" xfId="0" applyNumberFormat="1" applyFont="1" applyBorder="1" applyAlignment="1">
      <alignment horizontal="right"/>
    </xf>
    <xf numFmtId="4" fontId="2" fillId="0" borderId="2" xfId="0" applyNumberFormat="1" applyFont="1" applyBorder="1"/>
    <xf numFmtId="0" fontId="2" fillId="0" borderId="3" xfId="0" applyFont="1" applyBorder="1" applyAlignment="1">
      <alignment shrinkToFit="1"/>
    </xf>
    <xf numFmtId="4" fontId="2" fillId="0" borderId="9" xfId="0" applyNumberFormat="1" applyFont="1" applyBorder="1"/>
    <xf numFmtId="3" fontId="11" fillId="0" borderId="10" xfId="0" applyNumberFormat="1" applyFont="1" applyBorder="1"/>
    <xf numFmtId="2" fontId="2" fillId="0" borderId="10" xfId="0" applyNumberFormat="1" applyFont="1" applyBorder="1"/>
    <xf numFmtId="3" fontId="2" fillId="0" borderId="10" xfId="0" applyNumberFormat="1" applyFont="1" applyBorder="1"/>
    <xf numFmtId="4" fontId="2" fillId="0" borderId="10" xfId="0" applyNumberFormat="1" applyFont="1" applyBorder="1"/>
    <xf numFmtId="0" fontId="3" fillId="0" borderId="3" xfId="0" applyFont="1" applyBorder="1" applyAlignment="1">
      <alignment shrinkToFit="1"/>
    </xf>
    <xf numFmtId="3" fontId="12" fillId="0" borderId="10" xfId="0" applyNumberFormat="1" applyFont="1" applyBorder="1"/>
    <xf numFmtId="0" fontId="3" fillId="0" borderId="11" xfId="0" applyFont="1" applyBorder="1" applyAlignment="1">
      <alignment shrinkToFit="1"/>
    </xf>
    <xf numFmtId="3" fontId="11" fillId="0" borderId="21" xfId="0" applyNumberFormat="1" applyFont="1" applyBorder="1"/>
    <xf numFmtId="0" fontId="6" fillId="0" borderId="25" xfId="0" applyFont="1" applyBorder="1" applyAlignment="1">
      <alignment shrinkToFit="1"/>
    </xf>
    <xf numFmtId="3" fontId="12" fillId="0" borderId="2" xfId="0" applyNumberFormat="1" applyFont="1" applyBorder="1"/>
    <xf numFmtId="0" fontId="13" fillId="0" borderId="6" xfId="0" applyFont="1" applyBorder="1" applyAlignment="1">
      <alignment shrinkToFit="1"/>
    </xf>
    <xf numFmtId="0" fontId="6" fillId="0" borderId="6" xfId="0" applyFont="1" applyBorder="1" applyAlignment="1">
      <alignment shrinkToFit="1"/>
    </xf>
    <xf numFmtId="3" fontId="12" fillId="0" borderId="21" xfId="0" applyNumberFormat="1" applyFont="1" applyBorder="1"/>
    <xf numFmtId="0" fontId="13" fillId="0" borderId="19" xfId="0" applyFont="1" applyBorder="1" applyAlignment="1">
      <alignment shrinkToFit="1"/>
    </xf>
    <xf numFmtId="3" fontId="11" fillId="0" borderId="15" xfId="0" applyNumberFormat="1" applyFont="1" applyBorder="1"/>
    <xf numFmtId="0" fontId="13" fillId="0" borderId="26" xfId="0" applyFont="1" applyBorder="1" applyAlignment="1">
      <alignment shrinkToFit="1"/>
    </xf>
    <xf numFmtId="4" fontId="2" fillId="0" borderId="20" xfId="0" applyNumberFormat="1" applyFont="1" applyBorder="1"/>
    <xf numFmtId="3" fontId="2" fillId="0" borderId="21" xfId="0" applyNumberFormat="1" applyFont="1" applyBorder="1"/>
    <xf numFmtId="2" fontId="2" fillId="0" borderId="5" xfId="0" applyNumberFormat="1" applyFont="1" applyBorder="1"/>
    <xf numFmtId="4" fontId="2" fillId="0" borderId="21" xfId="0" applyNumberFormat="1" applyFont="1" applyBorder="1"/>
    <xf numFmtId="3" fontId="12" fillId="0" borderId="5" xfId="0" applyNumberFormat="1" applyFont="1" applyBorder="1"/>
    <xf numFmtId="2" fontId="2" fillId="0" borderId="2" xfId="0" applyNumberFormat="1" applyFont="1" applyBorder="1"/>
    <xf numFmtId="2" fontId="6" fillId="0" borderId="9" xfId="0" applyNumberFormat="1" applyFont="1" applyBorder="1"/>
    <xf numFmtId="4" fontId="6" fillId="0" borderId="10" xfId="0" applyNumberFormat="1" applyFont="1" applyBorder="1" applyAlignment="1">
      <alignment horizontal="right"/>
    </xf>
    <xf numFmtId="0" fontId="6" fillId="0" borderId="19" xfId="0" applyFont="1" applyBorder="1" applyAlignment="1">
      <alignment shrinkToFit="1"/>
    </xf>
    <xf numFmtId="2" fontId="6" fillId="0" borderId="20" xfId="0" applyNumberFormat="1" applyFont="1" applyBorder="1"/>
    <xf numFmtId="2" fontId="6" fillId="0" borderId="21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0" fontId="13" fillId="0" borderId="17" xfId="0" applyFont="1" applyBorder="1" applyAlignment="1">
      <alignment shrinkToFit="1"/>
    </xf>
    <xf numFmtId="0" fontId="4" fillId="0" borderId="0" xfId="0" applyFont="1"/>
    <xf numFmtId="2" fontId="2" fillId="0" borderId="1" xfId="0" applyNumberFormat="1" applyFont="1" applyBorder="1"/>
    <xf numFmtId="0" fontId="8" fillId="0" borderId="0" xfId="0" applyFont="1"/>
    <xf numFmtId="2" fontId="6" fillId="0" borderId="23" xfId="0" applyNumberFormat="1" applyFont="1" applyBorder="1"/>
    <xf numFmtId="2" fontId="7" fillId="0" borderId="13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12" xfId="0" applyNumberFormat="1" applyFont="1" applyBorder="1"/>
    <xf numFmtId="2" fontId="7" fillId="0" borderId="14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0" fontId="6" fillId="0" borderId="11" xfId="0" applyFont="1" applyBorder="1" applyAlignment="1">
      <alignment shrinkToFit="1"/>
    </xf>
    <xf numFmtId="4" fontId="6" fillId="0" borderId="14" xfId="0" applyNumberFormat="1" applyFont="1" applyBorder="1" applyAlignment="1">
      <alignment horizontal="right"/>
    </xf>
    <xf numFmtId="0" fontId="6" fillId="0" borderId="17" xfId="0" applyFont="1" applyBorder="1" applyAlignment="1">
      <alignment shrinkToFit="1"/>
    </xf>
    <xf numFmtId="2" fontId="6" fillId="0" borderId="4" xfId="0" applyNumberFormat="1" applyFont="1" applyBorder="1"/>
    <xf numFmtId="2" fontId="6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13" fillId="0" borderId="16" xfId="0" applyFont="1" applyBorder="1" applyAlignment="1">
      <alignment shrinkToFit="1"/>
    </xf>
    <xf numFmtId="2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64" fontId="9" fillId="0" borderId="24" xfId="0" applyNumberFormat="1" applyFont="1" applyBorder="1" applyAlignment="1">
      <alignment horizontal="right"/>
    </xf>
    <xf numFmtId="2" fontId="9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0" borderId="0" xfId="0" applyFont="1" applyAlignment="1">
      <alignment horizontal="center" vertical="justify"/>
    </xf>
    <xf numFmtId="164" fontId="6" fillId="0" borderId="0" xfId="0" applyNumberFormat="1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-4.%20sz.%20mell&#233;klet%202020.%20&#233;vi%20z&#225;r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nként2020."/>
      <sheetName val="önként2020.felh."/>
      <sheetName val="önkét2020.finansz.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F18FA-F23A-4106-89C1-F5121A1AA809}">
  <sheetPr>
    <pageSetUpPr fitToPage="1"/>
  </sheetPr>
  <dimension ref="A1:M45"/>
  <sheetViews>
    <sheetView tabSelected="1" topLeftCell="B1" zoomScaleNormal="100" workbookViewId="0">
      <selection activeCell="A47" sqref="A47:IV74"/>
    </sheetView>
  </sheetViews>
  <sheetFormatPr defaultRowHeight="12.75" x14ac:dyDescent="0.2"/>
  <cols>
    <col min="1" max="1" width="1.140625" style="1" hidden="1" customWidth="1"/>
    <col min="2" max="2" width="33.28515625" style="1" customWidth="1"/>
    <col min="3" max="3" width="10.42578125" style="1" customWidth="1"/>
    <col min="4" max="4" width="9.7109375" style="1" bestFit="1" customWidth="1"/>
    <col min="5" max="5" width="9.7109375" style="1" customWidth="1"/>
    <col min="6" max="6" width="10.85546875" style="1" customWidth="1"/>
    <col min="7" max="7" width="10.140625" style="1" customWidth="1"/>
    <col min="8" max="8" width="11.5703125" style="1" customWidth="1"/>
    <col min="9" max="9" width="8.42578125" style="1" customWidth="1"/>
    <col min="10" max="10" width="9.7109375" style="1" customWidth="1"/>
    <col min="11" max="11" width="10" style="1" customWidth="1"/>
    <col min="12" max="12" width="11.140625" style="1" customWidth="1"/>
    <col min="13" max="13" width="13" style="1" customWidth="1"/>
    <col min="14" max="16384" width="9.140625" style="1"/>
  </cols>
  <sheetData>
    <row r="1" spans="2:13" ht="12.4" customHeight="1" x14ac:dyDescent="0.2">
      <c r="L1" s="56" t="s">
        <v>55</v>
      </c>
      <c r="M1" s="56"/>
    </row>
    <row r="2" spans="2:13" ht="14.25" customHeight="1" x14ac:dyDescent="0.2">
      <c r="B2" s="55" t="s">
        <v>54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ht="12.4" customHeight="1" thickBot="1" x14ac:dyDescent="0.25">
      <c r="B3" s="54"/>
      <c r="C3" s="54"/>
      <c r="D3" s="54"/>
      <c r="E3" s="54"/>
      <c r="F3" s="54"/>
      <c r="G3" s="54"/>
      <c r="H3" s="54"/>
      <c r="I3" s="54"/>
      <c r="J3" s="54"/>
      <c r="K3" s="54"/>
      <c r="L3" s="53"/>
      <c r="M3" s="52" t="s">
        <v>53</v>
      </c>
    </row>
    <row r="4" spans="2:13" s="48" customFormat="1" ht="41.25" customHeight="1" thickBot="1" x14ac:dyDescent="0.25">
      <c r="B4" s="51" t="s">
        <v>52</v>
      </c>
      <c r="C4" s="50" t="s">
        <v>51</v>
      </c>
      <c r="D4" s="50" t="s">
        <v>50</v>
      </c>
      <c r="E4" s="50" t="s">
        <v>49</v>
      </c>
      <c r="F4" s="50" t="s">
        <v>48</v>
      </c>
      <c r="G4" s="50" t="s">
        <v>47</v>
      </c>
      <c r="H4" s="50" t="s">
        <v>46</v>
      </c>
      <c r="I4" s="50" t="s">
        <v>45</v>
      </c>
      <c r="J4" s="50" t="s">
        <v>44</v>
      </c>
      <c r="K4" s="50" t="s">
        <v>43</v>
      </c>
      <c r="L4" s="50" t="s">
        <v>42</v>
      </c>
      <c r="M4" s="49" t="s">
        <v>41</v>
      </c>
    </row>
    <row r="5" spans="2:13" ht="12.6" customHeight="1" x14ac:dyDescent="0.2">
      <c r="B5" s="29" t="s">
        <v>40</v>
      </c>
      <c r="C5" s="28">
        <v>26500</v>
      </c>
      <c r="D5" s="23"/>
      <c r="E5" s="23">
        <f>SUM(D5/C5)*100</f>
        <v>0</v>
      </c>
      <c r="F5" s="23"/>
      <c r="G5" s="22">
        <f>SUM(F5/C5)*100</f>
        <v>0</v>
      </c>
      <c r="H5" s="23"/>
      <c r="I5" s="22">
        <f>SUM(H5/C5)*100</f>
        <v>0</v>
      </c>
      <c r="J5" s="22"/>
      <c r="K5" s="22">
        <f>SUM(J5/C5)*100</f>
        <v>0</v>
      </c>
      <c r="L5" s="22">
        <f>SUM(C5-D5-F5-H5-J5)</f>
        <v>26500</v>
      </c>
      <c r="M5" s="21">
        <f>SUM(L5/C5)*100</f>
        <v>100</v>
      </c>
    </row>
    <row r="6" spans="2:13" ht="12.6" customHeight="1" x14ac:dyDescent="0.2">
      <c r="B6" s="29" t="s">
        <v>39</v>
      </c>
      <c r="C6" s="28">
        <v>55018</v>
      </c>
      <c r="D6" s="23"/>
      <c r="E6" s="23">
        <f>SUM(D6/C6)*100</f>
        <v>0</v>
      </c>
      <c r="F6" s="23"/>
      <c r="G6" s="22">
        <f>SUM(F6/C6)*100</f>
        <v>0</v>
      </c>
      <c r="H6" s="23"/>
      <c r="I6" s="22">
        <f>SUM(H6/C6)*100</f>
        <v>0</v>
      </c>
      <c r="J6" s="22"/>
      <c r="K6" s="22">
        <f>SUM(J6/C6)*100</f>
        <v>0</v>
      </c>
      <c r="L6" s="22">
        <f>SUM(C6-D6-F6-H6-J6)</f>
        <v>55018</v>
      </c>
      <c r="M6" s="21">
        <f>SUM(L6/C6)*100</f>
        <v>100</v>
      </c>
    </row>
    <row r="7" spans="2:13" ht="12.6" customHeight="1" x14ac:dyDescent="0.2">
      <c r="B7" s="29" t="s">
        <v>38</v>
      </c>
      <c r="C7" s="28">
        <f>262900-13000</f>
        <v>249900</v>
      </c>
      <c r="D7" s="23"/>
      <c r="E7" s="23">
        <f>SUM(D7/C7)*100</f>
        <v>0</v>
      </c>
      <c r="F7" s="23">
        <v>10671</v>
      </c>
      <c r="G7" s="22">
        <f>SUM(F7/C7)*100</f>
        <v>4.2701080432172871</v>
      </c>
      <c r="H7" s="23"/>
      <c r="I7" s="22">
        <f>SUM(H7/C7)*100</f>
        <v>0</v>
      </c>
      <c r="J7" s="22"/>
      <c r="K7" s="22">
        <f>SUM(J7/C7)*100</f>
        <v>0</v>
      </c>
      <c r="L7" s="22">
        <f>SUM(C7-D7-F7-H7-J7)</f>
        <v>239229</v>
      </c>
      <c r="M7" s="21">
        <f>SUM(L7/C7)*100</f>
        <v>95.729891956782708</v>
      </c>
    </row>
    <row r="8" spans="2:13" ht="12.6" customHeight="1" x14ac:dyDescent="0.2">
      <c r="B8" s="29" t="s">
        <v>37</v>
      </c>
      <c r="C8" s="28">
        <v>243952</v>
      </c>
      <c r="D8" s="23"/>
      <c r="E8" s="23">
        <f>SUM(D8/C8)*100</f>
        <v>0</v>
      </c>
      <c r="F8" s="23"/>
      <c r="G8" s="23">
        <f>SUM(F8/C8)*100</f>
        <v>0</v>
      </c>
      <c r="H8" s="23"/>
      <c r="I8" s="22">
        <f>SUM(H8/C8)*100</f>
        <v>0</v>
      </c>
      <c r="J8" s="22"/>
      <c r="K8" s="22">
        <f>SUM(J8/C8)*100</f>
        <v>0</v>
      </c>
      <c r="L8" s="22">
        <f>SUM(C8-D8-F8-H8-J8)</f>
        <v>243952</v>
      </c>
      <c r="M8" s="21">
        <f>SUM(L8/C8)*100</f>
        <v>100</v>
      </c>
    </row>
    <row r="9" spans="2:13" ht="12.6" customHeight="1" x14ac:dyDescent="0.2">
      <c r="B9" s="29" t="s">
        <v>36</v>
      </c>
      <c r="C9" s="28">
        <v>811179</v>
      </c>
      <c r="D9" s="23"/>
      <c r="E9" s="23">
        <f>SUM(D9/C9)*100</f>
        <v>0</v>
      </c>
      <c r="F9" s="23"/>
      <c r="G9" s="23">
        <f>SUM(F9/C9)*100</f>
        <v>0</v>
      </c>
      <c r="H9" s="23"/>
      <c r="I9" s="22">
        <f>SUM(H9/C9)*100</f>
        <v>0</v>
      </c>
      <c r="J9" s="22"/>
      <c r="K9" s="22">
        <f>SUM(J9/C9)*100</f>
        <v>0</v>
      </c>
      <c r="L9" s="22">
        <f>SUM(C9-D9-F9-H9-J9)</f>
        <v>811179</v>
      </c>
      <c r="M9" s="21">
        <f>SUM(L9/C9)*100</f>
        <v>100</v>
      </c>
    </row>
    <row r="10" spans="2:13" ht="12.6" customHeight="1" x14ac:dyDescent="0.2">
      <c r="B10" s="29" t="s">
        <v>35</v>
      </c>
      <c r="C10" s="28">
        <v>512687</v>
      </c>
      <c r="D10" s="23"/>
      <c r="E10" s="23">
        <f>SUM(D10/C10)*100</f>
        <v>0</v>
      </c>
      <c r="F10" s="23"/>
      <c r="G10" s="23">
        <f>SUM(F10/C10)*100</f>
        <v>0</v>
      </c>
      <c r="H10" s="23"/>
      <c r="I10" s="22">
        <f>SUM(H10/C10)*100</f>
        <v>0</v>
      </c>
      <c r="J10" s="22"/>
      <c r="K10" s="22">
        <f>SUM(J10/C10)*100</f>
        <v>0</v>
      </c>
      <c r="L10" s="22">
        <f>SUM(C10-D10-F10-H10-J10)</f>
        <v>512687</v>
      </c>
      <c r="M10" s="21">
        <f>SUM(L10/C10)*100</f>
        <v>100</v>
      </c>
    </row>
    <row r="11" spans="2:13" ht="12.6" customHeight="1" x14ac:dyDescent="0.2">
      <c r="B11" s="29" t="s">
        <v>34</v>
      </c>
      <c r="C11" s="28">
        <v>2074330</v>
      </c>
      <c r="D11" s="23">
        <v>2581088</v>
      </c>
      <c r="E11" s="23">
        <f>SUM(D11/C11)*100</f>
        <v>124.42996051737187</v>
      </c>
      <c r="F11" s="23"/>
      <c r="G11" s="23">
        <f>SUM(F11/C11)*100</f>
        <v>0</v>
      </c>
      <c r="H11" s="23"/>
      <c r="I11" s="22">
        <f>SUM(H11/C11)*100</f>
        <v>0</v>
      </c>
      <c r="J11" s="22"/>
      <c r="K11" s="22">
        <f>SUM(J11/C11)*100</f>
        <v>0</v>
      </c>
      <c r="L11" s="22">
        <f>SUM(C11-D11-F11-H11-J11)</f>
        <v>-506758</v>
      </c>
      <c r="M11" s="21">
        <f>SUM(L11/C11)*100</f>
        <v>-24.429960517371875</v>
      </c>
    </row>
    <row r="12" spans="2:13" ht="12.6" customHeight="1" x14ac:dyDescent="0.2">
      <c r="B12" s="29" t="s">
        <v>33</v>
      </c>
      <c r="C12" s="25">
        <v>358812</v>
      </c>
      <c r="D12" s="24">
        <f>758279-50000</f>
        <v>708279</v>
      </c>
      <c r="E12" s="23">
        <f>SUM(D12/C12)*100</f>
        <v>197.39557205444635</v>
      </c>
      <c r="F12" s="24"/>
      <c r="G12" s="23">
        <f>SUM(F12/C12)*100</f>
        <v>0</v>
      </c>
      <c r="H12" s="24"/>
      <c r="I12" s="22">
        <f>SUM(H12/C12)*100</f>
        <v>0</v>
      </c>
      <c r="J12" s="23"/>
      <c r="K12" s="22">
        <f>SUM(J12/C12)*100</f>
        <v>0</v>
      </c>
      <c r="L12" s="22">
        <f>SUM(C12-D12-F12-H12-J12)</f>
        <v>-349467</v>
      </c>
      <c r="M12" s="21">
        <f>SUM(L12/C12)*100</f>
        <v>-97.395572054446347</v>
      </c>
    </row>
    <row r="13" spans="2:13" ht="12.6" customHeight="1" x14ac:dyDescent="0.2">
      <c r="B13" s="26" t="s">
        <v>32</v>
      </c>
      <c r="C13" s="25">
        <f>978221+236087</f>
        <v>1214308</v>
      </c>
      <c r="D13" s="24">
        <v>2579996.7200000002</v>
      </c>
      <c r="E13" s="24">
        <f>SUM(D13/C13)*100</f>
        <v>212.46641873396209</v>
      </c>
      <c r="F13" s="24"/>
      <c r="G13" s="24">
        <f>SUM(F13/C13)*100</f>
        <v>0</v>
      </c>
      <c r="H13" s="24"/>
      <c r="I13" s="22">
        <f>SUM(H13/C13)*100</f>
        <v>0</v>
      </c>
      <c r="J13" s="27"/>
      <c r="K13" s="22">
        <f>SUM(J13/C13)*100</f>
        <v>0</v>
      </c>
      <c r="L13" s="22">
        <f>SUM(C13-D13-F13-H13-J13)</f>
        <v>-1365688.7200000002</v>
      </c>
      <c r="M13" s="41">
        <f>SUM(L13/C13)*100</f>
        <v>-112.46641873396209</v>
      </c>
    </row>
    <row r="14" spans="2:13" ht="12.6" customHeight="1" thickBot="1" x14ac:dyDescent="0.25">
      <c r="B14" s="26" t="s">
        <v>31</v>
      </c>
      <c r="C14" s="25">
        <f>238394-34424-25816</f>
        <v>178154</v>
      </c>
      <c r="D14" s="24">
        <v>43193</v>
      </c>
      <c r="E14" s="24">
        <f>SUM(D14/C14)*100</f>
        <v>24.244754538208515</v>
      </c>
      <c r="F14" s="24">
        <f>16665+51113-7839</f>
        <v>59939</v>
      </c>
      <c r="G14" s="24">
        <f>SUM(F14/C14)*100</f>
        <v>33.644487353637864</v>
      </c>
      <c r="H14" s="24"/>
      <c r="I14" s="27">
        <f>SUM(H14/C14)*100</f>
        <v>0</v>
      </c>
      <c r="J14" s="24"/>
      <c r="K14" s="27">
        <f>SUM(J14/C14)*100</f>
        <v>0</v>
      </c>
      <c r="L14" s="27">
        <f>SUM(C14-D14-F14-H14-J14)</f>
        <v>75022</v>
      </c>
      <c r="M14" s="41">
        <f>SUM(L14/C14)*100</f>
        <v>42.110758108153618</v>
      </c>
    </row>
    <row r="15" spans="2:13" s="7" customFormat="1" ht="12.6" customHeight="1" thickBot="1" x14ac:dyDescent="0.25">
      <c r="B15" s="14" t="s">
        <v>30</v>
      </c>
      <c r="C15" s="4">
        <f>SUM(C5:C14)</f>
        <v>5724840</v>
      </c>
      <c r="D15" s="4">
        <f>SUM(D5:D14)</f>
        <v>5912556.7200000007</v>
      </c>
      <c r="E15" s="4">
        <f>SUM(D15/C15)*100</f>
        <v>103.27898631228123</v>
      </c>
      <c r="F15" s="4">
        <f>SUM(F5:F14)</f>
        <v>70610</v>
      </c>
      <c r="G15" s="4">
        <f>SUM(F15/C15)*100</f>
        <v>1.2333969158963394</v>
      </c>
      <c r="H15" s="4">
        <f>SUM(H5:H14)</f>
        <v>0</v>
      </c>
      <c r="I15" s="4">
        <f>SUM(H15/C15)*100</f>
        <v>0</v>
      </c>
      <c r="J15" s="4">
        <f>SUM(J5:J14)</f>
        <v>0</v>
      </c>
      <c r="K15" s="4">
        <f>SUM(J15/C15)*100</f>
        <v>0</v>
      </c>
      <c r="L15" s="4">
        <f>SUM(L5:L14)</f>
        <v>-258326.7200000002</v>
      </c>
      <c r="M15" s="3">
        <f>SUM(L15/C15)*100</f>
        <v>-4.5123832281775602</v>
      </c>
    </row>
    <row r="16" spans="2:13" s="40" customFormat="1" ht="12.6" customHeight="1" x14ac:dyDescent="0.2">
      <c r="B16" s="47" t="s">
        <v>29</v>
      </c>
      <c r="C16" s="28">
        <v>33792</v>
      </c>
      <c r="D16" s="44">
        <v>3163</v>
      </c>
      <c r="E16" s="23">
        <f>SUM(D16/C16)*100</f>
        <v>9.3602035984848477</v>
      </c>
      <c r="F16" s="44"/>
      <c r="G16" s="44">
        <f>SUM(F16/C16)*100</f>
        <v>0</v>
      </c>
      <c r="H16" s="44"/>
      <c r="I16" s="44">
        <f>SUM(H16/C16)*100</f>
        <v>0</v>
      </c>
      <c r="J16" s="42">
        <v>3100</v>
      </c>
      <c r="K16" s="42">
        <f>SUM(J16/C16)*100</f>
        <v>9.1737689393939394</v>
      </c>
      <c r="L16" s="22">
        <f>SUM(C16-D16-F16-H16-J16)</f>
        <v>27529</v>
      </c>
      <c r="M16" s="21">
        <f>SUM(L16/C16)*100</f>
        <v>81.466027462121218</v>
      </c>
    </row>
    <row r="17" spans="2:13" s="40" customFormat="1" ht="12.6" customHeight="1" x14ac:dyDescent="0.2">
      <c r="B17" s="47" t="s">
        <v>28</v>
      </c>
      <c r="C17" s="28">
        <v>189321</v>
      </c>
      <c r="D17" s="44">
        <v>13270</v>
      </c>
      <c r="E17" s="23">
        <f>SUM(D17/C17)*100</f>
        <v>7.0092594059824318</v>
      </c>
      <c r="F17" s="44"/>
      <c r="G17" s="44">
        <f>SUM(F17/C17)*100</f>
        <v>0</v>
      </c>
      <c r="H17" s="44">
        <v>55612</v>
      </c>
      <c r="I17" s="44">
        <f>SUM(H17/C17)*100</f>
        <v>29.374448687678601</v>
      </c>
      <c r="J17" s="42"/>
      <c r="K17" s="42">
        <f>SUM(J17/C17)*100</f>
        <v>0</v>
      </c>
      <c r="L17" s="22">
        <f>SUM(C17-D17-F17-H17-J17)</f>
        <v>120439</v>
      </c>
      <c r="M17" s="21">
        <f>SUM(L17/C17)*100</f>
        <v>63.616291906338972</v>
      </c>
    </row>
    <row r="18" spans="2:13" s="40" customFormat="1" ht="12.6" customHeight="1" x14ac:dyDescent="0.2">
      <c r="B18" s="47" t="s">
        <v>27</v>
      </c>
      <c r="C18" s="28">
        <v>70282</v>
      </c>
      <c r="D18" s="44">
        <v>6</v>
      </c>
      <c r="E18" s="23">
        <f>SUM(D18/C18)*100</f>
        <v>8.5370365100594751E-3</v>
      </c>
      <c r="F18" s="44">
        <v>5</v>
      </c>
      <c r="G18" s="44">
        <f>SUM(F18/C18)*100</f>
        <v>7.1141970917162293E-3</v>
      </c>
      <c r="H18" s="44">
        <v>74475</v>
      </c>
      <c r="I18" s="44">
        <f>SUM(H18/C18)*100</f>
        <v>105.96596568111323</v>
      </c>
      <c r="J18" s="42"/>
      <c r="K18" s="42">
        <f>SUM(J18/C18)*100</f>
        <v>0</v>
      </c>
      <c r="L18" s="22">
        <f>SUM(C18-D18-F18-H18-J18)</f>
        <v>-4204</v>
      </c>
      <c r="M18" s="21">
        <f>SUM(L18/C18)*100</f>
        <v>-5.9816169147150049</v>
      </c>
    </row>
    <row r="19" spans="2:13" s="40" customFormat="1" ht="12.6" customHeight="1" x14ac:dyDescent="0.2">
      <c r="B19" s="47" t="s">
        <v>26</v>
      </c>
      <c r="C19" s="28">
        <v>13141</v>
      </c>
      <c r="D19" s="44"/>
      <c r="E19" s="23">
        <f>SUM(D19/C19)*100</f>
        <v>0</v>
      </c>
      <c r="F19" s="44">
        <v>1</v>
      </c>
      <c r="G19" s="44">
        <f>SUM(F19/C19)*100</f>
        <v>7.6097709458945286E-3</v>
      </c>
      <c r="H19" s="44">
        <v>17239</v>
      </c>
      <c r="I19" s="44">
        <f>SUM(H19/C19)*100</f>
        <v>131.18484133627578</v>
      </c>
      <c r="J19" s="42"/>
      <c r="K19" s="42">
        <f>SUM(J19/C19)*100</f>
        <v>0</v>
      </c>
      <c r="L19" s="22">
        <f>SUM(C19-D19-F19-H19-J19)</f>
        <v>-4099</v>
      </c>
      <c r="M19" s="21">
        <f>SUM(L19/C19)*100</f>
        <v>-31.192451107221675</v>
      </c>
    </row>
    <row r="20" spans="2:13" s="40" customFormat="1" ht="12.6" customHeight="1" thickBot="1" x14ac:dyDescent="0.25">
      <c r="B20" s="46" t="s">
        <v>25</v>
      </c>
      <c r="C20" s="25">
        <v>1716</v>
      </c>
      <c r="D20" s="45">
        <v>1766</v>
      </c>
      <c r="E20" s="24">
        <f>SUM(D20/C20)*100</f>
        <v>102.91375291375292</v>
      </c>
      <c r="F20" s="45"/>
      <c r="G20" s="45">
        <f>SUM(F20/C20)*100</f>
        <v>0</v>
      </c>
      <c r="H20" s="45">
        <v>2150</v>
      </c>
      <c r="I20" s="44">
        <f>SUM(H20/C20)*100</f>
        <v>125.29137529137529</v>
      </c>
      <c r="J20" s="43"/>
      <c r="K20" s="42">
        <f>SUM(J20/C20)*100</f>
        <v>0</v>
      </c>
      <c r="L20" s="22">
        <f>SUM(C20-D20-F20-H20-J20)</f>
        <v>-2200</v>
      </c>
      <c r="M20" s="41">
        <f>SUM(L20/C20)*100</f>
        <v>-128.2051282051282</v>
      </c>
    </row>
    <row r="21" spans="2:13" s="7" customFormat="1" ht="12.6" customHeight="1" thickBot="1" x14ac:dyDescent="0.25">
      <c r="B21" s="14" t="s">
        <v>24</v>
      </c>
      <c r="C21" s="4">
        <f>SUM(C16:C20)</f>
        <v>308252</v>
      </c>
      <c r="D21" s="4">
        <f>SUM(D16:D20)</f>
        <v>18205</v>
      </c>
      <c r="E21" s="4">
        <f>SUM(D21/C21)*100</f>
        <v>5.9058822002776949</v>
      </c>
      <c r="F21" s="4">
        <f>SUM(F16:F20)</f>
        <v>6</v>
      </c>
      <c r="G21" s="4">
        <f>SUM(F21/C21)*100</f>
        <v>1.946459390368919E-3</v>
      </c>
      <c r="H21" s="4">
        <f>SUM(H16:H20)</f>
        <v>149476</v>
      </c>
      <c r="I21" s="4">
        <f>SUM(H21/C21)*100</f>
        <v>48.491493972464092</v>
      </c>
      <c r="J21" s="4">
        <f>SUM(J16:J20)</f>
        <v>3100</v>
      </c>
      <c r="K21" s="4">
        <f>SUM(J21/C21)*100</f>
        <v>1.0056706850239414</v>
      </c>
      <c r="L21" s="4">
        <f>SUM(L16:L20)</f>
        <v>137465</v>
      </c>
      <c r="M21" s="3">
        <f>SUM(L21/C21)*100</f>
        <v>44.595006682843909</v>
      </c>
    </row>
    <row r="22" spans="2:13" ht="12.6" customHeight="1" x14ac:dyDescent="0.2">
      <c r="B22" s="39" t="s">
        <v>23</v>
      </c>
      <c r="C22" s="38">
        <v>562002</v>
      </c>
      <c r="D22" s="37">
        <v>46365</v>
      </c>
      <c r="E22" s="37">
        <f>SUM(D22/C22)*100</f>
        <v>8.249970640673876</v>
      </c>
      <c r="F22" s="37"/>
      <c r="G22" s="37">
        <f>SUM(F22/C22)*100</f>
        <v>0</v>
      </c>
      <c r="H22" s="37"/>
      <c r="I22" s="37">
        <f>SUM(H22/C22)*100</f>
        <v>0</v>
      </c>
      <c r="J22" s="37">
        <v>12725.664000000001</v>
      </c>
      <c r="K22" s="37">
        <f>SUM(J22/C22)*100</f>
        <v>2.2643449667438906</v>
      </c>
      <c r="L22" s="37">
        <f>SUM(C22-D22-F22-H22-J22)</f>
        <v>502911.33600000001</v>
      </c>
      <c r="M22" s="36">
        <f>SUM(L22/C22)*100</f>
        <v>89.485684392582229</v>
      </c>
    </row>
    <row r="23" spans="2:13" ht="12.6" customHeight="1" thickBot="1" x14ac:dyDescent="0.25">
      <c r="B23" s="20" t="s">
        <v>22</v>
      </c>
      <c r="C23" s="19">
        <v>1101967</v>
      </c>
      <c r="D23" s="18">
        <v>711558</v>
      </c>
      <c r="E23" s="18">
        <f>SUM(D23/C23)*100</f>
        <v>64.571625103111074</v>
      </c>
      <c r="F23" s="18"/>
      <c r="G23" s="18">
        <f>SUM(F23/C23)*100</f>
        <v>0</v>
      </c>
      <c r="H23" s="18"/>
      <c r="I23" s="18">
        <f>SUM(H23/C23)*100</f>
        <v>0</v>
      </c>
      <c r="J23" s="18">
        <v>18618.335999999999</v>
      </c>
      <c r="K23" s="18">
        <f>SUM(J23/C23)*100</f>
        <v>1.6895547688814638</v>
      </c>
      <c r="L23" s="18">
        <f>SUM(C23-D23-F23-H23-J23)</f>
        <v>371790.66399999999</v>
      </c>
      <c r="M23" s="17">
        <f>SUM(L23/C23)*100</f>
        <v>33.738820128007461</v>
      </c>
    </row>
    <row r="24" spans="2:13" ht="12.6" customHeight="1" thickBot="1" x14ac:dyDescent="0.25">
      <c r="B24" s="14" t="s">
        <v>21</v>
      </c>
      <c r="C24" s="4">
        <f>SUM(C22:C23)</f>
        <v>1663969</v>
      </c>
      <c r="D24" s="4">
        <f>SUM(D22:D23)</f>
        <v>757923</v>
      </c>
      <c r="E24" s="4">
        <f>SUM(D24/C24)*100</f>
        <v>45.549105782619748</v>
      </c>
      <c r="F24" s="4">
        <f>SUM(F22:F23)</f>
        <v>0</v>
      </c>
      <c r="G24" s="4">
        <f>SUM(G22:G23)</f>
        <v>0</v>
      </c>
      <c r="H24" s="4">
        <f>SUM(H22:H23)</f>
        <v>0</v>
      </c>
      <c r="I24" s="4">
        <f>SUM(I22:I23)</f>
        <v>0</v>
      </c>
      <c r="J24" s="4">
        <f>SUM(J22:J23)</f>
        <v>31344</v>
      </c>
      <c r="K24" s="4">
        <f>SUM(K22:K23)</f>
        <v>3.9538997356253542</v>
      </c>
      <c r="L24" s="4">
        <f>SUM(L22:L23)</f>
        <v>874702</v>
      </c>
      <c r="M24" s="3">
        <f>SUM(L24/C24)*100</f>
        <v>52.567205278463724</v>
      </c>
    </row>
    <row r="25" spans="2:13" ht="12.6" customHeight="1" x14ac:dyDescent="0.2">
      <c r="B25" s="35" t="s">
        <v>20</v>
      </c>
      <c r="C25" s="34">
        <f>1675946-979</f>
        <v>1674967</v>
      </c>
      <c r="D25" s="27">
        <v>38321</v>
      </c>
      <c r="E25" s="27">
        <f>SUM(D25/C25)*100</f>
        <v>2.2878659698967203</v>
      </c>
      <c r="F25" s="27">
        <f>322798+61809</f>
        <v>384607</v>
      </c>
      <c r="G25" s="27">
        <f>SUM(F25/C25)*100</f>
        <v>22.962064327237492</v>
      </c>
      <c r="H25" s="27">
        <v>25577</v>
      </c>
      <c r="I25" s="27">
        <f>SUM(H25/C25)*100</f>
        <v>1.5270151591046273</v>
      </c>
      <c r="J25" s="27">
        <f>45256-4</f>
        <v>45252</v>
      </c>
      <c r="K25" s="27">
        <f>SUM(J25/C25)*100</f>
        <v>2.7016651671346361</v>
      </c>
      <c r="L25" s="27">
        <f>SUM(C25-D25-F25-H25-J25)</f>
        <v>1181210</v>
      </c>
      <c r="M25" s="33">
        <f>SUM(L25/C25)*100</f>
        <v>70.521389376626516</v>
      </c>
    </row>
    <row r="26" spans="2:13" ht="12.6" customHeight="1" thickBot="1" x14ac:dyDescent="0.25">
      <c r="B26" s="29" t="s">
        <v>19</v>
      </c>
      <c r="C26" s="28">
        <v>979</v>
      </c>
      <c r="D26" s="23"/>
      <c r="E26" s="23">
        <f>SUM(D26/C26)*100</f>
        <v>0</v>
      </c>
      <c r="F26" s="23"/>
      <c r="G26" s="23">
        <f>SUM(F26/C26)*100</f>
        <v>0</v>
      </c>
      <c r="H26" s="23"/>
      <c r="I26" s="23">
        <f>SUM(H26/C26)*100</f>
        <v>0</v>
      </c>
      <c r="J26" s="23"/>
      <c r="K26" s="23">
        <f>SUM(J26/C26)*100</f>
        <v>0</v>
      </c>
      <c r="L26" s="23">
        <f>SUM(C26-D26-F26-H26-J26)</f>
        <v>979</v>
      </c>
      <c r="M26" s="21">
        <f>SUM(L26/C26)*100</f>
        <v>100</v>
      </c>
    </row>
    <row r="27" spans="2:13" ht="12.6" customHeight="1" thickBot="1" x14ac:dyDescent="0.25">
      <c r="B27" s="14" t="s">
        <v>18</v>
      </c>
      <c r="C27" s="4">
        <f>SUM(C25:C26)</f>
        <v>1675946</v>
      </c>
      <c r="D27" s="4">
        <f>SUM(D25:D26)</f>
        <v>38321</v>
      </c>
      <c r="E27" s="4">
        <f>SUM(D27/C27)*100</f>
        <v>2.2865295182541678</v>
      </c>
      <c r="F27" s="4">
        <f>SUM(F25:F26)</f>
        <v>384607</v>
      </c>
      <c r="G27" s="4">
        <f>SUM(F27/C27)*100</f>
        <v>22.948651090190257</v>
      </c>
      <c r="H27" s="4">
        <f>SUM(H25:H26)</f>
        <v>25577</v>
      </c>
      <c r="I27" s="4">
        <f>SUM(H27/C27)*100</f>
        <v>1.5261231567126865</v>
      </c>
      <c r="J27" s="4">
        <f>SUM(J25)</f>
        <v>45252</v>
      </c>
      <c r="K27" s="4">
        <f>SUM(J27/C27)*100</f>
        <v>2.7000869956430575</v>
      </c>
      <c r="L27" s="4">
        <f>SUM(L25:L26)</f>
        <v>1182189</v>
      </c>
      <c r="M27" s="3">
        <f>SUM(L27/C27)*100</f>
        <v>70.538609239199829</v>
      </c>
    </row>
    <row r="28" spans="2:13" ht="12.6" customHeight="1" thickBot="1" x14ac:dyDescent="0.25">
      <c r="B28" s="35" t="s">
        <v>17</v>
      </c>
      <c r="C28" s="34">
        <v>245483</v>
      </c>
      <c r="D28" s="27">
        <v>6587</v>
      </c>
      <c r="E28" s="27">
        <f>SUM(D28/C28)*100</f>
        <v>2.6832815306966267</v>
      </c>
      <c r="F28" s="27">
        <f>32210+48609+29332+1452+4452+46+703+2666+438+950+7000+447+535+83</f>
        <v>128923</v>
      </c>
      <c r="G28" s="27">
        <f>SUM(F28/C28)*100</f>
        <v>52.518096976165353</v>
      </c>
      <c r="H28" s="27"/>
      <c r="I28" s="27">
        <f>SUM(H28/C28)*100</f>
        <v>0</v>
      </c>
      <c r="J28" s="27">
        <f>15605-250</f>
        <v>15355</v>
      </c>
      <c r="K28" s="27">
        <f>SUM(J28/C28)*100</f>
        <v>6.2550156222630493</v>
      </c>
      <c r="L28" s="27">
        <f>SUM(C28-D28-F28-H28-J28)</f>
        <v>94618</v>
      </c>
      <c r="M28" s="33">
        <f>SUM(L28/C28)*100</f>
        <v>38.54360587087497</v>
      </c>
    </row>
    <row r="29" spans="2:13" ht="12.6" customHeight="1" thickBot="1" x14ac:dyDescent="0.25">
      <c r="B29" s="14" t="s">
        <v>16</v>
      </c>
      <c r="C29" s="4">
        <f>SUM(C28)</f>
        <v>245483</v>
      </c>
      <c r="D29" s="5">
        <f>SUM(D28)</f>
        <v>6587</v>
      </c>
      <c r="E29" s="5">
        <f>SUM(D29/C29)*100</f>
        <v>2.6832815306966267</v>
      </c>
      <c r="F29" s="5">
        <f>SUM(F28)</f>
        <v>128923</v>
      </c>
      <c r="G29" s="5">
        <f>SUM(F29/C29)*100</f>
        <v>52.518096976165353</v>
      </c>
      <c r="H29" s="5">
        <f>SUM(H28)</f>
        <v>0</v>
      </c>
      <c r="I29" s="5">
        <f>SUM(H29/C29)*100</f>
        <v>0</v>
      </c>
      <c r="J29" s="5">
        <f>SUM(J28)</f>
        <v>15355</v>
      </c>
      <c r="K29" s="5">
        <f>SUM(J29/C29)*100</f>
        <v>6.2550156222630493</v>
      </c>
      <c r="L29" s="5">
        <f>SUM(L28)</f>
        <v>94618</v>
      </c>
      <c r="M29" s="15">
        <f>SUM(L29/C29)*100</f>
        <v>38.54360587087497</v>
      </c>
    </row>
    <row r="30" spans="2:13" ht="12.6" customHeight="1" x14ac:dyDescent="0.2">
      <c r="B30" s="32" t="s">
        <v>15</v>
      </c>
      <c r="C30" s="31">
        <v>216258</v>
      </c>
      <c r="D30" s="22">
        <v>80</v>
      </c>
      <c r="E30" s="22">
        <f>SUM(D30/C30)*100</f>
        <v>3.6992851131518831E-2</v>
      </c>
      <c r="F30" s="22">
        <f>64600+7290+4858+3405+3056</f>
        <v>83209</v>
      </c>
      <c r="G30" s="22">
        <f>SUM(F30/C30)*100</f>
        <v>38.476726872531884</v>
      </c>
      <c r="H30" s="22"/>
      <c r="I30" s="22">
        <f>SUM(H30/C30)*100</f>
        <v>0</v>
      </c>
      <c r="J30" s="22">
        <f>1798+2277-138</f>
        <v>3937</v>
      </c>
      <c r="K30" s="22">
        <f>SUM(J30/C30)*100</f>
        <v>1.8205106863098706</v>
      </c>
      <c r="L30" s="22">
        <f>SUM(C30-D30-F30-H30-J30)</f>
        <v>129032</v>
      </c>
      <c r="M30" s="30">
        <f>SUM(L30/C30)*100</f>
        <v>59.665769590026727</v>
      </c>
    </row>
    <row r="31" spans="2:13" ht="12.6" customHeight="1" x14ac:dyDescent="0.2">
      <c r="B31" s="29" t="s">
        <v>14</v>
      </c>
      <c r="C31" s="28">
        <v>111605</v>
      </c>
      <c r="D31" s="23">
        <v>15835</v>
      </c>
      <c r="E31" s="23">
        <f>SUM(D31/C31)*100</f>
        <v>14.188432417902424</v>
      </c>
      <c r="F31" s="23">
        <f>22490+5870+84+49+3719+2461+33+2320+103</f>
        <v>37129</v>
      </c>
      <c r="G31" s="23">
        <f>SUM(F31/C31)*100</f>
        <v>33.268222749876799</v>
      </c>
      <c r="H31" s="23"/>
      <c r="I31" s="22">
        <f>SUM(H31/C31)*100</f>
        <v>0</v>
      </c>
      <c r="J31" s="22">
        <f>1625-103</f>
        <v>1522</v>
      </c>
      <c r="K31" s="22">
        <f>SUM(J31/C31)*100</f>
        <v>1.3637381837731284</v>
      </c>
      <c r="L31" s="22">
        <f>SUM(C31-D31-F31-H31-J31)</f>
        <v>57119</v>
      </c>
      <c r="M31" s="21">
        <f>SUM(L31/C31)*100</f>
        <v>51.179606648447653</v>
      </c>
    </row>
    <row r="32" spans="2:13" ht="12.6" customHeight="1" x14ac:dyDescent="0.2">
      <c r="B32" s="29" t="s">
        <v>13</v>
      </c>
      <c r="C32" s="28">
        <v>54494</v>
      </c>
      <c r="D32" s="23">
        <v>11643</v>
      </c>
      <c r="E32" s="23">
        <f>SUM(D32/C32)*100</f>
        <v>21.365654934488202</v>
      </c>
      <c r="F32" s="23">
        <f>15432+9406+1666+409+1080+672+575+25</f>
        <v>29265</v>
      </c>
      <c r="G32" s="23">
        <f>SUM(F32/C32)*100</f>
        <v>53.703159980915331</v>
      </c>
      <c r="H32" s="23"/>
      <c r="I32" s="22">
        <f>SUM(H32/C32)*100</f>
        <v>0</v>
      </c>
      <c r="J32" s="22">
        <f>469-25</f>
        <v>444</v>
      </c>
      <c r="K32" s="22">
        <f>SUM(J32/C32)*100</f>
        <v>0.81476859837780313</v>
      </c>
      <c r="L32" s="22">
        <f>SUM(C32-D32-F32-H32-J32)</f>
        <v>13142</v>
      </c>
      <c r="M32" s="21">
        <f>SUM(L32/C32)*100</f>
        <v>24.116416486218668</v>
      </c>
    </row>
    <row r="33" spans="2:13" ht="12.6" customHeight="1" x14ac:dyDescent="0.2">
      <c r="B33" s="29" t="s">
        <v>12</v>
      </c>
      <c r="C33" s="28">
        <v>91891</v>
      </c>
      <c r="D33" s="23">
        <v>32077</v>
      </c>
      <c r="E33" s="23">
        <f>SUM(D33/C33)*100</f>
        <v>34.907662339075642</v>
      </c>
      <c r="F33" s="23">
        <f>22876+879+517+338+325+14</f>
        <v>24949</v>
      </c>
      <c r="G33" s="23">
        <f>SUM(F33/C33)*100</f>
        <v>27.150645873915835</v>
      </c>
      <c r="H33" s="23"/>
      <c r="I33" s="22">
        <f>SUM(H33/C33)*100</f>
        <v>0</v>
      </c>
      <c r="J33" s="22">
        <f>87-14</f>
        <v>73</v>
      </c>
      <c r="K33" s="22">
        <f>SUM(J33/C33)*100</f>
        <v>7.9441947524784798E-2</v>
      </c>
      <c r="L33" s="22">
        <f>SUM(C33-D33-F33-H33-J33)</f>
        <v>34792</v>
      </c>
      <c r="M33" s="21">
        <f>SUM(L33/C33)*100</f>
        <v>37.862249839483738</v>
      </c>
    </row>
    <row r="34" spans="2:13" ht="12.6" customHeight="1" x14ac:dyDescent="0.2">
      <c r="B34" s="29" t="s">
        <v>11</v>
      </c>
      <c r="C34" s="28">
        <v>1884</v>
      </c>
      <c r="D34" s="23"/>
      <c r="E34" s="23">
        <f>SUM(D34/C34)*100</f>
        <v>0</v>
      </c>
      <c r="F34" s="23">
        <f>101+70+45+44+2</f>
        <v>262</v>
      </c>
      <c r="G34" s="23">
        <f>SUM(F34/C34)*100</f>
        <v>13.906581740976645</v>
      </c>
      <c r="H34" s="23">
        <v>866</v>
      </c>
      <c r="I34" s="22">
        <f>SUM(H34/C34)*100</f>
        <v>45.966029723991511</v>
      </c>
      <c r="J34" s="22">
        <f>62-2</f>
        <v>60</v>
      </c>
      <c r="K34" s="22">
        <f>SUM(J34/C34)*100</f>
        <v>3.1847133757961785</v>
      </c>
      <c r="L34" s="22">
        <f>SUM(C34-D34-F34-H34-J34)</f>
        <v>696</v>
      </c>
      <c r="M34" s="21">
        <f>SUM(L34/C34)*100</f>
        <v>36.942675159235669</v>
      </c>
    </row>
    <row r="35" spans="2:13" ht="12.6" customHeight="1" x14ac:dyDescent="0.2">
      <c r="B35" s="29" t="s">
        <v>10</v>
      </c>
      <c r="C35" s="28">
        <v>94857</v>
      </c>
      <c r="D35" s="23">
        <v>4</v>
      </c>
      <c r="E35" s="23">
        <f>SUM(D35/C35)*100</f>
        <v>4.2168738205931033E-3</v>
      </c>
      <c r="F35" s="23">
        <f>10560+6380+3785+2763+2655+117</f>
        <v>26260</v>
      </c>
      <c r="G35" s="23">
        <f>SUM(F35/C35)*100</f>
        <v>27.683776632193723</v>
      </c>
      <c r="H35" s="23"/>
      <c r="I35" s="22">
        <f>SUM(H35/C35)*100</f>
        <v>0</v>
      </c>
      <c r="J35" s="22">
        <f>752-117</f>
        <v>635</v>
      </c>
      <c r="K35" s="22">
        <f>SUM(J35/C35)*100</f>
        <v>0.66942871901915524</v>
      </c>
      <c r="L35" s="22">
        <f>SUM(C35-D35-F35-H35-J35)</f>
        <v>67958</v>
      </c>
      <c r="M35" s="21">
        <f>SUM(L35/C35)*100</f>
        <v>71.642577774966526</v>
      </c>
    </row>
    <row r="36" spans="2:13" ht="12.6" customHeight="1" x14ac:dyDescent="0.2">
      <c r="B36" s="29" t="s">
        <v>9</v>
      </c>
      <c r="C36" s="28">
        <v>126964</v>
      </c>
      <c r="D36" s="23">
        <v>6359</v>
      </c>
      <c r="E36" s="23">
        <f>SUM(D36/C36)*100</f>
        <v>5.0085063482561987</v>
      </c>
      <c r="F36" s="23">
        <f>7480+3440+2319+1048+1348+57</f>
        <v>15692</v>
      </c>
      <c r="G36" s="23">
        <f>SUM(F36/C36)*100</f>
        <v>12.359408966321162</v>
      </c>
      <c r="H36" s="23"/>
      <c r="I36" s="22">
        <f>SUM(H36/C36)*100</f>
        <v>0</v>
      </c>
      <c r="J36" s="22">
        <f>387+18023-57</f>
        <v>18353</v>
      </c>
      <c r="K36" s="22">
        <f>SUM(J36/C36)*100</f>
        <v>14.455278661667876</v>
      </c>
      <c r="L36" s="22">
        <f>SUM(C36-D36-F36-H36-J36)</f>
        <v>86560</v>
      </c>
      <c r="M36" s="21">
        <f>SUM(L36/C36)*100</f>
        <v>68.176806023754764</v>
      </c>
    </row>
    <row r="37" spans="2:13" ht="12.6" customHeight="1" x14ac:dyDescent="0.2">
      <c r="B37" s="26" t="s">
        <v>8</v>
      </c>
      <c r="C37" s="25">
        <v>39258</v>
      </c>
      <c r="D37" s="24"/>
      <c r="E37" s="24">
        <f>SUM(D37/C37)*100</f>
        <v>0</v>
      </c>
      <c r="F37" s="24">
        <f>18+3047+1939+1069+1020+45</f>
        <v>7138</v>
      </c>
      <c r="G37" s="23">
        <f>SUM(F37/C37)*100</f>
        <v>18.182281318457385</v>
      </c>
      <c r="H37" s="24"/>
      <c r="I37" s="27">
        <f>SUM(H37/C37)*100</f>
        <v>0</v>
      </c>
      <c r="J37" s="27">
        <f>1092-45</f>
        <v>1047</v>
      </c>
      <c r="K37" s="22">
        <f>SUM(J37/C37)*100</f>
        <v>2.6669723368485405</v>
      </c>
      <c r="L37" s="22">
        <f>SUM(C37-D37-F37-H37-J37)</f>
        <v>31073</v>
      </c>
      <c r="M37" s="21">
        <f>SUM(L37/C37)*100</f>
        <v>79.150746344694085</v>
      </c>
    </row>
    <row r="38" spans="2:13" ht="12.6" customHeight="1" x14ac:dyDescent="0.2">
      <c r="B38" s="26" t="s">
        <v>7</v>
      </c>
      <c r="C38" s="25">
        <v>13204</v>
      </c>
      <c r="D38" s="24"/>
      <c r="E38" s="24">
        <f>SUM(D38/C38)*100</f>
        <v>0</v>
      </c>
      <c r="F38" s="24">
        <f>619+388+254+255+11</f>
        <v>1527</v>
      </c>
      <c r="G38" s="23">
        <f>SUM(F38/C38)*100</f>
        <v>11.56467737049379</v>
      </c>
      <c r="H38" s="24">
        <v>2936</v>
      </c>
      <c r="I38" s="23">
        <f>SUM(H38/C38)*100</f>
        <v>22.23568615571039</v>
      </c>
      <c r="J38" s="23">
        <f>104-11</f>
        <v>93</v>
      </c>
      <c r="K38" s="23">
        <f>SUM(J38/C38)*100</f>
        <v>0.70433202059981825</v>
      </c>
      <c r="L38" s="22">
        <f>SUM(C38-D38-F38-H38-J38)</f>
        <v>8648</v>
      </c>
      <c r="M38" s="21">
        <f>SUM(L38/C38)*100</f>
        <v>65.495304453195999</v>
      </c>
    </row>
    <row r="39" spans="2:13" ht="12.6" customHeight="1" thickBot="1" x14ac:dyDescent="0.25">
      <c r="B39" s="20" t="s">
        <v>6</v>
      </c>
      <c r="C39" s="19">
        <v>29278</v>
      </c>
      <c r="D39" s="18"/>
      <c r="E39" s="18">
        <f>SUM(D39/C39)*100</f>
        <v>0</v>
      </c>
      <c r="F39" s="18">
        <f>10036+2014+1278+837+838+36</f>
        <v>15039</v>
      </c>
      <c r="G39" s="18">
        <f>SUM(F39/C39)*100</f>
        <v>51.366213539176172</v>
      </c>
      <c r="H39" s="18"/>
      <c r="I39" s="18">
        <f>SUM(H39/C39)*100</f>
        <v>0</v>
      </c>
      <c r="J39" s="18">
        <f>278-36</f>
        <v>242</v>
      </c>
      <c r="K39" s="18">
        <f>SUM(J39/C39)*100</f>
        <v>0.82655919120158472</v>
      </c>
      <c r="L39" s="18">
        <f>SUM(C39-D39-F39-H39-J39)</f>
        <v>13997</v>
      </c>
      <c r="M39" s="17">
        <f>SUM(L39/C39)*100</f>
        <v>47.807227269622246</v>
      </c>
    </row>
    <row r="40" spans="2:13" s="7" customFormat="1" ht="12.6" customHeight="1" thickBot="1" x14ac:dyDescent="0.25">
      <c r="B40" s="16" t="s">
        <v>5</v>
      </c>
      <c r="C40" s="4">
        <f>SUM(C30:C39)</f>
        <v>779693</v>
      </c>
      <c r="D40" s="5">
        <f>SUM(D30:D39)</f>
        <v>65998</v>
      </c>
      <c r="E40" s="5">
        <f>SUM(D40/C40)*100</f>
        <v>8.4646136363927855</v>
      </c>
      <c r="F40" s="5">
        <f>SUM(F30:F39)</f>
        <v>240470</v>
      </c>
      <c r="G40" s="5">
        <f>SUM(F40/C40)*100</f>
        <v>30.841626127206478</v>
      </c>
      <c r="H40" s="5">
        <f>SUM(H30:H39)</f>
        <v>3802</v>
      </c>
      <c r="I40" s="5">
        <f>SUM(H40/C40)*100</f>
        <v>0.48762782274561917</v>
      </c>
      <c r="J40" s="5">
        <f>SUM(J30:J39)</f>
        <v>26406</v>
      </c>
      <c r="K40" s="5">
        <f>SUM(J40/C40)*100</f>
        <v>3.3867175926935347</v>
      </c>
      <c r="L40" s="5">
        <f>SUM(L30:L39)</f>
        <v>443017</v>
      </c>
      <c r="M40" s="15">
        <f>SUM(L40/C40)*100</f>
        <v>56.81941482096159</v>
      </c>
    </row>
    <row r="41" spans="2:13" s="7" customFormat="1" ht="12.6" customHeight="1" thickBot="1" x14ac:dyDescent="0.25">
      <c r="B41" s="11" t="s">
        <v>4</v>
      </c>
      <c r="C41" s="10">
        <v>187876</v>
      </c>
      <c r="D41" s="9">
        <v>3496</v>
      </c>
      <c r="E41" s="9">
        <f>SUM(D41/C41)*100</f>
        <v>1.8608018054461453</v>
      </c>
      <c r="F41" s="9">
        <f>93584+8661+1564+4797-3+3927-437+200+7000-3145</f>
        <v>116148</v>
      </c>
      <c r="G41" s="9">
        <f>SUM(F41/C41)*100</f>
        <v>61.821627030594648</v>
      </c>
      <c r="H41" s="9"/>
      <c r="I41" s="9">
        <f>SUM(H41/C41)*100</f>
        <v>0</v>
      </c>
      <c r="J41" s="9">
        <f>10802+82</f>
        <v>10884</v>
      </c>
      <c r="K41" s="5">
        <f>SUM(J41/C41)*100</f>
        <v>5.7931827375502989</v>
      </c>
      <c r="L41" s="9">
        <f>SUM(C41-D41-F41-H41-J41)</f>
        <v>57348</v>
      </c>
      <c r="M41" s="8">
        <f>SUM(L41/C41)*100</f>
        <v>30.524388426408912</v>
      </c>
    </row>
    <row r="42" spans="2:13" s="7" customFormat="1" ht="12.6" customHeight="1" thickBot="1" x14ac:dyDescent="0.25">
      <c r="B42" s="14" t="s">
        <v>3</v>
      </c>
      <c r="C42" s="4">
        <v>104893</v>
      </c>
      <c r="D42" s="5">
        <v>2394</v>
      </c>
      <c r="E42" s="5">
        <f>SUM(D42/C42)*100</f>
        <v>2.2823257986710264</v>
      </c>
      <c r="F42" s="5">
        <f>52009+4330+1181+3622+19+2282+8+127+2598-1+7000+6+4-1799</f>
        <v>71386</v>
      </c>
      <c r="G42" s="5">
        <f>SUM(F42/C42)*100</f>
        <v>68.056018990781084</v>
      </c>
      <c r="H42" s="5"/>
      <c r="I42" s="5">
        <f>SUM(H42/C42)*100</f>
        <v>0</v>
      </c>
      <c r="J42" s="5">
        <f>8537+786</f>
        <v>9323</v>
      </c>
      <c r="K42" s="13">
        <f>SUM(J42/C42)*100</f>
        <v>8.8881050213074264</v>
      </c>
      <c r="L42" s="5">
        <f>SUM(C42-D42-F42-H42-J42)</f>
        <v>21790</v>
      </c>
      <c r="M42" s="12">
        <f>SUM(L42/C42)*100</f>
        <v>20.773550189240463</v>
      </c>
    </row>
    <row r="43" spans="2:13" s="7" customFormat="1" ht="12.6" customHeight="1" thickBot="1" x14ac:dyDescent="0.25">
      <c r="B43" s="14" t="s">
        <v>2</v>
      </c>
      <c r="C43" s="4">
        <v>176807</v>
      </c>
      <c r="D43" s="5">
        <v>5093</v>
      </c>
      <c r="E43" s="5">
        <f>SUM(D43/C43)*100</f>
        <v>2.8805420599863125</v>
      </c>
      <c r="F43" s="5">
        <f>87217+7795+1608+4932+5+3604-360+200+7000-2947</f>
        <v>109054</v>
      </c>
      <c r="G43" s="5">
        <f>SUM(F43/C43)*100</f>
        <v>61.679684627871069</v>
      </c>
      <c r="H43" s="5"/>
      <c r="I43" s="5">
        <f>SUM(H43/C43)*100</f>
        <v>0</v>
      </c>
      <c r="J43" s="5">
        <f>11035+407</f>
        <v>11442</v>
      </c>
      <c r="K43" s="13">
        <f>SUM(J43/C43)*100</f>
        <v>6.4714632339217344</v>
      </c>
      <c r="L43" s="5">
        <f>SUM(C43-D43-F43-H43-J43)</f>
        <v>51218</v>
      </c>
      <c r="M43" s="12">
        <f>SUM(L43/C43)*100</f>
        <v>28.968310078220881</v>
      </c>
    </row>
    <row r="44" spans="2:13" s="7" customFormat="1" ht="12.6" customHeight="1" thickBot="1" x14ac:dyDescent="0.25">
      <c r="B44" s="11" t="s">
        <v>1</v>
      </c>
      <c r="C44" s="10">
        <v>160690</v>
      </c>
      <c r="D44" s="9">
        <v>5361</v>
      </c>
      <c r="E44" s="9">
        <f>SUM(D44/C44)*100</f>
        <v>3.3362374758852447</v>
      </c>
      <c r="F44" s="9">
        <f>76299+5196+986+3024+1+3077+200+7936-2461</f>
        <v>94258</v>
      </c>
      <c r="G44" s="9">
        <f>SUM(F44/C44)*100</f>
        <v>58.658286141016866</v>
      </c>
      <c r="H44" s="9"/>
      <c r="I44" s="9">
        <f>SUM(H44/C44)*100</f>
        <v>0</v>
      </c>
      <c r="J44" s="9">
        <f>16865-15436</f>
        <v>1429</v>
      </c>
      <c r="K44" s="5">
        <f>SUM(J44/C44)*100</f>
        <v>0.88928993714605764</v>
      </c>
      <c r="L44" s="9">
        <f>SUM(C44-D44-F44-H44-J44)</f>
        <v>59642</v>
      </c>
      <c r="M44" s="8">
        <f>SUM(L44/C44)*100</f>
        <v>37.116186445951833</v>
      </c>
    </row>
    <row r="45" spans="2:13" s="2" customFormat="1" ht="12.6" customHeight="1" thickBot="1" x14ac:dyDescent="0.25">
      <c r="B45" s="6" t="s">
        <v>0</v>
      </c>
      <c r="C45" s="4">
        <f>SUM(C40,C29,C27,C21,C15,C41,C42,C43,C44,C24)</f>
        <v>11028449</v>
      </c>
      <c r="D45" s="4">
        <f>SUM(D40,D29,D27,D21,D15,D41,D42,D43,D44,D24)</f>
        <v>6815934.7200000007</v>
      </c>
      <c r="E45" s="4">
        <f>SUM(D45/C45)*100</f>
        <v>61.803202970789464</v>
      </c>
      <c r="F45" s="4">
        <f>SUM(F40,F29,F27,F21,F15,F41,F42,F43,F44,F24)</f>
        <v>1215462</v>
      </c>
      <c r="G45" s="4">
        <f>SUM(F45/C45)*100</f>
        <v>11.021150843604573</v>
      </c>
      <c r="H45" s="4">
        <f>SUM(H40,H29,H27,H21,H15,H41,H42,H43,H44)</f>
        <v>178855</v>
      </c>
      <c r="I45" s="4">
        <f>SUM(H45/C45)*100</f>
        <v>1.6217602311984214</v>
      </c>
      <c r="J45" s="4">
        <f>SUM(J40,J29,J27,J21,J15,J41,J42,J43,J44,J24)</f>
        <v>154535</v>
      </c>
      <c r="K45" s="5">
        <f>SUM(J45/C45)*100</f>
        <v>1.4012396484764087</v>
      </c>
      <c r="L45" s="4">
        <f>SUM(L40,L29,L27,L21,L15,L41,L42,L43,L44,L24)</f>
        <v>2663662.2799999998</v>
      </c>
      <c r="M45" s="3">
        <f>SUM(L45/C45)*100</f>
        <v>24.152646305931142</v>
      </c>
    </row>
  </sheetData>
  <mergeCells count="2">
    <mergeCell ref="B2:M2"/>
    <mergeCell ref="L1:M1"/>
  </mergeCells>
  <pageMargins left="0.55118110236220474" right="0.15748031496062992" top="0.59055118110236227" bottom="0.39370078740157483" header="0.27559055118110237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E0132-DB69-4494-B1C3-C1AF20CFF8BA}">
  <sheetPr>
    <pageSetUpPr fitToPage="1"/>
  </sheetPr>
  <dimension ref="A1:Q44"/>
  <sheetViews>
    <sheetView topLeftCell="B1" zoomScaleNormal="100" workbookViewId="0">
      <selection activeCell="A47" sqref="A47:IV74"/>
    </sheetView>
  </sheetViews>
  <sheetFormatPr defaultRowHeight="12.75" x14ac:dyDescent="0.2"/>
  <cols>
    <col min="1" max="1" width="1.140625" hidden="1" customWidth="1"/>
    <col min="2" max="2" width="33.28515625" customWidth="1"/>
    <col min="3" max="3" width="10.28515625" style="1" customWidth="1"/>
    <col min="4" max="4" width="9.42578125" style="1" bestFit="1" customWidth="1"/>
    <col min="5" max="5" width="9.7109375" style="58" customWidth="1"/>
    <col min="6" max="6" width="10.85546875" style="1" customWidth="1"/>
    <col min="7" max="7" width="9.7109375" style="59" customWidth="1"/>
    <col min="8" max="8" width="11.5703125" style="1" customWidth="1"/>
    <col min="9" max="9" width="8.42578125" style="59" customWidth="1"/>
    <col min="10" max="10" width="9.7109375" customWidth="1"/>
    <col min="11" max="11" width="10" style="58" customWidth="1"/>
    <col min="12" max="12" width="11.140625" style="57" customWidth="1"/>
    <col min="13" max="13" width="13" customWidth="1"/>
  </cols>
  <sheetData>
    <row r="1" spans="2:13" ht="12.4" customHeight="1" x14ac:dyDescent="0.2">
      <c r="L1" s="131" t="s">
        <v>55</v>
      </c>
      <c r="M1" s="131"/>
    </row>
    <row r="2" spans="2:13" ht="18" customHeight="1" x14ac:dyDescent="0.2">
      <c r="B2" s="130" t="s">
        <v>76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3" ht="12.4" customHeight="1" thickBot="1" x14ac:dyDescent="0.25">
      <c r="B3" s="128"/>
      <c r="C3" s="54"/>
      <c r="D3" s="54"/>
      <c r="E3" s="127"/>
      <c r="F3" s="54"/>
      <c r="G3" s="129"/>
      <c r="H3" s="54"/>
      <c r="I3" s="129"/>
      <c r="J3" s="128"/>
      <c r="K3" s="127"/>
      <c r="L3" s="126"/>
      <c r="M3" s="125" t="s">
        <v>53</v>
      </c>
    </row>
    <row r="4" spans="2:13" s="120" customFormat="1" ht="51.75" customHeight="1" thickBot="1" x14ac:dyDescent="0.25">
      <c r="B4" s="124" t="s">
        <v>52</v>
      </c>
      <c r="C4" s="50" t="s">
        <v>51</v>
      </c>
      <c r="D4" s="50" t="s">
        <v>75</v>
      </c>
      <c r="E4" s="123" t="s">
        <v>74</v>
      </c>
      <c r="F4" s="50" t="s">
        <v>73</v>
      </c>
      <c r="G4" s="123" t="s">
        <v>72</v>
      </c>
      <c r="H4" s="50" t="s">
        <v>71</v>
      </c>
      <c r="I4" s="123" t="s">
        <v>70</v>
      </c>
      <c r="J4" s="123" t="s">
        <v>69</v>
      </c>
      <c r="K4" s="123" t="s">
        <v>43</v>
      </c>
      <c r="L4" s="122" t="s">
        <v>68</v>
      </c>
      <c r="M4" s="121" t="s">
        <v>67</v>
      </c>
    </row>
    <row r="5" spans="2:13" ht="12.4" customHeight="1" x14ac:dyDescent="0.2">
      <c r="B5" s="84" t="s">
        <v>65</v>
      </c>
      <c r="C5" s="28"/>
      <c r="D5" s="23"/>
      <c r="E5" s="110"/>
      <c r="F5" s="23"/>
      <c r="G5" s="118"/>
      <c r="H5" s="23"/>
      <c r="I5" s="119"/>
      <c r="J5" s="22"/>
      <c r="K5" s="118"/>
      <c r="L5" s="22">
        <f>SUM(C5-D5-F5-H5-J5)</f>
        <v>0</v>
      </c>
      <c r="M5" s="108"/>
    </row>
    <row r="6" spans="2:13" ht="12.4" customHeight="1" x14ac:dyDescent="0.2">
      <c r="B6" s="95" t="s">
        <v>64</v>
      </c>
      <c r="C6" s="28">
        <f>130856-30441</f>
        <v>100415</v>
      </c>
      <c r="D6" s="23"/>
      <c r="E6" s="110"/>
      <c r="F6" s="23"/>
      <c r="G6" s="118"/>
      <c r="H6" s="23"/>
      <c r="I6" s="119"/>
      <c r="J6" s="22">
        <v>100415</v>
      </c>
      <c r="K6" s="118"/>
      <c r="L6" s="22">
        <f>SUM(C6-D6-F6-H6-J6)</f>
        <v>0</v>
      </c>
      <c r="M6" s="108"/>
    </row>
    <row r="7" spans="2:13" ht="12.4" customHeight="1" x14ac:dyDescent="0.2">
      <c r="B7" s="95" t="s">
        <v>57</v>
      </c>
      <c r="C7" s="28">
        <f>81127-1988-3597-23386-12190</f>
        <v>39966</v>
      </c>
      <c r="D7" s="23">
        <v>39966</v>
      </c>
      <c r="E7" s="110">
        <f>SUM(D7/C7)*100</f>
        <v>100</v>
      </c>
      <c r="F7" s="23"/>
      <c r="G7" s="118">
        <f>SUM(F7/C7)*100</f>
        <v>0</v>
      </c>
      <c r="H7" s="23"/>
      <c r="I7" s="119">
        <f>SUM(H7/C7)*100</f>
        <v>0</v>
      </c>
      <c r="J7" s="22"/>
      <c r="K7" s="118">
        <f>SUM(J7/C7)*100</f>
        <v>0</v>
      </c>
      <c r="L7" s="22">
        <f>SUM(C7-D7-F7-H7-J7)</f>
        <v>0</v>
      </c>
      <c r="M7" s="108">
        <f>SUM(L7/C7)*100</f>
        <v>0</v>
      </c>
    </row>
    <row r="8" spans="2:13" ht="12.4" customHeight="1" x14ac:dyDescent="0.2">
      <c r="B8" s="99" t="s">
        <v>58</v>
      </c>
      <c r="C8" s="28"/>
      <c r="D8" s="23"/>
      <c r="E8" s="110"/>
      <c r="F8" s="23"/>
      <c r="G8" s="110"/>
      <c r="H8" s="23"/>
      <c r="I8" s="119"/>
      <c r="J8" s="22"/>
      <c r="K8" s="118"/>
      <c r="L8" s="22">
        <f>SUM(C8-D8-F8-H8-J8)</f>
        <v>0</v>
      </c>
      <c r="M8" s="108"/>
    </row>
    <row r="9" spans="2:13" ht="12.4" customHeight="1" x14ac:dyDescent="0.2">
      <c r="B9" s="95" t="s">
        <v>64</v>
      </c>
      <c r="C9" s="28">
        <v>1910</v>
      </c>
      <c r="D9" s="23"/>
      <c r="E9" s="110"/>
      <c r="F9" s="23"/>
      <c r="G9" s="110"/>
      <c r="H9" s="23"/>
      <c r="I9" s="119"/>
      <c r="J9" s="22">
        <v>1910</v>
      </c>
      <c r="K9" s="118"/>
      <c r="L9" s="22">
        <f>SUM(C9-D9-F9-H9-J9)</f>
        <v>0</v>
      </c>
      <c r="M9" s="108"/>
    </row>
    <row r="10" spans="2:13" ht="12.4" customHeight="1" x14ac:dyDescent="0.2">
      <c r="B10" s="95" t="s">
        <v>57</v>
      </c>
      <c r="C10" s="28">
        <f>1143+6731</f>
        <v>7874</v>
      </c>
      <c r="D10" s="23">
        <v>7874</v>
      </c>
      <c r="E10" s="110">
        <f>SUM(D10/C10)*100</f>
        <v>100</v>
      </c>
      <c r="F10" s="23"/>
      <c r="G10" s="110">
        <f>SUM(F10/C10)*100</f>
        <v>0</v>
      </c>
      <c r="H10" s="23"/>
      <c r="I10" s="119">
        <f>SUM(H10/C10)*100</f>
        <v>0</v>
      </c>
      <c r="J10" s="22"/>
      <c r="K10" s="118">
        <f>SUM(J10/C10)*100</f>
        <v>0</v>
      </c>
      <c r="L10" s="22">
        <f>SUM(C10-D10-F10-H10-J10)</f>
        <v>0</v>
      </c>
      <c r="M10" s="108">
        <f>SUM(L10/C10)*100</f>
        <v>0</v>
      </c>
    </row>
    <row r="11" spans="2:13" ht="12.4" customHeight="1" x14ac:dyDescent="0.2">
      <c r="B11" s="117" t="s">
        <v>66</v>
      </c>
      <c r="C11" s="34"/>
      <c r="D11" s="27"/>
      <c r="E11" s="115"/>
      <c r="F11" s="27"/>
      <c r="G11" s="115"/>
      <c r="H11" s="27"/>
      <c r="I11" s="116"/>
      <c r="J11" s="27"/>
      <c r="K11" s="115"/>
      <c r="L11" s="22">
        <f>SUM(C11-D11-F11-H11-J11)</f>
        <v>0</v>
      </c>
      <c r="M11" s="114"/>
    </row>
    <row r="12" spans="2:13" ht="12.4" customHeight="1" x14ac:dyDescent="0.2">
      <c r="B12" s="113" t="s">
        <v>64</v>
      </c>
      <c r="C12" s="28">
        <v>0</v>
      </c>
      <c r="D12" s="23"/>
      <c r="E12" s="110"/>
      <c r="F12" s="23"/>
      <c r="G12" s="110"/>
      <c r="H12" s="23"/>
      <c r="I12" s="112"/>
      <c r="J12" s="23"/>
      <c r="K12" s="110"/>
      <c r="L12" s="22">
        <f>SUM(C12-D12-F12-H12-J12)</f>
        <v>0</v>
      </c>
      <c r="M12" s="108"/>
    </row>
    <row r="13" spans="2:13" ht="12.4" customHeight="1" thickBot="1" x14ac:dyDescent="0.25">
      <c r="B13" s="111" t="s">
        <v>57</v>
      </c>
      <c r="C13" s="19"/>
      <c r="D13" s="18"/>
      <c r="E13" s="67"/>
      <c r="F13" s="18"/>
      <c r="G13" s="67"/>
      <c r="H13" s="18"/>
      <c r="I13" s="94"/>
      <c r="J13" s="18"/>
      <c r="K13" s="67"/>
      <c r="L13" s="22">
        <f>SUM(C13-D13-F13-H13-J13)</f>
        <v>0</v>
      </c>
      <c r="M13" s="93"/>
    </row>
    <row r="14" spans="2:13" s="100" customFormat="1" ht="12.4" customHeight="1" thickBot="1" x14ac:dyDescent="0.25">
      <c r="B14" s="75" t="s">
        <v>30</v>
      </c>
      <c r="C14" s="4">
        <f>SUM(C6:C13)</f>
        <v>150165</v>
      </c>
      <c r="D14" s="4">
        <f>SUM(D7:D13)</f>
        <v>47840</v>
      </c>
      <c r="E14" s="68">
        <f>SUM(D14/C14)*100</f>
        <v>31.858289215196617</v>
      </c>
      <c r="F14" s="4">
        <f>SUM(F5:F10)</f>
        <v>0</v>
      </c>
      <c r="G14" s="68">
        <f>SUM(F14/C14)*100</f>
        <v>0</v>
      </c>
      <c r="H14" s="4">
        <f>SUM(H5:H10)</f>
        <v>0</v>
      </c>
      <c r="I14" s="68">
        <f>SUM(H14/C14)*100</f>
        <v>0</v>
      </c>
      <c r="J14" s="4">
        <f>SUM(J5:J13)</f>
        <v>102325</v>
      </c>
      <c r="K14" s="92">
        <f>SUM(J14/C14)*100</f>
        <v>68.141710784803379</v>
      </c>
      <c r="L14" s="4">
        <f>SUM(L5:L10)</f>
        <v>0</v>
      </c>
      <c r="M14" s="66">
        <f>SUM(L14/C14)*100</f>
        <v>0</v>
      </c>
    </row>
    <row r="15" spans="2:13" s="102" customFormat="1" ht="12.4" customHeight="1" x14ac:dyDescent="0.2">
      <c r="B15" s="84" t="s">
        <v>65</v>
      </c>
      <c r="C15" s="28"/>
      <c r="D15" s="44"/>
      <c r="E15" s="110"/>
      <c r="F15" s="44"/>
      <c r="G15" s="109"/>
      <c r="H15" s="44"/>
      <c r="I15" s="105"/>
      <c r="J15" s="42"/>
      <c r="K15" s="104"/>
      <c r="L15" s="22"/>
      <c r="M15" s="108"/>
    </row>
    <row r="16" spans="2:13" s="102" customFormat="1" ht="12.4" customHeight="1" x14ac:dyDescent="0.2">
      <c r="B16" s="95" t="s">
        <v>57</v>
      </c>
      <c r="C16" s="28">
        <v>0</v>
      </c>
      <c r="D16" s="44"/>
      <c r="E16" s="110"/>
      <c r="F16" s="44"/>
      <c r="G16" s="109"/>
      <c r="H16" s="44"/>
      <c r="I16" s="105"/>
      <c r="J16" s="42"/>
      <c r="K16" s="104"/>
      <c r="L16" s="22">
        <f>SUM(C16-D16-F16-H16-J16)</f>
        <v>0</v>
      </c>
      <c r="M16" s="108"/>
    </row>
    <row r="17" spans="2:17" s="102" customFormat="1" ht="12.4" customHeight="1" x14ac:dyDescent="0.2">
      <c r="B17" s="99" t="s">
        <v>58</v>
      </c>
      <c r="C17" s="28"/>
      <c r="D17" s="44"/>
      <c r="E17" s="110"/>
      <c r="F17" s="44"/>
      <c r="G17" s="109"/>
      <c r="H17" s="44"/>
      <c r="I17" s="105"/>
      <c r="J17" s="42"/>
      <c r="K17" s="104"/>
      <c r="L17" s="22">
        <f>SUM(C17-D17-F17-H17-J17)</f>
        <v>0</v>
      </c>
      <c r="M17" s="108"/>
    </row>
    <row r="18" spans="2:17" s="102" customFormat="1" ht="12.4" customHeight="1" x14ac:dyDescent="0.2">
      <c r="B18" s="95" t="s">
        <v>64</v>
      </c>
      <c r="C18" s="28"/>
      <c r="D18" s="44"/>
      <c r="E18" s="110"/>
      <c r="F18" s="44"/>
      <c r="G18" s="109"/>
      <c r="H18" s="44"/>
      <c r="I18" s="105"/>
      <c r="J18" s="42"/>
      <c r="K18" s="104"/>
      <c r="L18" s="22">
        <f>SUM(C18-D18-F18-H18-J18)</f>
        <v>0</v>
      </c>
      <c r="M18" s="108"/>
    </row>
    <row r="19" spans="2:17" s="102" customFormat="1" ht="12.4" customHeight="1" thickBot="1" x14ac:dyDescent="0.25">
      <c r="B19" s="95" t="s">
        <v>57</v>
      </c>
      <c r="C19" s="25">
        <v>390</v>
      </c>
      <c r="D19" s="45"/>
      <c r="E19" s="107"/>
      <c r="F19" s="45"/>
      <c r="G19" s="106"/>
      <c r="H19" s="45"/>
      <c r="I19" s="105"/>
      <c r="J19" s="43"/>
      <c r="K19" s="104"/>
      <c r="L19" s="22">
        <f>SUM(C19-D19-F19-H19-J19)</f>
        <v>390</v>
      </c>
      <c r="M19" s="103"/>
      <c r="Q19" s="40"/>
    </row>
    <row r="20" spans="2:17" s="100" customFormat="1" ht="12.4" customHeight="1" thickBot="1" x14ac:dyDescent="0.25">
      <c r="B20" s="75" t="s">
        <v>24</v>
      </c>
      <c r="C20" s="4">
        <f>SUM(C15:C19)</f>
        <v>390</v>
      </c>
      <c r="D20" s="4">
        <f>SUM(D15:D19)</f>
        <v>0</v>
      </c>
      <c r="E20" s="92"/>
      <c r="F20" s="4">
        <f>SUM(F15:F19)</f>
        <v>0</v>
      </c>
      <c r="G20" s="92"/>
      <c r="H20" s="4">
        <f>SUM(H15:H19)</f>
        <v>0</v>
      </c>
      <c r="I20" s="68"/>
      <c r="J20" s="4">
        <f>SUM(J15:J19)</f>
        <v>0</v>
      </c>
      <c r="K20" s="92"/>
      <c r="L20" s="4">
        <f>SUM(L15:L19)</f>
        <v>390</v>
      </c>
      <c r="M20" s="101"/>
    </row>
    <row r="21" spans="2:17" ht="12.4" customHeight="1" x14ac:dyDescent="0.2">
      <c r="B21" s="99" t="s">
        <v>58</v>
      </c>
      <c r="C21" s="38"/>
      <c r="D21" s="37"/>
      <c r="E21" s="97"/>
      <c r="F21" s="37"/>
      <c r="G21" s="97"/>
      <c r="H21" s="37"/>
      <c r="I21" s="98"/>
      <c r="J21" s="37"/>
      <c r="K21" s="97"/>
      <c r="L21" s="37"/>
      <c r="M21" s="96"/>
    </row>
    <row r="22" spans="2:17" ht="12.4" customHeight="1" thickBot="1" x14ac:dyDescent="0.25">
      <c r="B22" s="95" t="s">
        <v>57</v>
      </c>
      <c r="C22" s="19">
        <v>28189</v>
      </c>
      <c r="D22" s="18"/>
      <c r="E22" s="67">
        <f>SUM(D22/C22)*100</f>
        <v>0</v>
      </c>
      <c r="F22" s="18"/>
      <c r="G22" s="67">
        <f>SUM(F22/C22)*100</f>
        <v>0</v>
      </c>
      <c r="H22" s="18"/>
      <c r="I22" s="94">
        <f>SUM(H22/C22)*100</f>
        <v>0</v>
      </c>
      <c r="J22" s="18"/>
      <c r="K22" s="67">
        <f>SUM(J22/C22)*100</f>
        <v>0</v>
      </c>
      <c r="L22" s="18">
        <f>SUM(C22-D22-F22-H22-J22)</f>
        <v>28189</v>
      </c>
      <c r="M22" s="93">
        <f>SUM(L22/C22)*100</f>
        <v>100</v>
      </c>
    </row>
    <row r="23" spans="2:17" ht="12.4" customHeight="1" thickBot="1" x14ac:dyDescent="0.25">
      <c r="B23" s="75" t="s">
        <v>21</v>
      </c>
      <c r="C23" s="4">
        <f>SUM(C21:C22)</f>
        <v>28189</v>
      </c>
      <c r="D23" s="4">
        <f>SUM(D21:D22)</f>
        <v>0</v>
      </c>
      <c r="E23" s="68">
        <f>SUM(D23/C23)*100</f>
        <v>0</v>
      </c>
      <c r="F23" s="4">
        <f>SUM(F21:F22)</f>
        <v>0</v>
      </c>
      <c r="G23" s="68">
        <f>SUM(G21:G22)</f>
        <v>0</v>
      </c>
      <c r="H23" s="4">
        <f>SUM(H21:H22)</f>
        <v>0</v>
      </c>
      <c r="I23" s="68">
        <f>SUM(I21:I22)</f>
        <v>0</v>
      </c>
      <c r="J23" s="4">
        <f>SUM(J21:J22)</f>
        <v>0</v>
      </c>
      <c r="K23" s="92">
        <f>SUM(K21:K22)</f>
        <v>0</v>
      </c>
      <c r="L23" s="4">
        <f>SUM(L21:L22)</f>
        <v>28189</v>
      </c>
      <c r="M23" s="66">
        <f>SUM(L23/C23)*100</f>
        <v>100</v>
      </c>
    </row>
    <row r="24" spans="2:17" ht="12.4" customHeight="1" x14ac:dyDescent="0.2">
      <c r="B24" s="84" t="s">
        <v>58</v>
      </c>
      <c r="C24" s="91"/>
      <c r="D24" s="88"/>
      <c r="E24" s="90"/>
      <c r="F24" s="88"/>
      <c r="G24" s="90"/>
      <c r="H24" s="88"/>
      <c r="I24" s="90"/>
      <c r="J24" s="88"/>
      <c r="K24" s="89"/>
      <c r="L24" s="88"/>
      <c r="M24" s="87"/>
    </row>
    <row r="25" spans="2:17" ht="12.4" customHeight="1" thickBot="1" x14ac:dyDescent="0.25">
      <c r="B25" s="82" t="s">
        <v>57</v>
      </c>
      <c r="C25" s="71">
        <v>282</v>
      </c>
      <c r="D25" s="73"/>
      <c r="E25" s="74">
        <f>SUM(D25/C25)*100</f>
        <v>0</v>
      </c>
      <c r="F25" s="73"/>
      <c r="G25" s="74">
        <f>SUM(F25/C25)*100</f>
        <v>0</v>
      </c>
      <c r="H25" s="73"/>
      <c r="I25" s="74">
        <f>SUM(H25/C25)*100</f>
        <v>0</v>
      </c>
      <c r="J25" s="73"/>
      <c r="K25" s="72">
        <f>SUM(J25/C25)*100</f>
        <v>0</v>
      </c>
      <c r="L25" s="71">
        <f>SUM(C25-D25-F25-H25-J25)</f>
        <v>282</v>
      </c>
      <c r="M25" s="70">
        <f>SUM(L25/C25)*100</f>
        <v>100</v>
      </c>
    </row>
    <row r="26" spans="2:17" ht="12.4" customHeight="1" thickBot="1" x14ac:dyDescent="0.25">
      <c r="B26" s="86" t="s">
        <v>63</v>
      </c>
      <c r="C26" s="80">
        <f>SUM(C25)</f>
        <v>282</v>
      </c>
      <c r="D26" s="73"/>
      <c r="E26" s="74">
        <f>SUM(D26/C26)*100</f>
        <v>0</v>
      </c>
      <c r="F26" s="73"/>
      <c r="G26" s="74">
        <f>SUM(F26/C26)*100</f>
        <v>0</v>
      </c>
      <c r="H26" s="73"/>
      <c r="I26" s="74">
        <f>SUM(H26/C26)*100</f>
        <v>0</v>
      </c>
      <c r="J26" s="73"/>
      <c r="K26" s="72">
        <f>SUM(J26/C26)*100</f>
        <v>0</v>
      </c>
      <c r="L26" s="71">
        <f>SUM(C26-D26-F26-H26-J26)</f>
        <v>282</v>
      </c>
      <c r="M26" s="70">
        <f>SUM(L26/C26)*100</f>
        <v>100</v>
      </c>
    </row>
    <row r="27" spans="2:17" ht="12.4" customHeight="1" thickBot="1" x14ac:dyDescent="0.25">
      <c r="B27" s="84" t="s">
        <v>58</v>
      </c>
      <c r="C27" s="83"/>
      <c r="D27" s="73"/>
      <c r="E27" s="74"/>
      <c r="F27" s="73"/>
      <c r="G27" s="74"/>
      <c r="H27" s="73"/>
      <c r="I27" s="74"/>
      <c r="J27" s="73"/>
      <c r="K27" s="72"/>
      <c r="L27" s="71"/>
      <c r="M27" s="70"/>
    </row>
    <row r="28" spans="2:17" ht="12.4" customHeight="1" thickBot="1" x14ac:dyDescent="0.25">
      <c r="B28" s="82" t="s">
        <v>57</v>
      </c>
      <c r="C28" s="71">
        <v>3662</v>
      </c>
      <c r="D28" s="73"/>
      <c r="E28" s="74">
        <f>SUM(D28/C28)*100</f>
        <v>0</v>
      </c>
      <c r="F28" s="73"/>
      <c r="G28" s="74">
        <f>SUM(F28/C28)*100</f>
        <v>0</v>
      </c>
      <c r="H28" s="73"/>
      <c r="I28" s="74">
        <f>SUM(H28/C28)*100</f>
        <v>0</v>
      </c>
      <c r="J28" s="73"/>
      <c r="K28" s="72">
        <f>SUM(J28/C28)*100</f>
        <v>0</v>
      </c>
      <c r="L28" s="71">
        <f>SUM(C28-D28-F28-H28-J28)</f>
        <v>3662</v>
      </c>
      <c r="M28" s="70">
        <f>SUM(L28/C28)*100</f>
        <v>100</v>
      </c>
    </row>
    <row r="29" spans="2:17" ht="12.4" customHeight="1" thickBot="1" x14ac:dyDescent="0.25">
      <c r="B29" s="86" t="s">
        <v>62</v>
      </c>
      <c r="C29" s="80">
        <f>SUM(C28)</f>
        <v>3662</v>
      </c>
      <c r="D29" s="73"/>
      <c r="E29" s="74">
        <f>SUM(D29/C29)*100</f>
        <v>0</v>
      </c>
      <c r="F29" s="73"/>
      <c r="G29" s="74">
        <f>SUM(F29/C29)*100</f>
        <v>0</v>
      </c>
      <c r="H29" s="73"/>
      <c r="I29" s="74">
        <f>SUM(H29/C29)*100</f>
        <v>0</v>
      </c>
      <c r="J29" s="73"/>
      <c r="K29" s="72">
        <f>SUM(J29/C29)*100</f>
        <v>0</v>
      </c>
      <c r="L29" s="71">
        <f>SUM(C29-D29-F29-H29-J29)</f>
        <v>3662</v>
      </c>
      <c r="M29" s="70">
        <f>SUM(L29/C29)*100</f>
        <v>100</v>
      </c>
    </row>
    <row r="30" spans="2:17" ht="12.4" customHeight="1" thickBot="1" x14ac:dyDescent="0.25">
      <c r="B30" s="84" t="s">
        <v>58</v>
      </c>
      <c r="C30" s="83"/>
      <c r="D30" s="73"/>
      <c r="E30" s="74"/>
      <c r="F30" s="73"/>
      <c r="G30" s="74"/>
      <c r="H30" s="73"/>
      <c r="I30" s="74"/>
      <c r="J30" s="73"/>
      <c r="K30" s="72"/>
      <c r="L30" s="71"/>
      <c r="M30" s="70"/>
    </row>
    <row r="31" spans="2:17" ht="12.4" customHeight="1" thickBot="1" x14ac:dyDescent="0.25">
      <c r="B31" s="82" t="s">
        <v>57</v>
      </c>
      <c r="C31" s="71">
        <v>543</v>
      </c>
      <c r="D31" s="73"/>
      <c r="E31" s="74">
        <f>SUM(D31/C31)*100</f>
        <v>0</v>
      </c>
      <c r="F31" s="73"/>
      <c r="G31" s="74">
        <f>SUM(F31/C31)*100</f>
        <v>0</v>
      </c>
      <c r="H31" s="73"/>
      <c r="I31" s="74">
        <f>SUM(H31/C31)*100</f>
        <v>0</v>
      </c>
      <c r="J31" s="73"/>
      <c r="K31" s="72">
        <f>SUM(J31/C31)*100</f>
        <v>0</v>
      </c>
      <c r="L31" s="71">
        <f>SUM(C31-D31-F31-H31-J31)</f>
        <v>543</v>
      </c>
      <c r="M31" s="70">
        <f>SUM(L31/C31)*100</f>
        <v>100</v>
      </c>
    </row>
    <row r="32" spans="2:17" ht="12.4" customHeight="1" thickBot="1" x14ac:dyDescent="0.25">
      <c r="B32" s="86" t="s">
        <v>61</v>
      </c>
      <c r="C32" s="80">
        <f>SUM(C31)</f>
        <v>543</v>
      </c>
      <c r="D32" s="73"/>
      <c r="E32" s="74">
        <f>SUM(D32/C32)*100</f>
        <v>0</v>
      </c>
      <c r="F32" s="73"/>
      <c r="G32" s="74">
        <f>SUM(F32/C32)*100</f>
        <v>0</v>
      </c>
      <c r="H32" s="73"/>
      <c r="I32" s="74">
        <f>SUM(H32/C32)*100</f>
        <v>0</v>
      </c>
      <c r="J32" s="73"/>
      <c r="K32" s="72">
        <f>SUM(J32/C32)*100</f>
        <v>0</v>
      </c>
      <c r="L32" s="71">
        <f>SUM(C32-D32-F32-H32-J32)</f>
        <v>543</v>
      </c>
      <c r="M32" s="70">
        <f>SUM(L32/C32)*100</f>
        <v>100</v>
      </c>
    </row>
    <row r="33" spans="2:13" ht="12.4" customHeight="1" thickBot="1" x14ac:dyDescent="0.25">
      <c r="B33" s="84" t="s">
        <v>58</v>
      </c>
      <c r="C33" s="83"/>
      <c r="D33" s="73"/>
      <c r="E33" s="74"/>
      <c r="F33" s="73"/>
      <c r="G33" s="74"/>
      <c r="H33" s="73"/>
      <c r="I33" s="74"/>
      <c r="J33" s="73"/>
      <c r="K33" s="72"/>
      <c r="L33" s="71"/>
      <c r="M33" s="70"/>
    </row>
    <row r="34" spans="2:13" ht="12.4" customHeight="1" thickBot="1" x14ac:dyDescent="0.25">
      <c r="B34" s="82" t="s">
        <v>57</v>
      </c>
      <c r="C34" s="85">
        <v>442</v>
      </c>
      <c r="D34" s="73"/>
      <c r="E34" s="74">
        <f>SUM(D34/C34)*100</f>
        <v>0</v>
      </c>
      <c r="F34" s="73"/>
      <c r="G34" s="74">
        <f>SUM(F34/C34)*100</f>
        <v>0</v>
      </c>
      <c r="H34" s="73"/>
      <c r="I34" s="74">
        <f>SUM(H34/C34)*100</f>
        <v>0</v>
      </c>
      <c r="J34" s="73"/>
      <c r="K34" s="72">
        <f>SUM(J34/C34)*100</f>
        <v>0</v>
      </c>
      <c r="L34" s="71">
        <f>SUM(C34-D34-F34-H34-J34)</f>
        <v>442</v>
      </c>
      <c r="M34" s="70">
        <f>SUM(L34/C34)*100</f>
        <v>100</v>
      </c>
    </row>
    <row r="35" spans="2:13" ht="12.4" customHeight="1" thickBot="1" x14ac:dyDescent="0.25">
      <c r="B35" s="75" t="s">
        <v>60</v>
      </c>
      <c r="C35" s="80">
        <f>SUM(C34)</f>
        <v>442</v>
      </c>
      <c r="D35" s="80">
        <f>SUM(D34)</f>
        <v>0</v>
      </c>
      <c r="E35" s="80">
        <f>SUM(E34)</f>
        <v>0</v>
      </c>
      <c r="F35" s="80">
        <f>SUM(F34)</f>
        <v>0</v>
      </c>
      <c r="G35" s="80">
        <f>SUM(G34)</f>
        <v>0</v>
      </c>
      <c r="H35" s="80">
        <f>SUM(H34)</f>
        <v>0</v>
      </c>
      <c r="I35" s="80">
        <f>SUM(I34)</f>
        <v>0</v>
      </c>
      <c r="J35" s="80">
        <f>SUM(J34)</f>
        <v>0</v>
      </c>
      <c r="K35" s="80">
        <f>SUM(K34)</f>
        <v>0</v>
      </c>
      <c r="L35" s="80">
        <f>SUM(L34)</f>
        <v>442</v>
      </c>
      <c r="M35" s="80">
        <f>SUM(M34)</f>
        <v>100</v>
      </c>
    </row>
    <row r="36" spans="2:13" ht="12.4" customHeight="1" thickBot="1" x14ac:dyDescent="0.25">
      <c r="B36" s="84" t="s">
        <v>58</v>
      </c>
      <c r="C36" s="83"/>
      <c r="D36" s="73"/>
      <c r="E36" s="74"/>
      <c r="F36" s="73"/>
      <c r="G36" s="74"/>
      <c r="H36" s="73"/>
      <c r="I36" s="74"/>
      <c r="J36" s="73"/>
      <c r="K36" s="72"/>
      <c r="L36" s="71"/>
      <c r="M36" s="70"/>
    </row>
    <row r="37" spans="2:13" ht="12.4" customHeight="1" thickBot="1" x14ac:dyDescent="0.25">
      <c r="B37" s="82" t="s">
        <v>57</v>
      </c>
      <c r="C37" s="71">
        <v>540</v>
      </c>
      <c r="D37" s="73"/>
      <c r="E37" s="74">
        <f>SUM(D37/C37)*100</f>
        <v>0</v>
      </c>
      <c r="F37" s="73"/>
      <c r="G37" s="74">
        <f>SUM(F37/C37)*100</f>
        <v>0</v>
      </c>
      <c r="H37" s="73"/>
      <c r="I37" s="74">
        <f>SUM(H37/C37)*100</f>
        <v>0</v>
      </c>
      <c r="J37" s="73"/>
      <c r="K37" s="72">
        <f>SUM(J37/C37)*100</f>
        <v>0</v>
      </c>
      <c r="L37" s="71">
        <f>SUM(C37-D37-F37-H37-J37)</f>
        <v>540</v>
      </c>
      <c r="M37" s="70">
        <f>SUM(L37/C37)*100</f>
        <v>100</v>
      </c>
    </row>
    <row r="38" spans="2:13" ht="12.4" customHeight="1" thickBot="1" x14ac:dyDescent="0.25">
      <c r="B38" s="75" t="s">
        <v>59</v>
      </c>
      <c r="C38" s="80">
        <f>SUM(C37)</f>
        <v>540</v>
      </c>
      <c r="D38" s="73"/>
      <c r="E38" s="74">
        <f>SUM(D38/C38)*100</f>
        <v>0</v>
      </c>
      <c r="F38" s="73"/>
      <c r="G38" s="74">
        <f>SUM(F38/C38)*100</f>
        <v>0</v>
      </c>
      <c r="H38" s="73"/>
      <c r="I38" s="74">
        <f>SUM(H38/C38)*100</f>
        <v>0</v>
      </c>
      <c r="J38" s="73"/>
      <c r="K38" s="72">
        <f>SUM(J38/C38)*100</f>
        <v>0</v>
      </c>
      <c r="L38" s="71">
        <f>SUM(C38-D38-F38-H38-J38)</f>
        <v>540</v>
      </c>
      <c r="M38" s="70">
        <f>SUM(L38/C38)*100</f>
        <v>100</v>
      </c>
    </row>
    <row r="39" spans="2:13" ht="12.4" customHeight="1" thickBot="1" x14ac:dyDescent="0.25">
      <c r="B39" s="81" t="s">
        <v>58</v>
      </c>
      <c r="C39" s="80"/>
      <c r="D39" s="73"/>
      <c r="E39" s="74"/>
      <c r="F39" s="73"/>
      <c r="G39" s="74"/>
      <c r="H39" s="73"/>
      <c r="I39" s="74"/>
      <c r="J39" s="73"/>
      <c r="K39" s="72"/>
      <c r="L39" s="71"/>
      <c r="M39" s="70"/>
    </row>
    <row r="40" spans="2:13" ht="12.4" customHeight="1" thickBot="1" x14ac:dyDescent="0.25">
      <c r="B40" s="79" t="s">
        <v>57</v>
      </c>
      <c r="C40" s="78">
        <v>1051</v>
      </c>
      <c r="D40" s="73"/>
      <c r="E40" s="74">
        <f>SUM(D40/C40)*100</f>
        <v>0</v>
      </c>
      <c r="F40" s="73"/>
      <c r="G40" s="74">
        <f>SUM(F40/C40)*100</f>
        <v>0</v>
      </c>
      <c r="H40" s="73"/>
      <c r="I40" s="74">
        <f>SUM(H40/C40)*100</f>
        <v>0</v>
      </c>
      <c r="J40" s="73"/>
      <c r="K40" s="72">
        <f>SUM(J40/C40)*100</f>
        <v>0</v>
      </c>
      <c r="L40" s="71">
        <f>SUM(C40-D40-F40-H40-J40)</f>
        <v>1051</v>
      </c>
      <c r="M40" s="70">
        <f>SUM(L40/C40)*100</f>
        <v>100</v>
      </c>
    </row>
    <row r="41" spans="2:13" ht="12.4" customHeight="1" thickBot="1" x14ac:dyDescent="0.25">
      <c r="B41" s="77" t="s">
        <v>56</v>
      </c>
      <c r="C41" s="76">
        <f>SUM(C40)</f>
        <v>1051</v>
      </c>
      <c r="D41" s="73"/>
      <c r="E41" s="74">
        <f>SUM(D41/C41)*100</f>
        <v>0</v>
      </c>
      <c r="F41" s="73"/>
      <c r="G41" s="74">
        <f>SUM(F41/C41)*100</f>
        <v>0</v>
      </c>
      <c r="H41" s="73"/>
      <c r="I41" s="74">
        <f>SUM(H41/C41)*100</f>
        <v>0</v>
      </c>
      <c r="J41" s="73"/>
      <c r="K41" s="72">
        <f>SUM(J41/C41)*100</f>
        <v>0</v>
      </c>
      <c r="L41" s="71">
        <f>SUM(C41-D41-F41-H41-J41)</f>
        <v>1051</v>
      </c>
      <c r="M41" s="70">
        <f>SUM(L41/C41)*100</f>
        <v>100</v>
      </c>
    </row>
    <row r="42" spans="2:13" ht="12.4" customHeight="1" thickBot="1" x14ac:dyDescent="0.25">
      <c r="B42" s="75"/>
      <c r="C42" s="4"/>
      <c r="D42" s="73"/>
      <c r="E42" s="74"/>
      <c r="F42" s="73"/>
      <c r="G42" s="74"/>
      <c r="H42" s="73"/>
      <c r="I42" s="74"/>
      <c r="J42" s="73"/>
      <c r="K42" s="72"/>
      <c r="L42" s="71"/>
      <c r="M42" s="70"/>
    </row>
    <row r="43" spans="2:13" s="65" customFormat="1" ht="12.4" customHeight="1" thickBot="1" x14ac:dyDescent="0.25">
      <c r="B43" s="69" t="s">
        <v>0</v>
      </c>
      <c r="C43" s="4">
        <f>SUM(C23,C20,C14,C26,C29,C32,C35,C38,C41)</f>
        <v>185264</v>
      </c>
      <c r="D43" s="4">
        <f>SUM(D23,D20,D14)</f>
        <v>47840</v>
      </c>
      <c r="E43" s="68">
        <f>SUM(D43/C43)*100</f>
        <v>25.822609897227739</v>
      </c>
      <c r="F43" s="4">
        <f>SUM(F23,F20,F14)</f>
        <v>0</v>
      </c>
      <c r="G43" s="68">
        <f>SUM(G22:G23)</f>
        <v>0</v>
      </c>
      <c r="H43" s="4">
        <f>SUM(H23,H20,H14)</f>
        <v>0</v>
      </c>
      <c r="I43" s="68">
        <f>SUM(I22:I23)</f>
        <v>0</v>
      </c>
      <c r="J43" s="4">
        <f>SUM(J23,J20,J14)</f>
        <v>102325</v>
      </c>
      <c r="K43" s="67">
        <f>SUM(J43/C43)*100</f>
        <v>55.231993263666979</v>
      </c>
      <c r="L43" s="4">
        <f>SUM(L14,L20,L23,L26,L29,L32,L34,L38,L41)</f>
        <v>35099</v>
      </c>
      <c r="M43" s="66">
        <f>SUM(L43/C43)*100</f>
        <v>18.945396839105278</v>
      </c>
    </row>
    <row r="44" spans="2:13" x14ac:dyDescent="0.2">
      <c r="B44" s="60"/>
      <c r="C44" s="64"/>
      <c r="D44" s="64"/>
      <c r="E44" s="62"/>
      <c r="F44" s="64"/>
      <c r="G44" s="63"/>
      <c r="H44" s="64"/>
      <c r="I44" s="63"/>
      <c r="J44" s="60"/>
      <c r="K44" s="62"/>
      <c r="L44" s="61"/>
      <c r="M44" s="60"/>
    </row>
  </sheetData>
  <mergeCells count="2">
    <mergeCell ref="L1:M1"/>
    <mergeCell ref="B2:M2"/>
  </mergeCells>
  <pageMargins left="0.55118110236220474" right="0.15748031496062992" top="0.59055118110236227" bottom="0.39370078740157483" header="0.27559055118110237" footer="0.51181102362204722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E90D9-20C6-4036-8E93-80E5795F0A81}">
  <dimension ref="A1:M9"/>
  <sheetViews>
    <sheetView topLeftCell="B1" zoomScaleNormal="100" workbookViewId="0">
      <selection activeCell="A47" sqref="A47:IV74"/>
    </sheetView>
  </sheetViews>
  <sheetFormatPr defaultRowHeight="12.75" x14ac:dyDescent="0.2"/>
  <cols>
    <col min="1" max="1" width="1.140625" hidden="1" customWidth="1"/>
    <col min="2" max="2" width="33.28515625" customWidth="1"/>
    <col min="3" max="3" width="10.28515625" style="1" customWidth="1"/>
    <col min="4" max="4" width="9.42578125" style="1" bestFit="1" customWidth="1"/>
    <col min="5" max="5" width="9.7109375" style="58" customWidth="1"/>
    <col min="6" max="6" width="10.85546875" style="1" customWidth="1"/>
    <col min="7" max="7" width="9.7109375" style="59" customWidth="1"/>
    <col min="8" max="8" width="11.5703125" style="1" customWidth="1"/>
    <col min="9" max="9" width="8.42578125" style="59" customWidth="1"/>
    <col min="10" max="10" width="9.7109375" customWidth="1"/>
    <col min="11" max="11" width="10" style="58" customWidth="1"/>
    <col min="12" max="12" width="11.140625" style="57" customWidth="1"/>
    <col min="13" max="13" width="13" customWidth="1"/>
    <col min="15" max="15" width="10.140625" bestFit="1" customWidth="1"/>
  </cols>
  <sheetData>
    <row r="1" spans="2:13" ht="12.4" customHeight="1" x14ac:dyDescent="0.2">
      <c r="L1" s="131" t="s">
        <v>55</v>
      </c>
      <c r="M1" s="131"/>
    </row>
    <row r="2" spans="2:13" ht="18" customHeight="1" x14ac:dyDescent="0.2">
      <c r="B2" s="130" t="s">
        <v>81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3" ht="12.4" customHeight="1" thickBot="1" x14ac:dyDescent="0.25">
      <c r="B3" s="128"/>
      <c r="C3" s="54"/>
      <c r="D3" s="54"/>
      <c r="E3" s="127"/>
      <c r="F3" s="54"/>
      <c r="G3" s="129"/>
      <c r="H3" s="54"/>
      <c r="I3" s="129"/>
      <c r="J3" s="128"/>
      <c r="K3" s="127"/>
      <c r="L3" s="126"/>
      <c r="M3" s="125" t="s">
        <v>53</v>
      </c>
    </row>
    <row r="4" spans="2:13" s="120" customFormat="1" ht="51.75" customHeight="1" thickBot="1" x14ac:dyDescent="0.25">
      <c r="B4" s="124" t="s">
        <v>52</v>
      </c>
      <c r="C4" s="50" t="s">
        <v>51</v>
      </c>
      <c r="D4" s="50" t="s">
        <v>75</v>
      </c>
      <c r="E4" s="123" t="s">
        <v>74</v>
      </c>
      <c r="F4" s="50" t="s">
        <v>73</v>
      </c>
      <c r="G4" s="123" t="s">
        <v>72</v>
      </c>
      <c r="H4" s="50" t="s">
        <v>71</v>
      </c>
      <c r="I4" s="123" t="s">
        <v>70</v>
      </c>
      <c r="J4" s="123" t="s">
        <v>69</v>
      </c>
      <c r="K4" s="123" t="s">
        <v>43</v>
      </c>
      <c r="L4" s="122" t="s">
        <v>68</v>
      </c>
      <c r="M4" s="121" t="s">
        <v>67</v>
      </c>
    </row>
    <row r="5" spans="2:13" ht="12.4" customHeight="1" x14ac:dyDescent="0.2">
      <c r="B5" s="84" t="s">
        <v>80</v>
      </c>
      <c r="C5" s="28"/>
      <c r="D5" s="23"/>
      <c r="E5" s="110"/>
      <c r="F5" s="23"/>
      <c r="G5" s="118"/>
      <c r="H5" s="23"/>
      <c r="I5" s="119"/>
      <c r="J5" s="22"/>
      <c r="K5" s="118"/>
      <c r="L5" s="22">
        <f>SUM(C5-D5-F5-H5-J5)</f>
        <v>0</v>
      </c>
      <c r="M5" s="108"/>
    </row>
    <row r="6" spans="2:13" ht="12.4" customHeight="1" x14ac:dyDescent="0.2">
      <c r="B6" s="95" t="s">
        <v>79</v>
      </c>
      <c r="C6" s="28">
        <f>135465+874702+1182189+1727633</f>
        <v>3919989</v>
      </c>
      <c r="D6" s="23"/>
      <c r="E6" s="110">
        <f>SUM(D6/C6)*100</f>
        <v>0</v>
      </c>
      <c r="F6" s="23"/>
      <c r="G6" s="118">
        <f>SUM(F6/C6)*100</f>
        <v>0</v>
      </c>
      <c r="H6" s="23"/>
      <c r="I6" s="119">
        <f>SUM(H6/C6)*100</f>
        <v>0</v>
      </c>
      <c r="J6" s="22"/>
      <c r="K6" s="118">
        <f>SUM(J6/C6)*100</f>
        <v>0</v>
      </c>
      <c r="L6" s="22">
        <f>SUM(C6-D6-F6-H6-J6)</f>
        <v>3919989</v>
      </c>
      <c r="M6" s="108">
        <f>SUM(L6/C6)*100</f>
        <v>100</v>
      </c>
    </row>
    <row r="7" spans="2:13" ht="12.4" customHeight="1" x14ac:dyDescent="0.2">
      <c r="B7" s="95" t="s">
        <v>78</v>
      </c>
      <c r="C7" s="28">
        <v>204004</v>
      </c>
      <c r="D7" s="23"/>
      <c r="E7" s="110">
        <f>SUM(D7/C7)*100</f>
        <v>0</v>
      </c>
      <c r="F7" s="23"/>
      <c r="G7" s="110">
        <f>SUM(F7/C7)*100</f>
        <v>0</v>
      </c>
      <c r="H7" s="23"/>
      <c r="I7" s="119">
        <f>SUM(H7/C7)*100</f>
        <v>0</v>
      </c>
      <c r="J7" s="22"/>
      <c r="K7" s="118">
        <f>SUM(J7/C7)*100</f>
        <v>0</v>
      </c>
      <c r="L7" s="22">
        <f>SUM(C7-D7-F7-H7-J7)</f>
        <v>204004</v>
      </c>
      <c r="M7" s="108">
        <f>SUM(L7/C7)*100</f>
        <v>100</v>
      </c>
    </row>
    <row r="8" spans="2:13" ht="12.4" customHeight="1" thickBot="1" x14ac:dyDescent="0.25">
      <c r="B8" s="82" t="s">
        <v>77</v>
      </c>
      <c r="C8" s="34">
        <v>35099</v>
      </c>
      <c r="D8" s="27"/>
      <c r="E8" s="110">
        <f>SUM(D8/C8)*100</f>
        <v>0</v>
      </c>
      <c r="F8" s="27"/>
      <c r="G8" s="110">
        <f>SUM(F8/C8)*100</f>
        <v>0</v>
      </c>
      <c r="H8" s="27"/>
      <c r="I8" s="119">
        <f>SUM(H8/C8)*100</f>
        <v>0</v>
      </c>
      <c r="J8" s="27"/>
      <c r="K8" s="118">
        <f>SUM(J8/C8)*100</f>
        <v>0</v>
      </c>
      <c r="L8" s="22">
        <f>SUM(C8-D8-F8-H8-J8)</f>
        <v>35099</v>
      </c>
      <c r="M8" s="108">
        <f>SUM(L8/C8)*100</f>
        <v>100</v>
      </c>
    </row>
    <row r="9" spans="2:13" s="100" customFormat="1" ht="12.4" customHeight="1" thickBot="1" x14ac:dyDescent="0.25">
      <c r="B9" s="75" t="s">
        <v>30</v>
      </c>
      <c r="C9" s="4">
        <f>SUM(C5:C8)</f>
        <v>4159092</v>
      </c>
      <c r="D9" s="4">
        <f>SUM(D5:D7)</f>
        <v>0</v>
      </c>
      <c r="E9" s="68">
        <f>SUM(D9/C9)*100</f>
        <v>0</v>
      </c>
      <c r="F9" s="4">
        <f>SUM(F5:F7)</f>
        <v>0</v>
      </c>
      <c r="G9" s="68">
        <f>SUM(F9/C9)*100</f>
        <v>0</v>
      </c>
      <c r="H9" s="4">
        <f>SUM(H5:H7)</f>
        <v>0</v>
      </c>
      <c r="I9" s="68">
        <f>SUM(H9/C9)*100</f>
        <v>0</v>
      </c>
      <c r="J9" s="4">
        <f>SUM(J5:J7)</f>
        <v>0</v>
      </c>
      <c r="K9" s="92">
        <f>SUM(J9/C9)*100</f>
        <v>0</v>
      </c>
      <c r="L9" s="4">
        <f>SUM(L5:L8)</f>
        <v>4159092</v>
      </c>
      <c r="M9" s="66">
        <f>SUM(L9/C9)*100</f>
        <v>100</v>
      </c>
    </row>
  </sheetData>
  <mergeCells count="2">
    <mergeCell ref="L1:M1"/>
    <mergeCell ref="B2:M2"/>
  </mergeCells>
  <pageMargins left="0.15748031496062992" right="0.15748031496062992" top="0.59055118110236227" bottom="0.39370078740157483" header="0.27559055118110237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kötelező2020.</vt:lpstr>
      <vt:lpstr>kötelező2020.felh.</vt:lpstr>
      <vt:lpstr>kötelező2020.finansz.</vt:lpstr>
      <vt:lpstr>kötelező2020.!Nyomtatási_terület</vt:lpstr>
      <vt:lpstr>kötelező2020.felh.!Nyomtatási_terület</vt:lpstr>
      <vt:lpstr>kötelező2020.finansz.!Nyomtatási_terület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Csurka, Mária</dc:creator>
  <cp:lastModifiedBy>Csurka, Mária</cp:lastModifiedBy>
  <dcterms:created xsi:type="dcterms:W3CDTF">2021-06-02T07:36:43Z</dcterms:created>
  <dcterms:modified xsi:type="dcterms:W3CDTF">2021-06-02T07:37:28Z</dcterms:modified>
</cp:coreProperties>
</file>