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ogtar.CD\Szerződéses különadatbázisok\5kerület\IJR\0628\Kész\"/>
    </mc:Choice>
  </mc:AlternateContent>
  <xr:revisionPtr revIDLastSave="0" documentId="8_{583A7656-B932-46AE-9C5E-4B9EAFDAA504}" xr6:coauthVersionLast="45" xr6:coauthVersionMax="45" xr10:uidLastSave="{00000000-0000-0000-0000-000000000000}"/>
  <bookViews>
    <workbookView xWindow="-120" yWindow="-120" windowWidth="20700" windowHeight="11160"/>
  </bookViews>
  <sheets>
    <sheet name="kiadás" sheetId="1" r:id="rId1"/>
    <sheet name="bevétel" sheetId="2" r:id="rId2"/>
  </sheets>
  <definedNames>
    <definedName name="_xlnm.Print_Area" localSheetId="1">bevétel!$A$1:$P$38</definedName>
    <definedName name="_xlnm.Print_Area" localSheetId="0">kiadás!$A$7:$P$51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28" i="1"/>
  <c r="C37" i="1"/>
  <c r="Q37" i="1" s="1"/>
  <c r="O37" i="1"/>
  <c r="K31" i="1"/>
  <c r="K30" i="1"/>
  <c r="C31" i="1"/>
  <c r="J35" i="1"/>
  <c r="P37" i="1"/>
  <c r="O29" i="1"/>
  <c r="L27" i="1"/>
  <c r="K27" i="1"/>
  <c r="K22" i="1"/>
  <c r="J27" i="1"/>
  <c r="C27" i="1"/>
  <c r="Q27" i="1" s="1"/>
  <c r="C29" i="1"/>
  <c r="C25" i="2"/>
  <c r="C28" i="2"/>
  <c r="D26" i="2"/>
  <c r="H20" i="2"/>
  <c r="H22" i="2" s="1"/>
  <c r="H15" i="2"/>
  <c r="G15" i="2"/>
  <c r="F15" i="2"/>
  <c r="E15" i="2"/>
  <c r="D15" i="2"/>
  <c r="P15" i="2" s="1"/>
  <c r="L15" i="2"/>
  <c r="K15" i="2"/>
  <c r="J15" i="2"/>
  <c r="I15" i="2"/>
  <c r="H10" i="2"/>
  <c r="G10" i="2"/>
  <c r="F10" i="2"/>
  <c r="E10" i="2"/>
  <c r="D10" i="2"/>
  <c r="H8" i="2"/>
  <c r="H11" i="2" s="1"/>
  <c r="G8" i="2"/>
  <c r="G11" i="2"/>
  <c r="G17" i="2" s="1"/>
  <c r="G24" i="2" s="1"/>
  <c r="G34" i="2" s="1"/>
  <c r="G38" i="2" s="1"/>
  <c r="F8" i="2"/>
  <c r="E8" i="2"/>
  <c r="E11" i="2" s="1"/>
  <c r="E17" i="2" s="1"/>
  <c r="E24" i="2" s="1"/>
  <c r="E34" i="2" s="1"/>
  <c r="E38" i="2" s="1"/>
  <c r="D8" i="2"/>
  <c r="I12" i="2"/>
  <c r="J12" i="2"/>
  <c r="K12" i="2"/>
  <c r="K14" i="2"/>
  <c r="L12" i="2"/>
  <c r="M12" i="2"/>
  <c r="M14" i="2" s="1"/>
  <c r="N12" i="2"/>
  <c r="N14" i="2" s="1"/>
  <c r="P9" i="2"/>
  <c r="C11" i="2"/>
  <c r="I35" i="1"/>
  <c r="G25" i="1"/>
  <c r="P25" i="1" s="1"/>
  <c r="Q25" i="1" s="1"/>
  <c r="G27" i="1"/>
  <c r="F27" i="1"/>
  <c r="F22" i="1" s="1"/>
  <c r="E27" i="1"/>
  <c r="I24" i="1"/>
  <c r="I22" i="1" s="1"/>
  <c r="F32" i="1"/>
  <c r="E32" i="1"/>
  <c r="D32" i="1"/>
  <c r="P32" i="1" s="1"/>
  <c r="Q32" i="1" s="1"/>
  <c r="F31" i="1"/>
  <c r="D31" i="1"/>
  <c r="E31" i="1"/>
  <c r="E30" i="1"/>
  <c r="D39" i="1"/>
  <c r="D41" i="1"/>
  <c r="D46" i="1" s="1"/>
  <c r="D20" i="1"/>
  <c r="D19" i="1"/>
  <c r="D18" i="1"/>
  <c r="F19" i="1"/>
  <c r="G19" i="1"/>
  <c r="G18" i="1"/>
  <c r="F18" i="1"/>
  <c r="F17" i="1" s="1"/>
  <c r="F38" i="1" s="1"/>
  <c r="F47" i="1" s="1"/>
  <c r="F51" i="1" s="1"/>
  <c r="O39" i="1"/>
  <c r="O48" i="1"/>
  <c r="N39" i="1"/>
  <c r="N41" i="1"/>
  <c r="N46" i="1" s="1"/>
  <c r="H39" i="1"/>
  <c r="H48" i="1" s="1"/>
  <c r="G39" i="1"/>
  <c r="F39" i="1"/>
  <c r="F26" i="2"/>
  <c r="G26" i="2"/>
  <c r="G27" i="2" s="1"/>
  <c r="G33" i="2"/>
  <c r="H26" i="2"/>
  <c r="H35" i="2"/>
  <c r="H32" i="1"/>
  <c r="G32" i="1"/>
  <c r="G30" i="1" s="1"/>
  <c r="H31" i="1"/>
  <c r="G31" i="1"/>
  <c r="I18" i="1"/>
  <c r="I19" i="1"/>
  <c r="I17" i="1" s="1"/>
  <c r="F12" i="2"/>
  <c r="F14" i="2"/>
  <c r="E13" i="2"/>
  <c r="E14" i="2"/>
  <c r="F13" i="2"/>
  <c r="G13" i="2"/>
  <c r="G14" i="2" s="1"/>
  <c r="H13" i="2"/>
  <c r="H14" i="2"/>
  <c r="I13" i="2"/>
  <c r="I14" i="2" s="1"/>
  <c r="I17" i="2" s="1"/>
  <c r="I24" i="2" s="1"/>
  <c r="I34" i="2" s="1"/>
  <c r="I38" i="2" s="1"/>
  <c r="J13" i="2"/>
  <c r="K13" i="2"/>
  <c r="L13" i="2"/>
  <c r="L14" i="2" s="1"/>
  <c r="L17" i="2" s="1"/>
  <c r="L24" i="2" s="1"/>
  <c r="L34" i="2" s="1"/>
  <c r="L38" i="2" s="1"/>
  <c r="M13" i="2"/>
  <c r="N13" i="2"/>
  <c r="O13" i="2"/>
  <c r="D13" i="2"/>
  <c r="M15" i="2"/>
  <c r="N15" i="2"/>
  <c r="O15" i="2"/>
  <c r="I10" i="2"/>
  <c r="J10" i="2"/>
  <c r="K10" i="2"/>
  <c r="L10" i="2"/>
  <c r="M10" i="2"/>
  <c r="N10" i="2"/>
  <c r="O10" i="2"/>
  <c r="I8" i="2"/>
  <c r="I11" i="2" s="1"/>
  <c r="J8" i="2"/>
  <c r="J11" i="2"/>
  <c r="J17" i="2" s="1"/>
  <c r="K8" i="2"/>
  <c r="K11" i="2" s="1"/>
  <c r="L8" i="2"/>
  <c r="L11" i="2" s="1"/>
  <c r="M8" i="2"/>
  <c r="N8" i="2"/>
  <c r="O8" i="2"/>
  <c r="O11" i="2" s="1"/>
  <c r="O26" i="2"/>
  <c r="O27" i="2" s="1"/>
  <c r="O33" i="2" s="1"/>
  <c r="N26" i="2"/>
  <c r="N27" i="2"/>
  <c r="E20" i="2"/>
  <c r="E22" i="2" s="1"/>
  <c r="E23" i="2"/>
  <c r="F20" i="2"/>
  <c r="G20" i="2"/>
  <c r="G22" i="2" s="1"/>
  <c r="G23" i="2"/>
  <c r="I20" i="2"/>
  <c r="I22" i="2"/>
  <c r="I23" i="2" s="1"/>
  <c r="D20" i="2"/>
  <c r="O19" i="1"/>
  <c r="N19" i="1"/>
  <c r="M19" i="1"/>
  <c r="L19" i="1"/>
  <c r="K19" i="1"/>
  <c r="J19" i="1"/>
  <c r="H19" i="1"/>
  <c r="E19" i="1"/>
  <c r="O18" i="1"/>
  <c r="N18" i="1"/>
  <c r="M18" i="1"/>
  <c r="L18" i="1"/>
  <c r="K18" i="1"/>
  <c r="K17" i="1" s="1"/>
  <c r="K38" i="1" s="1"/>
  <c r="K47" i="1" s="1"/>
  <c r="J18" i="1"/>
  <c r="H18" i="1"/>
  <c r="E18" i="1"/>
  <c r="N20" i="1"/>
  <c r="O20" i="1"/>
  <c r="J25" i="1"/>
  <c r="O24" i="1"/>
  <c r="N24" i="1"/>
  <c r="N22" i="1" s="1"/>
  <c r="N17" i="1"/>
  <c r="N38" i="1" s="1"/>
  <c r="N47" i="1" s="1"/>
  <c r="N51" i="1" s="1"/>
  <c r="M24" i="1"/>
  <c r="L24" i="1"/>
  <c r="K24" i="1"/>
  <c r="J24" i="1"/>
  <c r="H24" i="1"/>
  <c r="G24" i="1"/>
  <c r="P24" i="1" s="1"/>
  <c r="Q24" i="1" s="1"/>
  <c r="F24" i="1"/>
  <c r="E24" i="1"/>
  <c r="E22" i="1" s="1"/>
  <c r="D24" i="1"/>
  <c r="M21" i="1"/>
  <c r="L21" i="1"/>
  <c r="D21" i="1"/>
  <c r="O27" i="1"/>
  <c r="O32" i="1"/>
  <c r="O30" i="1" s="1"/>
  <c r="C48" i="1"/>
  <c r="P29" i="2"/>
  <c r="M33" i="1"/>
  <c r="M30" i="1" s="1"/>
  <c r="M20" i="1"/>
  <c r="M17" i="1" s="1"/>
  <c r="M38" i="1" s="1"/>
  <c r="M47" i="1" s="1"/>
  <c r="M51" i="1" s="1"/>
  <c r="K35" i="2"/>
  <c r="J35" i="2"/>
  <c r="I35" i="2"/>
  <c r="P19" i="2"/>
  <c r="S19" i="2" s="1"/>
  <c r="L31" i="1"/>
  <c r="L20" i="1"/>
  <c r="K20" i="1"/>
  <c r="J20" i="1"/>
  <c r="I20" i="1"/>
  <c r="H20" i="1"/>
  <c r="M27" i="1"/>
  <c r="I31" i="1"/>
  <c r="J31" i="1"/>
  <c r="O33" i="1"/>
  <c r="J14" i="2"/>
  <c r="F20" i="1"/>
  <c r="E20" i="1"/>
  <c r="M22" i="1"/>
  <c r="O12" i="2"/>
  <c r="O14" i="2" s="1"/>
  <c r="P12" i="2"/>
  <c r="D50" i="1"/>
  <c r="N33" i="1"/>
  <c r="N30" i="1" s="1"/>
  <c r="L33" i="1"/>
  <c r="L30" i="1" s="1"/>
  <c r="K33" i="1"/>
  <c r="G33" i="1"/>
  <c r="D33" i="1"/>
  <c r="D27" i="1"/>
  <c r="G20" i="1"/>
  <c r="H44" i="1"/>
  <c r="F48" i="1"/>
  <c r="C41" i="1"/>
  <c r="D30" i="2"/>
  <c r="O36" i="2"/>
  <c r="E35" i="2"/>
  <c r="L27" i="2"/>
  <c r="M27" i="2"/>
  <c r="H41" i="1"/>
  <c r="H46" i="1" s="1"/>
  <c r="K48" i="1"/>
  <c r="M48" i="1"/>
  <c r="M11" i="2"/>
  <c r="D11" i="2"/>
  <c r="E48" i="1"/>
  <c r="J48" i="1"/>
  <c r="E41" i="1"/>
  <c r="E46" i="1" s="1"/>
  <c r="J41" i="1"/>
  <c r="J46" i="1" s="1"/>
  <c r="M41" i="1"/>
  <c r="M46" i="1" s="1"/>
  <c r="M49" i="1"/>
  <c r="E37" i="2"/>
  <c r="F37" i="2"/>
  <c r="G37" i="2"/>
  <c r="H37" i="2"/>
  <c r="I37" i="2"/>
  <c r="J37" i="2"/>
  <c r="K37" i="2"/>
  <c r="L37" i="2"/>
  <c r="M37" i="2"/>
  <c r="N37" i="2"/>
  <c r="O37" i="2"/>
  <c r="D37" i="2"/>
  <c r="P32" i="2"/>
  <c r="C49" i="1"/>
  <c r="C36" i="2"/>
  <c r="C35" i="2"/>
  <c r="C22" i="2"/>
  <c r="C23" i="2"/>
  <c r="E50" i="1"/>
  <c r="F50" i="1"/>
  <c r="G50" i="1"/>
  <c r="H50" i="1"/>
  <c r="I50" i="1"/>
  <c r="J50" i="1"/>
  <c r="K50" i="1"/>
  <c r="L50" i="1"/>
  <c r="M50" i="1"/>
  <c r="N50" i="1"/>
  <c r="O50" i="1"/>
  <c r="D49" i="1"/>
  <c r="C14" i="2"/>
  <c r="P40" i="1"/>
  <c r="J27" i="2"/>
  <c r="L36" i="2"/>
  <c r="K44" i="1"/>
  <c r="D44" i="1"/>
  <c r="K22" i="2"/>
  <c r="K23" i="2"/>
  <c r="L22" i="2"/>
  <c r="L23" i="2"/>
  <c r="M22" i="2"/>
  <c r="M23" i="2"/>
  <c r="P16" i="2"/>
  <c r="Q16" i="2"/>
  <c r="P21" i="2"/>
  <c r="Q21" i="2" s="1"/>
  <c r="S21" i="2"/>
  <c r="P28" i="2"/>
  <c r="Q28" i="2"/>
  <c r="P31" i="2"/>
  <c r="Q31" i="2"/>
  <c r="E33" i="1"/>
  <c r="H33" i="1"/>
  <c r="H30" i="1" s="1"/>
  <c r="N36" i="2"/>
  <c r="M36" i="2"/>
  <c r="J36" i="2"/>
  <c r="I36" i="2"/>
  <c r="H36" i="2"/>
  <c r="G36" i="2"/>
  <c r="F36" i="2"/>
  <c r="E36" i="2"/>
  <c r="P36" i="2" s="1"/>
  <c r="D36" i="2"/>
  <c r="P36" i="1"/>
  <c r="P45" i="1"/>
  <c r="Q45" i="1" s="1"/>
  <c r="C44" i="1"/>
  <c r="P26" i="1"/>
  <c r="Q26" i="1"/>
  <c r="I30" i="2"/>
  <c r="P23" i="1"/>
  <c r="Q23" i="1" s="1"/>
  <c r="I33" i="1"/>
  <c r="P34" i="1"/>
  <c r="C30" i="2"/>
  <c r="E44" i="1"/>
  <c r="F44" i="1"/>
  <c r="L44" i="1"/>
  <c r="G44" i="1"/>
  <c r="J44" i="1"/>
  <c r="M44" i="1"/>
  <c r="E49" i="1"/>
  <c r="F49" i="1"/>
  <c r="L49" i="1"/>
  <c r="G49" i="1"/>
  <c r="J49" i="1"/>
  <c r="P28" i="1"/>
  <c r="P42" i="1"/>
  <c r="Q42" i="1"/>
  <c r="E30" i="2"/>
  <c r="F22" i="2"/>
  <c r="F23" i="2" s="1"/>
  <c r="F24" i="2" s="1"/>
  <c r="F30" i="2"/>
  <c r="G30" i="2"/>
  <c r="H30" i="2"/>
  <c r="J22" i="2"/>
  <c r="J23" i="2"/>
  <c r="J30" i="2"/>
  <c r="M30" i="2"/>
  <c r="N22" i="2"/>
  <c r="N23" i="2"/>
  <c r="N30" i="2"/>
  <c r="O22" i="2"/>
  <c r="O23" i="2"/>
  <c r="N44" i="1"/>
  <c r="N49" i="1"/>
  <c r="F41" i="1"/>
  <c r="F46" i="1"/>
  <c r="L48" i="1"/>
  <c r="L41" i="1"/>
  <c r="L46" i="1" s="1"/>
  <c r="M35" i="2"/>
  <c r="I49" i="1"/>
  <c r="I44" i="1"/>
  <c r="I41" i="1"/>
  <c r="I46" i="1"/>
  <c r="I48" i="1"/>
  <c r="O30" i="2"/>
  <c r="O44" i="1"/>
  <c r="P29" i="1"/>
  <c r="Q29" i="1" s="1"/>
  <c r="K49" i="1"/>
  <c r="O49" i="1"/>
  <c r="K41" i="1"/>
  <c r="K46" i="1"/>
  <c r="E27" i="2"/>
  <c r="F11" i="2"/>
  <c r="F17" i="2" s="1"/>
  <c r="L30" i="2"/>
  <c r="L33" i="2" s="1"/>
  <c r="P25" i="2"/>
  <c r="S25" i="2" s="1"/>
  <c r="L35" i="2"/>
  <c r="K36" i="2"/>
  <c r="K30" i="2"/>
  <c r="K33" i="2" s="1"/>
  <c r="H49" i="1"/>
  <c r="P43" i="1"/>
  <c r="Q43" i="1" s="1"/>
  <c r="F33" i="1"/>
  <c r="E33" i="2"/>
  <c r="J33" i="2"/>
  <c r="H23" i="2"/>
  <c r="Q19" i="2"/>
  <c r="S29" i="2"/>
  <c r="S16" i="2"/>
  <c r="N35" i="2"/>
  <c r="K27" i="2"/>
  <c r="S31" i="2"/>
  <c r="P18" i="2"/>
  <c r="Q18" i="2" s="1"/>
  <c r="I27" i="2"/>
  <c r="D35" i="2"/>
  <c r="H22" i="1"/>
  <c r="S18" i="2"/>
  <c r="G35" i="2"/>
  <c r="H27" i="2"/>
  <c r="H33" i="2"/>
  <c r="D27" i="2"/>
  <c r="D33" i="2"/>
  <c r="P21" i="1"/>
  <c r="Q21" i="1" s="1"/>
  <c r="O22" i="1"/>
  <c r="Q36" i="1"/>
  <c r="P39" i="1"/>
  <c r="Q39" i="1" s="1"/>
  <c r="Q34" i="1"/>
  <c r="F30" i="1"/>
  <c r="C46" i="1"/>
  <c r="N48" i="1"/>
  <c r="D48" i="1"/>
  <c r="O41" i="1"/>
  <c r="O46" i="1"/>
  <c r="O17" i="2"/>
  <c r="O24" i="2" s="1"/>
  <c r="O34" i="2" s="1"/>
  <c r="K17" i="2"/>
  <c r="K24" i="2"/>
  <c r="K34" i="2" s="1"/>
  <c r="K38" i="2" s="1"/>
  <c r="J24" i="2"/>
  <c r="J34" i="2" s="1"/>
  <c r="J38" i="2" s="1"/>
  <c r="C17" i="2"/>
  <c r="C24" i="2" s="1"/>
  <c r="D22" i="2"/>
  <c r="D23" i="2" s="1"/>
  <c r="Q12" i="2"/>
  <c r="I33" i="2"/>
  <c r="S28" i="2"/>
  <c r="E17" i="1"/>
  <c r="E38" i="1"/>
  <c r="E47" i="1" s="1"/>
  <c r="E51" i="1" s="1"/>
  <c r="P27" i="1"/>
  <c r="P31" i="1"/>
  <c r="Q31" i="1"/>
  <c r="K51" i="1"/>
  <c r="P33" i="1" l="1"/>
  <c r="Q30" i="2"/>
  <c r="Q36" i="2"/>
  <c r="S36" i="2"/>
  <c r="Q15" i="2"/>
  <c r="S15" i="2"/>
  <c r="P41" i="1"/>
  <c r="Q41" i="1" s="1"/>
  <c r="Q40" i="1"/>
  <c r="P50" i="1"/>
  <c r="Q50" i="1" s="1"/>
  <c r="C22" i="1"/>
  <c r="L22" i="1"/>
  <c r="L17" i="1" s="1"/>
  <c r="L38" i="1" s="1"/>
  <c r="L47" i="1" s="1"/>
  <c r="L51" i="1" s="1"/>
  <c r="O17" i="1"/>
  <c r="O38" i="1" s="1"/>
  <c r="O47" i="1" s="1"/>
  <c r="O51" i="1" s="1"/>
  <c r="P13" i="2"/>
  <c r="P10" i="2"/>
  <c r="G22" i="1"/>
  <c r="G17" i="1" s="1"/>
  <c r="G38" i="1" s="1"/>
  <c r="P49" i="1"/>
  <c r="Q49" i="1" s="1"/>
  <c r="P37" i="2"/>
  <c r="I30" i="1"/>
  <c r="I38" i="1" s="1"/>
  <c r="I47" i="1" s="1"/>
  <c r="I51" i="1" s="1"/>
  <c r="J17" i="1"/>
  <c r="Q29" i="2"/>
  <c r="P30" i="2"/>
  <c r="S30" i="2" s="1"/>
  <c r="D22" i="1"/>
  <c r="P22" i="1" s="1"/>
  <c r="P20" i="2"/>
  <c r="N33" i="2"/>
  <c r="N11" i="2"/>
  <c r="N17" i="2" s="1"/>
  <c r="N24" i="2" s="1"/>
  <c r="N34" i="2" s="1"/>
  <c r="N38" i="2" s="1"/>
  <c r="G48" i="1"/>
  <c r="G41" i="1"/>
  <c r="G46" i="1" s="1"/>
  <c r="P46" i="1" s="1"/>
  <c r="Q46" i="1" s="1"/>
  <c r="P20" i="1"/>
  <c r="Q20" i="1" s="1"/>
  <c r="H17" i="2"/>
  <c r="H24" i="2" s="1"/>
  <c r="H34" i="2" s="1"/>
  <c r="H38" i="2" s="1"/>
  <c r="C27" i="2"/>
  <c r="Q25" i="2"/>
  <c r="Q28" i="1"/>
  <c r="P44" i="1"/>
  <c r="Q44" i="1" s="1"/>
  <c r="S12" i="2"/>
  <c r="D17" i="1"/>
  <c r="P26" i="2"/>
  <c r="C33" i="1"/>
  <c r="P48" i="1"/>
  <c r="Q48" i="1" s="1"/>
  <c r="P18" i="1"/>
  <c r="Q18" i="1" s="1"/>
  <c r="P19" i="1"/>
  <c r="Q19" i="1" s="1"/>
  <c r="Q32" i="2"/>
  <c r="S32" i="2"/>
  <c r="M17" i="2"/>
  <c r="M24" i="2" s="1"/>
  <c r="M34" i="2" s="1"/>
  <c r="M38" i="2" s="1"/>
  <c r="M33" i="2"/>
  <c r="D14" i="2"/>
  <c r="D17" i="2" s="1"/>
  <c r="D24" i="2" s="1"/>
  <c r="D34" i="2" s="1"/>
  <c r="D38" i="2" s="1"/>
  <c r="O35" i="2"/>
  <c r="O38" i="2" s="1"/>
  <c r="J22" i="1"/>
  <c r="H17" i="1"/>
  <c r="H38" i="1" s="1"/>
  <c r="H47" i="1" s="1"/>
  <c r="H51" i="1" s="1"/>
  <c r="F35" i="2"/>
  <c r="P35" i="2" s="1"/>
  <c r="F27" i="2"/>
  <c r="F33" i="2" s="1"/>
  <c r="D30" i="1"/>
  <c r="Q9" i="2"/>
  <c r="S9" i="2"/>
  <c r="P8" i="2"/>
  <c r="P35" i="1"/>
  <c r="J33" i="1"/>
  <c r="J30" i="1" s="1"/>
  <c r="Q35" i="1"/>
  <c r="S35" i="2" l="1"/>
  <c r="Q35" i="2"/>
  <c r="D38" i="1"/>
  <c r="P17" i="1"/>
  <c r="S13" i="2"/>
  <c r="Q13" i="2"/>
  <c r="G47" i="1"/>
  <c r="G51" i="1" s="1"/>
  <c r="F34" i="2"/>
  <c r="F38" i="2" s="1"/>
  <c r="S8" i="2"/>
  <c r="P11" i="2"/>
  <c r="Q8" i="2"/>
  <c r="C33" i="2"/>
  <c r="S20" i="2"/>
  <c r="Q20" i="2"/>
  <c r="P22" i="2"/>
  <c r="J38" i="1"/>
  <c r="J47" i="1" s="1"/>
  <c r="J51" i="1" s="1"/>
  <c r="C30" i="1"/>
  <c r="Q33" i="1"/>
  <c r="Q26" i="2"/>
  <c r="P27" i="2"/>
  <c r="S26" i="2"/>
  <c r="P14" i="2"/>
  <c r="P30" i="1"/>
  <c r="Q37" i="2"/>
  <c r="S37" i="2"/>
  <c r="Q10" i="2"/>
  <c r="S10" i="2"/>
  <c r="Q22" i="1"/>
  <c r="C17" i="1"/>
  <c r="C34" i="2"/>
  <c r="C38" i="2" l="1"/>
  <c r="Q14" i="2"/>
  <c r="S14" i="2"/>
  <c r="D47" i="1"/>
  <c r="D51" i="1" s="1"/>
  <c r="P51" i="1" s="1"/>
  <c r="P38" i="1"/>
  <c r="P47" i="1" s="1"/>
  <c r="Q22" i="2"/>
  <c r="P23" i="2"/>
  <c r="S22" i="2"/>
  <c r="C38" i="1"/>
  <c r="Q17" i="1"/>
  <c r="Q30" i="1"/>
  <c r="S11" i="2"/>
  <c r="P17" i="2"/>
  <c r="Q11" i="2"/>
  <c r="S27" i="2"/>
  <c r="P33" i="2"/>
  <c r="Q33" i="2" s="1"/>
  <c r="Q27" i="2"/>
  <c r="S17" i="2" l="1"/>
  <c r="P24" i="2"/>
  <c r="Q17" i="2"/>
  <c r="Q38" i="1"/>
  <c r="C47" i="1"/>
  <c r="Q23" i="2"/>
  <c r="S23" i="2"/>
  <c r="P34" i="2" l="1"/>
  <c r="Q24" i="2"/>
  <c r="Q47" i="1"/>
  <c r="C51" i="1"/>
  <c r="Q51" i="1" s="1"/>
  <c r="P38" i="2" l="1"/>
  <c r="Q38" i="2" s="1"/>
  <c r="Q34" i="2"/>
</calcChain>
</file>

<file path=xl/sharedStrings.xml><?xml version="1.0" encoding="utf-8"?>
<sst xmlns="http://schemas.openxmlformats.org/spreadsheetml/2006/main" count="126" uniqueCount="104">
  <si>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</si>
  <si>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</si>
  <si>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</si>
  <si>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</si>
  <si>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</si>
  <si>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</si>
  <si>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</si>
  <si>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</si>
  <si>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</si>
  <si>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</si>
  <si>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</si>
  <si>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</si>
  <si>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</si>
  <si>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</si>
  <si>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</si>
  <si>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</si>
  <si>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</si>
  <si>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</si>
  <si>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</si>
  <si>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</si>
  <si>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</si>
  <si>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</si>
  <si>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</si>
  <si>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</si>
  <si>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</si>
  <si>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</si>
  <si>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</si>
  <si>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</si>
  <si>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</si>
  <si>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</si>
  <si>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</si>
  <si>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</si>
  <si>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</si>
  <si>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</si>
  <si>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</si>
  <si>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</si>
  <si>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</si>
  <si>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</si>
  <si>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</si>
  <si>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</si>
  <si>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</si>
  <si>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</si>
  <si>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</si>
  <si>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</si>
  <si>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</si>
  <si>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</si>
  <si>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</si>
  <si>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</si>
  <si>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</si>
  <si>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</si>
  <si>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</si>
  <si>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</si>
  <si>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</si>
  <si>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</si>
  <si>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</si>
  <si>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</si>
  <si>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</si>
  <si>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</si>
  <si>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</si>
  <si>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</si>
  <si>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</si>
  <si>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</si>
  <si>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</si>
  <si>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</si>
  <si>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</si>
  <si>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</si>
  <si>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</si>
  <si>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</si>
  <si>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</si>
  <si>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</si>
  <si>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</si>
  <si>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</si>
  <si>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</si>
  <si>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</si>
  <si>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</si>
  <si>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</si>
  <si>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</si>
  <si>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</si>
  <si>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</si>
  <si>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</si>
  <si>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</si>
  <si>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</si>
  <si>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</si>
  <si>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</si>
  <si>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</si>
  <si>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</si>
  <si>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</si>
  <si>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</si>
  <si>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</si>
  <si>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</si>
  <si>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</si>
  <si>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</si>
  <si>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</si>
  <si>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</si>
  <si>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</si>
  <si>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</si>
  <si>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ei</t>
  </si>
  <si>
    <t>Belföldi értékpapírok beváltása működési</t>
  </si>
  <si>
    <t>Belföldi értékpapírok beváltása finanszírozási</t>
  </si>
  <si>
    <r>
      <t xml:space="preserve"> </t>
    </r>
    <r>
      <rPr>
        <b/>
        <sz val="12"/>
        <rFont val="Arial CE"/>
        <family val="2"/>
        <charset val="238"/>
      </rPr>
      <t>Belváros-Lipótváros Önkormányzata 2021. évi bevételeinek előirányzat felhasználási ütemterve</t>
    </r>
    <r>
      <rPr>
        <b/>
        <sz val="11"/>
        <rFont val="Arial CE"/>
        <family val="2"/>
        <charset val="238"/>
      </rPr>
      <t xml:space="preserve">                                                    </t>
    </r>
  </si>
  <si>
    <t>Belváros-Lipótváros Önkormányzata 2021.évi kiadásainak előirányzat-felhasználási ütemterve</t>
  </si>
  <si>
    <t>2021. évi ei</t>
  </si>
  <si>
    <t>2021.évi</t>
  </si>
  <si>
    <t>Elvonások és befizetések bevételei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</si>
</sst>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Lucida Sans Unicode"/>
      <family val="2"/>
      <charset val="238"/>
    </font>
    <font>
      <b/>
      <sz val="11"/>
      <name val="Arial CE"/>
      <family val="2"/>
      <charset val="238"/>
    </font>
    <font>
      <sz val="8"/>
      <name val="Lucida Sans Unicod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shrinkToFit="1"/>
    </xf>
    <xf numFmtId="3" fontId="9" fillId="0" borderId="2" xfId="0" applyNumberFormat="1" applyFont="1" applyFill="1" applyBorder="1" applyAlignment="1">
      <alignment horizontal="center" vertical="center" shrinkToFit="1"/>
    </xf>
    <xf numFmtId="3" fontId="9" fillId="0" borderId="3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3" fontId="6" fillId="0" borderId="4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/>
    <xf numFmtId="3" fontId="7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/>
    <xf numFmtId="0" fontId="2" fillId="0" borderId="11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14" fillId="0" borderId="4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6" fillId="0" borderId="18" xfId="0" applyNumberFormat="1" applyFont="1" applyFill="1" applyBorder="1" applyAlignment="1">
      <alignment vertical="center" shrinkToFit="1"/>
    </xf>
    <xf numFmtId="3" fontId="15" fillId="0" borderId="18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49" fontId="6" fillId="0" borderId="19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3" fontId="6" fillId="0" borderId="20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15" fillId="0" borderId="4" xfId="0" applyNumberFormat="1" applyFont="1" applyFill="1" applyBorder="1" applyAlignment="1">
      <alignment vertical="center" shrinkToFit="1"/>
    </xf>
    <xf numFmtId="0" fontId="15" fillId="0" borderId="23" xfId="0" applyFont="1" applyFill="1" applyBorder="1" applyAlignment="1">
      <alignment horizontal="center" vertical="center" shrinkToFit="1"/>
    </xf>
    <xf numFmtId="3" fontId="15" fillId="0" borderId="5" xfId="0" applyNumberFormat="1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14" fillId="0" borderId="26" xfId="0" applyNumberFormat="1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5" fillId="0" borderId="23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3" fontId="9" fillId="0" borderId="4" xfId="0" applyNumberFormat="1" applyFont="1" applyFill="1" applyBorder="1" applyAlignment="1">
      <alignment vertical="center" shrinkToFit="1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 shrinkToFit="1"/>
    </xf>
    <xf numFmtId="3" fontId="14" fillId="0" borderId="34" xfId="0" applyNumberFormat="1" applyFont="1" applyFill="1" applyBorder="1" applyAlignment="1">
      <alignment vertical="center" shrinkToFit="1"/>
    </xf>
    <xf numFmtId="3" fontId="14" fillId="0" borderId="35" xfId="0" applyNumberFormat="1" applyFont="1" applyFill="1" applyBorder="1" applyAlignment="1">
      <alignment vertical="center" shrinkToFit="1"/>
    </xf>
    <xf numFmtId="3" fontId="15" fillId="0" borderId="35" xfId="0" applyNumberFormat="1" applyFont="1" applyFill="1" applyBorder="1" applyAlignment="1">
      <alignment vertical="center" shrinkToFit="1"/>
    </xf>
    <xf numFmtId="3" fontId="6" fillId="0" borderId="35" xfId="0" applyNumberFormat="1" applyFont="1" applyFill="1" applyBorder="1" applyAlignment="1">
      <alignment vertical="center" shrinkToFit="1"/>
    </xf>
    <xf numFmtId="3" fontId="6" fillId="0" borderId="36" xfId="0" applyNumberFormat="1" applyFont="1" applyFill="1" applyBorder="1" applyAlignment="1">
      <alignment vertical="center" shrinkToFit="1"/>
    </xf>
    <xf numFmtId="3" fontId="6" fillId="0" borderId="37" xfId="0" applyNumberFormat="1" applyFont="1" applyFill="1" applyBorder="1" applyAlignment="1">
      <alignment vertical="center" shrinkToFit="1"/>
    </xf>
    <xf numFmtId="3" fontId="15" fillId="0" borderId="36" xfId="0" applyNumberFormat="1" applyFont="1" applyFill="1" applyBorder="1" applyAlignment="1">
      <alignment vertical="center" shrinkToFit="1"/>
    </xf>
    <xf numFmtId="3" fontId="14" fillId="0" borderId="37" xfId="0" applyNumberFormat="1" applyFont="1" applyFill="1" applyBorder="1" applyAlignment="1">
      <alignment vertical="center" shrinkToFit="1"/>
    </xf>
    <xf numFmtId="3" fontId="14" fillId="0" borderId="21" xfId="0" applyNumberFormat="1" applyFont="1" applyFill="1" applyBorder="1" applyAlignment="1">
      <alignment vertical="center" shrinkToFit="1"/>
    </xf>
    <xf numFmtId="3" fontId="15" fillId="0" borderId="7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indent="1"/>
    </xf>
    <xf numFmtId="3" fontId="1" fillId="0" borderId="12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 shrinkToFit="1"/>
    </xf>
    <xf numFmtId="3" fontId="6" fillId="0" borderId="32" xfId="0" applyNumberFormat="1" applyFont="1" applyFill="1" applyBorder="1" applyAlignment="1">
      <alignment vertical="center" shrinkToFit="1"/>
    </xf>
    <xf numFmtId="3" fontId="6" fillId="0" borderId="6" xfId="0" applyNumberFormat="1" applyFont="1" applyFill="1" applyBorder="1" applyAlignment="1">
      <alignment vertical="center" shrinkToFit="1"/>
    </xf>
    <xf numFmtId="3" fontId="14" fillId="0" borderId="38" xfId="0" applyNumberFormat="1" applyFont="1" applyFill="1" applyBorder="1" applyAlignment="1">
      <alignment vertical="center" shrinkToFit="1"/>
    </xf>
    <xf numFmtId="3" fontId="15" fillId="0" borderId="39" xfId="0" applyNumberFormat="1" applyFont="1" applyFill="1" applyBorder="1" applyAlignment="1">
      <alignment vertical="center" shrinkToFit="1"/>
    </xf>
    <xf numFmtId="3" fontId="9" fillId="0" borderId="40" xfId="0" applyNumberFormat="1" applyFont="1" applyFill="1" applyBorder="1" applyAlignment="1">
      <alignment vertical="center" shrinkToFit="1"/>
    </xf>
    <xf numFmtId="3" fontId="6" fillId="0" borderId="39" xfId="0" applyNumberFormat="1" applyFont="1" applyFill="1" applyBorder="1" applyAlignment="1">
      <alignment vertical="center" shrinkToFit="1"/>
    </xf>
    <xf numFmtId="3" fontId="15" fillId="0" borderId="41" xfId="0" applyNumberFormat="1" applyFont="1" applyFill="1" applyBorder="1" applyAlignment="1">
      <alignment vertical="center" shrinkToFit="1"/>
    </xf>
    <xf numFmtId="3" fontId="15" fillId="0" borderId="40" xfId="0" applyNumberFormat="1" applyFont="1" applyFill="1" applyBorder="1" applyAlignment="1">
      <alignment vertical="center" shrinkToFit="1"/>
    </xf>
    <xf numFmtId="3" fontId="6" fillId="0" borderId="33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3" fontId="8" fillId="0" borderId="0" xfId="0" applyNumberFormat="1" applyFont="1" applyFill="1"/>
    <xf numFmtId="0" fontId="8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16" fillId="0" borderId="0" xfId="0" applyFont="1" applyFill="1"/>
    <xf numFmtId="3" fontId="8" fillId="0" borderId="0" xfId="0" applyNumberFormat="1" applyFont="1" applyFill="1" applyBorder="1"/>
    <xf numFmtId="3" fontId="17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5" fillId="0" borderId="45" xfId="0" applyFont="1" applyFill="1" applyBorder="1" applyAlignment="1">
      <alignment vertical="center" shrinkToFit="1"/>
    </xf>
    <xf numFmtId="3" fontId="15" fillId="0" borderId="46" xfId="0" applyNumberFormat="1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3" fontId="15" fillId="0" borderId="12" xfId="0" applyNumberFormat="1" applyFont="1" applyFill="1" applyBorder="1" applyAlignment="1">
      <alignment vertical="center" shrinkToFit="1"/>
    </xf>
    <xf numFmtId="3" fontId="15" fillId="0" borderId="47" xfId="0" applyNumberFormat="1" applyFont="1" applyFill="1" applyBorder="1" applyAlignment="1">
      <alignment vertical="center" shrinkToFit="1"/>
    </xf>
    <xf numFmtId="3" fontId="15" fillId="0" borderId="48" xfId="0" applyNumberFormat="1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3" fontId="14" fillId="0" borderId="49" xfId="0" applyNumberFormat="1" applyFont="1" applyFill="1" applyBorder="1" applyAlignment="1">
      <alignment vertical="center" shrinkToFit="1"/>
    </xf>
    <xf numFmtId="3" fontId="14" fillId="0" borderId="50" xfId="0" applyNumberFormat="1" applyFont="1" applyFill="1" applyBorder="1" applyAlignment="1">
      <alignment vertical="center" shrinkToFit="1"/>
    </xf>
    <xf numFmtId="3" fontId="15" fillId="0" borderId="49" xfId="0" applyNumberFormat="1" applyFont="1" applyFill="1" applyBorder="1" applyAlignment="1">
      <alignment vertical="center" shrinkToFit="1"/>
    </xf>
    <xf numFmtId="3" fontId="15" fillId="0" borderId="50" xfId="0" applyNumberFormat="1" applyFont="1" applyFill="1" applyBorder="1" applyAlignment="1">
      <alignment vertical="center" shrinkToFit="1"/>
    </xf>
    <xf numFmtId="3" fontId="15" fillId="0" borderId="51" xfId="0" applyNumberFormat="1" applyFont="1" applyFill="1" applyBorder="1" applyAlignment="1">
      <alignment vertical="center" shrinkToFit="1"/>
    </xf>
    <xf numFmtId="3" fontId="15" fillId="0" borderId="52" xfId="0" applyNumberFormat="1" applyFont="1" applyFill="1" applyBorder="1" applyAlignment="1">
      <alignment vertical="center" shrinkToFit="1"/>
    </xf>
    <xf numFmtId="3" fontId="15" fillId="0" borderId="53" xfId="0" applyNumberFormat="1" applyFont="1" applyFill="1" applyBorder="1" applyAlignment="1">
      <alignment vertical="center" shrinkToFit="1"/>
    </xf>
    <xf numFmtId="3" fontId="15" fillId="0" borderId="54" xfId="0" applyNumberFormat="1" applyFont="1" applyFill="1" applyBorder="1" applyAlignment="1">
      <alignment vertical="center" shrinkToFit="1"/>
    </xf>
    <xf numFmtId="3" fontId="15" fillId="0" borderId="32" xfId="0" applyNumberFormat="1" applyFont="1" applyFill="1" applyBorder="1" applyAlignment="1">
      <alignment vertical="center" shrinkToFit="1"/>
    </xf>
    <xf numFmtId="3" fontId="15" fillId="0" borderId="55" xfId="0" applyNumberFormat="1" applyFont="1" applyFill="1" applyBorder="1" applyAlignment="1">
      <alignment vertical="center" shrinkToFit="1"/>
    </xf>
    <xf numFmtId="3" fontId="15" fillId="0" borderId="56" xfId="0" applyNumberFormat="1" applyFont="1" applyFill="1" applyBorder="1" applyAlignment="1">
      <alignment vertical="center" shrinkToFit="1"/>
    </xf>
    <xf numFmtId="3" fontId="15" fillId="0" borderId="57" xfId="0" applyNumberFormat="1" applyFont="1" applyFill="1" applyBorder="1" applyAlignment="1">
      <alignment vertical="center" shrinkToFit="1"/>
    </xf>
    <xf numFmtId="3" fontId="15" fillId="0" borderId="21" xfId="0" applyNumberFormat="1" applyFont="1" applyFill="1" applyBorder="1" applyAlignment="1">
      <alignment vertical="center" shrinkToFit="1"/>
    </xf>
    <xf numFmtId="3" fontId="14" fillId="0" borderId="58" xfId="0" applyNumberFormat="1" applyFont="1" applyFill="1" applyBorder="1" applyAlignment="1">
      <alignment vertical="center" shrinkToFit="1"/>
    </xf>
    <xf numFmtId="3" fontId="14" fillId="0" borderId="59" xfId="0" applyNumberFormat="1" applyFont="1" applyFill="1" applyBorder="1" applyAlignment="1">
      <alignment vertical="center" shrinkToFit="1"/>
    </xf>
    <xf numFmtId="3" fontId="15" fillId="0" borderId="60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/>
    </xf>
    <xf numFmtId="3" fontId="15" fillId="0" borderId="61" xfId="0" applyNumberFormat="1" applyFont="1" applyFill="1" applyBorder="1" applyAlignment="1">
      <alignment vertical="center" shrinkToFit="1"/>
    </xf>
    <xf numFmtId="3" fontId="15" fillId="0" borderId="6" xfId="0" applyNumberFormat="1" applyFont="1" applyFill="1" applyBorder="1" applyAlignment="1">
      <alignment vertical="center" shrinkToFit="1"/>
    </xf>
    <xf numFmtId="3" fontId="19" fillId="0" borderId="0" xfId="0" applyNumberFormat="1" applyFont="1" applyFill="1"/>
    <xf numFmtId="0" fontId="14" fillId="0" borderId="45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 shrinkToFit="1"/>
    </xf>
    <xf numFmtId="3" fontId="15" fillId="0" borderId="13" xfId="0" applyNumberFormat="1" applyFont="1" applyFill="1" applyBorder="1" applyAlignment="1">
      <alignment vertical="center" shrinkToFit="1"/>
    </xf>
    <xf numFmtId="3" fontId="15" fillId="0" borderId="62" xfId="0" applyNumberFormat="1" applyFont="1" applyFill="1" applyBorder="1" applyAlignment="1">
      <alignment vertical="center" shrinkToFit="1"/>
    </xf>
    <xf numFmtId="3" fontId="15" fillId="0" borderId="63" xfId="0" applyNumberFormat="1" applyFont="1" applyFill="1" applyBorder="1" applyAlignment="1">
      <alignment vertical="center" shrinkToFit="1"/>
    </xf>
    <xf numFmtId="3" fontId="14" fillId="0" borderId="31" xfId="0" applyNumberFormat="1" applyFont="1" applyFill="1" applyBorder="1" applyAlignment="1">
      <alignment vertical="center" shrinkToFit="1"/>
    </xf>
    <xf numFmtId="3" fontId="14" fillId="0" borderId="62" xfId="0" applyNumberFormat="1" applyFont="1" applyFill="1" applyBorder="1" applyAlignment="1">
      <alignment vertical="center" shrinkToFit="1"/>
    </xf>
    <xf numFmtId="3" fontId="14" fillId="0" borderId="47" xfId="0" applyNumberFormat="1" applyFont="1" applyFill="1" applyBorder="1" applyAlignment="1">
      <alignment vertical="center" shrinkToFit="1"/>
    </xf>
    <xf numFmtId="3" fontId="14" fillId="0" borderId="40" xfId="0" applyNumberFormat="1" applyFont="1" applyFill="1" applyBorder="1" applyAlignment="1">
      <alignment vertical="center" shrinkToFit="1"/>
    </xf>
    <xf numFmtId="3" fontId="14" fillId="0" borderId="64" xfId="1" applyNumberFormat="1" applyFont="1" applyFill="1" applyBorder="1" applyAlignment="1" applyProtection="1">
      <alignment vertical="center" shrinkToFit="1"/>
    </xf>
    <xf numFmtId="3" fontId="14" fillId="0" borderId="0" xfId="0" applyNumberFormat="1" applyFont="1" applyFill="1" applyBorder="1" applyAlignment="1">
      <alignment vertical="center" shrinkToFit="1"/>
    </xf>
    <xf numFmtId="3" fontId="14" fillId="0" borderId="65" xfId="0" applyNumberFormat="1" applyFont="1" applyFill="1" applyBorder="1" applyAlignment="1">
      <alignment vertical="center" shrinkToFit="1"/>
    </xf>
    <xf numFmtId="3" fontId="15" fillId="0" borderId="65" xfId="0" applyNumberFormat="1" applyFont="1" applyFill="1" applyBorder="1" applyAlignment="1">
      <alignment vertical="center" shrinkToFit="1"/>
    </xf>
    <xf numFmtId="3" fontId="15" fillId="0" borderId="66" xfId="0" applyNumberFormat="1" applyFont="1" applyFill="1" applyBorder="1" applyAlignment="1">
      <alignment vertical="center" shrinkToFit="1"/>
    </xf>
    <xf numFmtId="3" fontId="15" fillId="0" borderId="67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" fontId="14" fillId="0" borderId="17" xfId="0" applyNumberFormat="1" applyFont="1" applyFill="1" applyBorder="1" applyAlignment="1">
      <alignment vertical="center" shrinkToFit="1"/>
    </xf>
    <xf numFmtId="3" fontId="14" fillId="0" borderId="48" xfId="0" applyNumberFormat="1" applyFont="1" applyFill="1" applyBorder="1" applyAlignment="1">
      <alignment vertical="center" shrinkToFit="1"/>
    </xf>
    <xf numFmtId="3" fontId="14" fillId="0" borderId="66" xfId="0" applyNumberFormat="1" applyFont="1" applyFill="1" applyBorder="1" applyAlignment="1">
      <alignment vertical="center" shrinkToFit="1"/>
    </xf>
    <xf numFmtId="3" fontId="14" fillId="0" borderId="67" xfId="0" applyNumberFormat="1" applyFont="1" applyFill="1" applyBorder="1" applyAlignment="1">
      <alignment vertical="center" shrinkToFit="1"/>
    </xf>
    <xf numFmtId="3" fontId="14" fillId="0" borderId="68" xfId="0" applyNumberFormat="1" applyFont="1" applyFill="1" applyBorder="1" applyAlignment="1">
      <alignment vertical="center" shrinkToFit="1"/>
    </xf>
    <xf numFmtId="3" fontId="14" fillId="0" borderId="69" xfId="0" applyNumberFormat="1" applyFont="1" applyFill="1" applyBorder="1" applyAlignment="1">
      <alignment vertical="center" shrinkToFit="1"/>
    </xf>
    <xf numFmtId="3" fontId="14" fillId="0" borderId="70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6" fillId="0" borderId="79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3" fontId="6" fillId="0" borderId="75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6" fillId="0" borderId="74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3" fontId="6" fillId="0" borderId="78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7" zoomScale="80" zoomScaleNormal="80" workbookViewId="0">
      <pane ySplit="10" topLeftCell="A20" activePane="bottomLeft" state="frozen"/>
      <selection activeCell="A7" sqref="A7"/>
      <selection pane="bottomLeft" activeCell="C36" sqref="C36"/>
    </sheetView>
  </sheetViews>
  <sheetFormatPr defaultRowHeight="12.75" x14ac:dyDescent="0.2"/>
  <cols>
    <col min="1" max="1" width="3.140625" style="36" customWidth="1"/>
    <col min="2" max="2" width="36.5703125" style="17" customWidth="1"/>
    <col min="3" max="3" width="12.28515625" style="21" customWidth="1"/>
    <col min="4" max="4" width="10.5703125" style="21" customWidth="1"/>
    <col min="5" max="5" width="10" style="21" customWidth="1"/>
    <col min="6" max="6" width="10.5703125" style="21" customWidth="1"/>
    <col min="7" max="7" width="10" style="21" customWidth="1"/>
    <col min="8" max="8" width="10.5703125" style="21" customWidth="1"/>
    <col min="9" max="9" width="11.140625" style="21" customWidth="1"/>
    <col min="10" max="10" width="10.7109375" style="21" customWidth="1"/>
    <col min="11" max="14" width="10" style="21" customWidth="1"/>
    <col min="15" max="15" width="11.28515625" style="21" customWidth="1"/>
    <col min="16" max="16" width="11.140625" style="21" customWidth="1"/>
    <col min="17" max="17" width="11.42578125" style="130" customWidth="1"/>
    <col min="18" max="18" width="10.85546875" style="124" bestFit="1" customWidth="1"/>
    <col min="19" max="19" width="9.140625" style="125"/>
    <col min="20" max="16384" width="9.140625" style="21"/>
  </cols>
  <sheetData>
    <row r="1" spans="1:16" x14ac:dyDescent="0.2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4" t="s">
        <v>40</v>
      </c>
      <c r="P2" s="204"/>
    </row>
    <row r="3" spans="1:16" x14ac:dyDescent="0.2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5" t="s">
        <v>93</v>
      </c>
      <c r="P7" s="205"/>
    </row>
    <row r="8" spans="1:16" ht="21" customHeight="1" x14ac:dyDescent="0.2">
      <c r="A8" s="194" t="s">
        <v>100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x14ac:dyDescent="0.2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x14ac:dyDescent="0.2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0"/>
      <c r="N10" s="22"/>
      <c r="O10" s="22"/>
      <c r="P10" s="22"/>
    </row>
    <row r="11" spans="1:16" x14ac:dyDescent="0.2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 x14ac:dyDescent="0.2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 x14ac:dyDescent="0.25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 x14ac:dyDescent="0.25">
      <c r="A14" s="201" t="s">
        <v>1</v>
      </c>
      <c r="B14" s="201"/>
      <c r="C14" s="202" t="s">
        <v>101</v>
      </c>
      <c r="D14" s="192" t="s">
        <v>2</v>
      </c>
      <c r="E14" s="192" t="s">
        <v>3</v>
      </c>
      <c r="F14" s="192" t="s">
        <v>4</v>
      </c>
      <c r="G14" s="192" t="s">
        <v>5</v>
      </c>
      <c r="H14" s="192" t="s">
        <v>6</v>
      </c>
      <c r="I14" s="192" t="s">
        <v>7</v>
      </c>
      <c r="J14" s="192" t="s">
        <v>8</v>
      </c>
      <c r="K14" s="192" t="s">
        <v>9</v>
      </c>
      <c r="L14" s="192" t="s">
        <v>10</v>
      </c>
      <c r="M14" s="192" t="s">
        <v>11</v>
      </c>
      <c r="N14" s="192" t="s">
        <v>12</v>
      </c>
      <c r="O14" s="192" t="s">
        <v>13</v>
      </c>
      <c r="P14" s="192" t="s">
        <v>14</v>
      </c>
    </row>
    <row r="15" spans="1:16" ht="13.5" thickBot="1" x14ac:dyDescent="0.25">
      <c r="A15" s="201"/>
      <c r="B15" s="201"/>
      <c r="C15" s="20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16" ht="15" customHeight="1" thickBot="1" x14ac:dyDescent="0.25">
      <c r="A16" s="195">
        <v>1</v>
      </c>
      <c r="B16" s="196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8" ht="15" customHeight="1" x14ac:dyDescent="0.2">
      <c r="A17" s="24" t="s">
        <v>15</v>
      </c>
      <c r="B17" s="25" t="s">
        <v>78</v>
      </c>
      <c r="C17" s="26">
        <f>SUM(C18:C22)</f>
        <v>21652913</v>
      </c>
      <c r="D17" s="26">
        <f t="shared" ref="D17:N17" si="0">SUM(D18:D22)</f>
        <v>2190842.0000000005</v>
      </c>
      <c r="E17" s="26">
        <f t="shared" si="0"/>
        <v>1557853</v>
      </c>
      <c r="F17" s="26">
        <f t="shared" si="0"/>
        <v>1676823</v>
      </c>
      <c r="G17" s="26">
        <f t="shared" si="0"/>
        <v>1728797</v>
      </c>
      <c r="H17" s="26">
        <f t="shared" si="0"/>
        <v>1459067</v>
      </c>
      <c r="I17" s="26">
        <f t="shared" si="0"/>
        <v>1699602</v>
      </c>
      <c r="J17" s="26">
        <f t="shared" si="0"/>
        <v>1563165</v>
      </c>
      <c r="K17" s="26">
        <f t="shared" si="0"/>
        <v>1556227</v>
      </c>
      <c r="L17" s="26">
        <f t="shared" si="0"/>
        <v>1599206</v>
      </c>
      <c r="M17" s="26">
        <f t="shared" si="0"/>
        <v>1575060</v>
      </c>
      <c r="N17" s="26">
        <f t="shared" si="0"/>
        <v>1898469</v>
      </c>
      <c r="O17" s="26">
        <f>SUM(O18:O22)</f>
        <v>3181479</v>
      </c>
      <c r="P17" s="108">
        <f>SUM(D17:O17)</f>
        <v>21686590</v>
      </c>
      <c r="Q17" s="130">
        <f t="shared" ref="Q17:Q51" si="1">+C17-P17</f>
        <v>-33677</v>
      </c>
    </row>
    <row r="18" spans="1:18" ht="15" customHeight="1" x14ac:dyDescent="0.2">
      <c r="A18" s="28"/>
      <c r="B18" s="44" t="s">
        <v>16</v>
      </c>
      <c r="C18" s="128">
        <v>4663365</v>
      </c>
      <c r="D18" s="29">
        <f>4100900/12+411154</f>
        <v>752895.66666666674</v>
      </c>
      <c r="E18" s="29">
        <f t="shared" ref="E18:O18" si="2">4100900/12</f>
        <v>341741.66666666669</v>
      </c>
      <c r="F18" s="29">
        <f>4100900/12</f>
        <v>341741.66666666669</v>
      </c>
      <c r="G18" s="29">
        <f>4100900/12+100213</f>
        <v>441954.66666666669</v>
      </c>
      <c r="H18" s="29">
        <f t="shared" si="2"/>
        <v>341741.66666666669</v>
      </c>
      <c r="I18" s="29">
        <f>4100900/12+51098</f>
        <v>392839.66666666669</v>
      </c>
      <c r="J18" s="29">
        <f t="shared" si="2"/>
        <v>341741.66666666669</v>
      </c>
      <c r="K18" s="29">
        <f t="shared" si="2"/>
        <v>341741.66666666669</v>
      </c>
      <c r="L18" s="29">
        <f t="shared" si="2"/>
        <v>341741.66666666669</v>
      </c>
      <c r="M18" s="29">
        <f t="shared" si="2"/>
        <v>341741.66666666669</v>
      </c>
      <c r="N18" s="29">
        <f t="shared" si="2"/>
        <v>341741.66666666669</v>
      </c>
      <c r="O18" s="29">
        <f t="shared" si="2"/>
        <v>341741.66666666669</v>
      </c>
      <c r="P18" s="18">
        <f t="shared" ref="P18:P49" si="3">SUM(D18:O18)</f>
        <v>4663365</v>
      </c>
      <c r="Q18" s="130">
        <f t="shared" si="1"/>
        <v>0</v>
      </c>
      <c r="R18" s="124">
        <v>4663365</v>
      </c>
    </row>
    <row r="19" spans="1:18" ht="15" customHeight="1" x14ac:dyDescent="0.2">
      <c r="A19" s="28"/>
      <c r="B19" s="44" t="s">
        <v>68</v>
      </c>
      <c r="C19" s="128">
        <v>801209</v>
      </c>
      <c r="D19" s="29">
        <f>697461/12+80294</f>
        <v>138415.75</v>
      </c>
      <c r="E19" s="29">
        <f t="shared" ref="E19:O19" si="4">697461/12</f>
        <v>58121.75</v>
      </c>
      <c r="F19" s="29">
        <f>697461/12</f>
        <v>58121.75</v>
      </c>
      <c r="G19" s="29">
        <f>697461/12+15632</f>
        <v>73753.75</v>
      </c>
      <c r="H19" s="29">
        <f t="shared" si="4"/>
        <v>58121.75</v>
      </c>
      <c r="I19" s="29">
        <f>697461/12+7822</f>
        <v>65943.75</v>
      </c>
      <c r="J19" s="29">
        <f t="shared" si="4"/>
        <v>58121.75</v>
      </c>
      <c r="K19" s="29">
        <f t="shared" si="4"/>
        <v>58121.75</v>
      </c>
      <c r="L19" s="29">
        <f t="shared" si="4"/>
        <v>58121.75</v>
      </c>
      <c r="M19" s="29">
        <f t="shared" si="4"/>
        <v>58121.75</v>
      </c>
      <c r="N19" s="29">
        <f t="shared" si="4"/>
        <v>58121.75</v>
      </c>
      <c r="O19" s="29">
        <f t="shared" si="4"/>
        <v>58121.75</v>
      </c>
      <c r="P19" s="18">
        <f t="shared" si="3"/>
        <v>801209</v>
      </c>
      <c r="Q19" s="130">
        <f t="shared" si="1"/>
        <v>0</v>
      </c>
      <c r="R19" s="124">
        <v>801209</v>
      </c>
    </row>
    <row r="20" spans="1:18" ht="15" customHeight="1" x14ac:dyDescent="0.2">
      <c r="A20" s="28"/>
      <c r="B20" s="44" t="s">
        <v>38</v>
      </c>
      <c r="C20" s="128">
        <v>13055293</v>
      </c>
      <c r="D20" s="29">
        <f>1036027+1-1466+81622</f>
        <v>1116184</v>
      </c>
      <c r="E20" s="29">
        <f>1036027+1-1466+1500+7531</f>
        <v>1043593</v>
      </c>
      <c r="F20" s="29">
        <f>1036027+1-1466+6780</f>
        <v>1041342</v>
      </c>
      <c r="G20" s="29">
        <f>1036027+1-1466</f>
        <v>1034562</v>
      </c>
      <c r="H20" s="29">
        <f>1036027+1-1466-36528</f>
        <v>998034</v>
      </c>
      <c r="I20" s="29">
        <f>1036027+1-1466+2277-36528</f>
        <v>1000311</v>
      </c>
      <c r="J20" s="29">
        <f>1036027+1-1466-36528</f>
        <v>998034</v>
      </c>
      <c r="K20" s="29">
        <f>1036027+1-1466-36528</f>
        <v>998034</v>
      </c>
      <c r="L20" s="29">
        <f>1036027+1-1466-36528</f>
        <v>998034</v>
      </c>
      <c r="M20" s="29">
        <f>1036027+1-1466-36528+17444</f>
        <v>1015478</v>
      </c>
      <c r="N20" s="29">
        <f>1036027+1-1466-36528+394098</f>
        <v>1392132</v>
      </c>
      <c r="O20" s="29">
        <f>1036027+1-1466-10-36528-2+421533</f>
        <v>1419555</v>
      </c>
      <c r="P20" s="18">
        <f t="shared" si="3"/>
        <v>13055293</v>
      </c>
      <c r="Q20" s="130">
        <f t="shared" si="1"/>
        <v>0</v>
      </c>
      <c r="R20" s="124">
        <v>13055293</v>
      </c>
    </row>
    <row r="21" spans="1:18" ht="15" customHeight="1" x14ac:dyDescent="0.2">
      <c r="A21" s="28"/>
      <c r="B21" s="44" t="s">
        <v>39</v>
      </c>
      <c r="C21" s="128">
        <v>582956</v>
      </c>
      <c r="D21" s="29">
        <f>41726+50000</f>
        <v>91726</v>
      </c>
      <c r="E21" s="29">
        <v>24593</v>
      </c>
      <c r="F21" s="29">
        <v>97052</v>
      </c>
      <c r="G21" s="29">
        <v>50001</v>
      </c>
      <c r="H21" s="29">
        <v>3946</v>
      </c>
      <c r="I21" s="29">
        <v>17881</v>
      </c>
      <c r="J21" s="29">
        <v>14851</v>
      </c>
      <c r="K21" s="29">
        <v>7318</v>
      </c>
      <c r="L21" s="29">
        <f>41699+50000</f>
        <v>91699</v>
      </c>
      <c r="M21" s="29">
        <f>13975+50950</f>
        <v>64925</v>
      </c>
      <c r="N21" s="29">
        <v>11673</v>
      </c>
      <c r="O21" s="29">
        <v>107291</v>
      </c>
      <c r="P21" s="18">
        <f t="shared" si="3"/>
        <v>582956</v>
      </c>
      <c r="Q21" s="130">
        <f t="shared" si="1"/>
        <v>0</v>
      </c>
      <c r="R21" s="130">
        <v>582956</v>
      </c>
    </row>
    <row r="22" spans="1:18" ht="15" customHeight="1" x14ac:dyDescent="0.2">
      <c r="A22" s="28"/>
      <c r="B22" s="44" t="s">
        <v>52</v>
      </c>
      <c r="C22" s="128">
        <f>SUM(C24:C29)</f>
        <v>2550090</v>
      </c>
      <c r="D22" s="128">
        <f>SUM(D24:D29)</f>
        <v>91620.583333333328</v>
      </c>
      <c r="E22" s="128">
        <f t="shared" ref="E22:O22" si="5">SUM(E24:E29)</f>
        <v>89803.583333333328</v>
      </c>
      <c r="F22" s="128">
        <f t="shared" si="5"/>
        <v>138565.58333333334</v>
      </c>
      <c r="G22" s="128">
        <f t="shared" si="5"/>
        <v>128525.58333333333</v>
      </c>
      <c r="H22" s="128">
        <f t="shared" si="5"/>
        <v>57223.583333333328</v>
      </c>
      <c r="I22" s="128">
        <f t="shared" si="5"/>
        <v>222626.58333333334</v>
      </c>
      <c r="J22" s="128">
        <f t="shared" si="5"/>
        <v>150416.58333333331</v>
      </c>
      <c r="K22" s="128">
        <f t="shared" si="5"/>
        <v>151011.58333333334</v>
      </c>
      <c r="L22" s="128">
        <f t="shared" si="5"/>
        <v>109609.58333333333</v>
      </c>
      <c r="M22" s="128">
        <f t="shared" si="5"/>
        <v>94793.583333333328</v>
      </c>
      <c r="N22" s="128">
        <f t="shared" si="5"/>
        <v>94800.583333333328</v>
      </c>
      <c r="O22" s="128">
        <f t="shared" si="5"/>
        <v>1254769.5833333333</v>
      </c>
      <c r="P22" s="18">
        <f>SUM(D22:O22)</f>
        <v>2583767</v>
      </c>
      <c r="Q22" s="130">
        <f t="shared" si="1"/>
        <v>-33677</v>
      </c>
      <c r="R22" s="130">
        <v>2583767</v>
      </c>
    </row>
    <row r="23" spans="1:18" ht="12.75" hidden="1" customHeight="1" x14ac:dyDescent="0.2">
      <c r="A23" s="119"/>
      <c r="B23" s="120"/>
      <c r="C23" s="15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3"/>
        <v>0</v>
      </c>
      <c r="Q23" s="130">
        <f t="shared" si="1"/>
        <v>0</v>
      </c>
      <c r="R23" s="130"/>
    </row>
    <row r="24" spans="1:18" ht="12.75" customHeight="1" x14ac:dyDescent="0.2">
      <c r="A24" s="105"/>
      <c r="B24" s="120" t="s">
        <v>86</v>
      </c>
      <c r="C24" s="158">
        <v>486128</v>
      </c>
      <c r="D24" s="31">
        <f>355107/12</f>
        <v>29592.25</v>
      </c>
      <c r="E24" s="31">
        <f t="shared" ref="E24:O24" si="6">355107/12</f>
        <v>29592.25</v>
      </c>
      <c r="F24" s="31">
        <f t="shared" si="6"/>
        <v>29592.25</v>
      </c>
      <c r="G24" s="31">
        <f t="shared" si="6"/>
        <v>29592.25</v>
      </c>
      <c r="H24" s="31">
        <f t="shared" si="6"/>
        <v>29592.25</v>
      </c>
      <c r="I24" s="31">
        <f>355107/12+131021</f>
        <v>160613.25</v>
      </c>
      <c r="J24" s="31">
        <f t="shared" si="6"/>
        <v>29592.25</v>
      </c>
      <c r="K24" s="31">
        <f t="shared" si="6"/>
        <v>29592.25</v>
      </c>
      <c r="L24" s="31">
        <f t="shared" si="6"/>
        <v>29592.25</v>
      </c>
      <c r="M24" s="31">
        <f t="shared" si="6"/>
        <v>29592.25</v>
      </c>
      <c r="N24" s="31">
        <f t="shared" si="6"/>
        <v>29592.25</v>
      </c>
      <c r="O24" s="31">
        <f t="shared" si="6"/>
        <v>29592.25</v>
      </c>
      <c r="P24" s="18">
        <f t="shared" si="3"/>
        <v>486128</v>
      </c>
      <c r="Q24" s="130">
        <f t="shared" si="1"/>
        <v>0</v>
      </c>
      <c r="R24" s="189">
        <v>486128</v>
      </c>
    </row>
    <row r="25" spans="1:18" ht="12.75" customHeight="1" x14ac:dyDescent="0.2">
      <c r="A25" s="105"/>
      <c r="B25" s="120" t="s">
        <v>71</v>
      </c>
      <c r="C25" s="158">
        <v>52577</v>
      </c>
      <c r="D25" s="31">
        <v>2208.3333333333335</v>
      </c>
      <c r="E25" s="31">
        <v>2208.3333333333335</v>
      </c>
      <c r="F25" s="31">
        <v>2208.3333333333335</v>
      </c>
      <c r="G25" s="31">
        <f>2208.33333333333+25577</f>
        <v>27785.333333333328</v>
      </c>
      <c r="H25" s="31">
        <v>2208.3333333333335</v>
      </c>
      <c r="I25" s="31">
        <v>2208.3333333333335</v>
      </c>
      <c r="J25" s="31">
        <f>2208.33333333333+500</f>
        <v>2708.3333333333298</v>
      </c>
      <c r="K25" s="31">
        <v>2208.3333333333335</v>
      </c>
      <c r="L25" s="31">
        <v>2208.3333333333335</v>
      </c>
      <c r="M25" s="31">
        <v>2208.3333333333335</v>
      </c>
      <c r="N25" s="31">
        <v>2208.3333333333335</v>
      </c>
      <c r="O25" s="31">
        <v>2208.3333333333335</v>
      </c>
      <c r="P25" s="18">
        <f t="shared" si="3"/>
        <v>52577.000000000007</v>
      </c>
      <c r="Q25" s="130">
        <f t="shared" si="1"/>
        <v>0</v>
      </c>
      <c r="R25" s="189">
        <v>52577</v>
      </c>
    </row>
    <row r="26" spans="1:18" ht="12.75" customHeight="1" x14ac:dyDescent="0.2">
      <c r="A26" s="105"/>
      <c r="B26" s="120" t="s">
        <v>87</v>
      </c>
      <c r="C26" s="158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3"/>
        <v>0</v>
      </c>
      <c r="Q26" s="130">
        <f t="shared" si="1"/>
        <v>0</v>
      </c>
      <c r="R26" s="189">
        <v>0</v>
      </c>
    </row>
    <row r="27" spans="1:18" ht="12.75" customHeight="1" x14ac:dyDescent="0.2">
      <c r="A27" s="105"/>
      <c r="B27" s="120" t="s">
        <v>72</v>
      </c>
      <c r="C27" s="158">
        <f>841022+50000+1372+3444</f>
        <v>895838</v>
      </c>
      <c r="D27" s="31">
        <f>59805+15</f>
        <v>59820</v>
      </c>
      <c r="E27" s="31">
        <f>18003+40000</f>
        <v>58003</v>
      </c>
      <c r="F27" s="31">
        <f>26531+80234</f>
        <v>106765</v>
      </c>
      <c r="G27" s="31">
        <f>23444+47704</f>
        <v>71148</v>
      </c>
      <c r="H27" s="31">
        <v>25423</v>
      </c>
      <c r="I27" s="31">
        <v>59805</v>
      </c>
      <c r="J27" s="31">
        <f>59805+35123+3188+20000</f>
        <v>118116</v>
      </c>
      <c r="K27" s="31">
        <f>59805+36218+3188+20000</f>
        <v>119211</v>
      </c>
      <c r="L27" s="31">
        <f>59805+3188+14816</f>
        <v>77809</v>
      </c>
      <c r="M27" s="31">
        <f>59805+3188</f>
        <v>62993</v>
      </c>
      <c r="N27" s="31">
        <v>63000</v>
      </c>
      <c r="O27" s="31">
        <f>59805-3400+3188+14152</f>
        <v>73745</v>
      </c>
      <c r="P27" s="18">
        <f t="shared" si="3"/>
        <v>895838</v>
      </c>
      <c r="Q27" s="130">
        <f t="shared" si="1"/>
        <v>0</v>
      </c>
      <c r="R27" s="189">
        <v>841022</v>
      </c>
    </row>
    <row r="28" spans="1:18" ht="12.75" customHeight="1" x14ac:dyDescent="0.2">
      <c r="A28" s="105"/>
      <c r="B28" s="120" t="s">
        <v>73</v>
      </c>
      <c r="C28" s="158">
        <f>100000-33677</f>
        <v>66323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100000</v>
      </c>
      <c r="P28" s="18">
        <f t="shared" si="3"/>
        <v>100000</v>
      </c>
      <c r="Q28" s="130">
        <f t="shared" si="1"/>
        <v>-33677</v>
      </c>
      <c r="R28" s="189">
        <v>100000</v>
      </c>
    </row>
    <row r="29" spans="1:18" ht="12.75" customHeight="1" x14ac:dyDescent="0.2">
      <c r="A29" s="105"/>
      <c r="B29" s="120" t="s">
        <v>74</v>
      </c>
      <c r="C29" s="158">
        <f>1104040-50000-1372-1372-1372-400-300</f>
        <v>1049224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f>1104040-54816</f>
        <v>1049224</v>
      </c>
      <c r="P29" s="18">
        <f t="shared" si="3"/>
        <v>1049224</v>
      </c>
      <c r="Q29" s="130">
        <f t="shared" si="1"/>
        <v>0</v>
      </c>
      <c r="R29" s="189">
        <v>1104040</v>
      </c>
    </row>
    <row r="30" spans="1:18" ht="15" customHeight="1" x14ac:dyDescent="0.2">
      <c r="A30" s="32" t="s">
        <v>17</v>
      </c>
      <c r="B30" s="33" t="s">
        <v>79</v>
      </c>
      <c r="C30" s="18">
        <f t="shared" ref="C30:O30" si="7">SUM(C31:C33)</f>
        <v>9735348</v>
      </c>
      <c r="D30" s="18">
        <f>SUM(D31:D33)</f>
        <v>720607</v>
      </c>
      <c r="E30" s="18">
        <f t="shared" si="7"/>
        <v>737085</v>
      </c>
      <c r="F30" s="18">
        <f t="shared" si="7"/>
        <v>582167</v>
      </c>
      <c r="G30" s="18">
        <f t="shared" si="7"/>
        <v>644780</v>
      </c>
      <c r="H30" s="18">
        <f t="shared" si="7"/>
        <v>979839</v>
      </c>
      <c r="I30" s="18">
        <f t="shared" si="7"/>
        <v>1809682</v>
      </c>
      <c r="J30" s="18">
        <f t="shared" si="7"/>
        <v>918980</v>
      </c>
      <c r="K30" s="18">
        <f t="shared" si="7"/>
        <v>400791</v>
      </c>
      <c r="L30" s="18">
        <f t="shared" si="7"/>
        <v>225814</v>
      </c>
      <c r="M30" s="18">
        <f t="shared" si="7"/>
        <v>90796</v>
      </c>
      <c r="N30" s="18">
        <f t="shared" si="7"/>
        <v>102986</v>
      </c>
      <c r="O30" s="18">
        <f t="shared" si="7"/>
        <v>2488144</v>
      </c>
      <c r="P30" s="18">
        <f>SUM(D30:O30)</f>
        <v>9701671</v>
      </c>
      <c r="Q30" s="130">
        <f t="shared" si="1"/>
        <v>33677</v>
      </c>
      <c r="R30" s="130"/>
    </row>
    <row r="31" spans="1:18" ht="15" customHeight="1" x14ac:dyDescent="0.2">
      <c r="A31" s="28"/>
      <c r="B31" s="44" t="s">
        <v>69</v>
      </c>
      <c r="C31" s="128">
        <f>5649173+15000</f>
        <v>5664173</v>
      </c>
      <c r="D31" s="128">
        <f>25432+542336</f>
        <v>567768</v>
      </c>
      <c r="E31" s="128">
        <f>25423+589575</f>
        <v>614998</v>
      </c>
      <c r="F31" s="128">
        <f>25431+481217</f>
        <v>506648</v>
      </c>
      <c r="G31" s="128">
        <f>25423+563213</f>
        <v>588636</v>
      </c>
      <c r="H31" s="128">
        <f>1092+12000+1000+503665+623123-712628+260000-101709+352468</f>
        <v>939011</v>
      </c>
      <c r="I31" s="128">
        <f>1092+1000+3000+75121+300000+1123253-712628</f>
        <v>790838</v>
      </c>
      <c r="J31" s="128">
        <f>1092+1000+2000+25256+300000-80000-6641-123623+900000+400521-712628+190000</f>
        <v>896977</v>
      </c>
      <c r="K31" s="128">
        <f>1092+1000+5000+15032+200000-112351+1200333+470108-712628-712628+15000</f>
        <v>369958</v>
      </c>
      <c r="L31" s="128">
        <f>1092+1000+3000+124+214300+150000-80000-132421+47886</f>
        <v>204981</v>
      </c>
      <c r="M31" s="128">
        <v>54213</v>
      </c>
      <c r="N31" s="128">
        <v>72153</v>
      </c>
      <c r="O31" s="128">
        <v>57992</v>
      </c>
      <c r="P31" s="18">
        <f t="shared" si="3"/>
        <v>5664173</v>
      </c>
      <c r="Q31" s="130">
        <f t="shared" si="1"/>
        <v>0</v>
      </c>
      <c r="R31" s="130">
        <v>5649173</v>
      </c>
    </row>
    <row r="32" spans="1:18" ht="15" customHeight="1" x14ac:dyDescent="0.2">
      <c r="A32" s="28"/>
      <c r="B32" s="44" t="s">
        <v>70</v>
      </c>
      <c r="C32" s="128">
        <v>372569</v>
      </c>
      <c r="D32" s="128">
        <f>5833+102323</f>
        <v>108156</v>
      </c>
      <c r="E32" s="128">
        <f>5833+100254</f>
        <v>106087</v>
      </c>
      <c r="F32" s="128">
        <f>5833+54686</f>
        <v>60519</v>
      </c>
      <c r="G32" s="128">
        <f>5833+25311</f>
        <v>31144</v>
      </c>
      <c r="H32" s="128">
        <f>5833+19995</f>
        <v>25828</v>
      </c>
      <c r="I32" s="128">
        <v>5833</v>
      </c>
      <c r="J32" s="128">
        <v>5833</v>
      </c>
      <c r="K32" s="128">
        <v>5833</v>
      </c>
      <c r="L32" s="128">
        <v>5833</v>
      </c>
      <c r="M32" s="128">
        <v>5833</v>
      </c>
      <c r="N32" s="128">
        <v>5833</v>
      </c>
      <c r="O32" s="128">
        <f>5833+4</f>
        <v>5837</v>
      </c>
      <c r="P32" s="18">
        <f t="shared" si="3"/>
        <v>372569</v>
      </c>
      <c r="Q32" s="130">
        <f t="shared" si="1"/>
        <v>0</v>
      </c>
      <c r="R32" s="130">
        <v>372569</v>
      </c>
    </row>
    <row r="33" spans="1:19" ht="15" customHeight="1" x14ac:dyDescent="0.2">
      <c r="A33" s="28"/>
      <c r="B33" s="44" t="s">
        <v>53</v>
      </c>
      <c r="C33" s="128">
        <f>SUM(C34:C37)</f>
        <v>3698606</v>
      </c>
      <c r="D33" s="128">
        <f t="shared" ref="D33:N33" si="8">SUM(D34:D37)</f>
        <v>44683</v>
      </c>
      <c r="E33" s="128">
        <f t="shared" si="8"/>
        <v>16000</v>
      </c>
      <c r="F33" s="128">
        <f t="shared" si="8"/>
        <v>15000</v>
      </c>
      <c r="G33" s="128">
        <f t="shared" si="8"/>
        <v>25000</v>
      </c>
      <c r="H33" s="128">
        <f t="shared" si="8"/>
        <v>15000</v>
      </c>
      <c r="I33" s="128">
        <f t="shared" si="8"/>
        <v>1013011</v>
      </c>
      <c r="J33" s="128">
        <f t="shared" si="8"/>
        <v>16170</v>
      </c>
      <c r="K33" s="128">
        <f t="shared" si="8"/>
        <v>25000</v>
      </c>
      <c r="L33" s="128">
        <f t="shared" si="8"/>
        <v>15000</v>
      </c>
      <c r="M33" s="128">
        <f t="shared" si="8"/>
        <v>30750</v>
      </c>
      <c r="N33" s="128">
        <f t="shared" si="8"/>
        <v>25000</v>
      </c>
      <c r="O33" s="128">
        <f>SUM(O34:O37)</f>
        <v>2424315</v>
      </c>
      <c r="P33" s="18">
        <f t="shared" si="3"/>
        <v>3664929</v>
      </c>
      <c r="Q33" s="130">
        <f t="shared" si="1"/>
        <v>33677</v>
      </c>
      <c r="R33" s="130">
        <v>3822236</v>
      </c>
    </row>
    <row r="34" spans="1:19" ht="15" customHeight="1" x14ac:dyDescent="0.2">
      <c r="A34" s="32"/>
      <c r="B34" s="127" t="s">
        <v>75</v>
      </c>
      <c r="C34" s="128">
        <v>10000</v>
      </c>
      <c r="D34" s="128"/>
      <c r="E34" s="128"/>
      <c r="F34" s="128"/>
      <c r="G34" s="128"/>
      <c r="H34" s="128"/>
      <c r="I34" s="128">
        <v>4250</v>
      </c>
      <c r="J34" s="128"/>
      <c r="K34" s="128"/>
      <c r="L34" s="128"/>
      <c r="M34" s="128">
        <v>5750</v>
      </c>
      <c r="N34" s="128"/>
      <c r="O34" s="128"/>
      <c r="P34" s="18">
        <f t="shared" si="3"/>
        <v>10000</v>
      </c>
      <c r="Q34" s="130">
        <f t="shared" si="1"/>
        <v>0</v>
      </c>
      <c r="R34" s="189">
        <v>10000</v>
      </c>
    </row>
    <row r="35" spans="1:19" ht="15" customHeight="1" x14ac:dyDescent="0.2">
      <c r="A35" s="28"/>
      <c r="B35" s="44" t="s">
        <v>76</v>
      </c>
      <c r="C35" s="128">
        <f>1254444+1170+233677</f>
        <v>1489291</v>
      </c>
      <c r="D35" s="128">
        <v>44683</v>
      </c>
      <c r="E35" s="128">
        <v>16000</v>
      </c>
      <c r="F35" s="128">
        <v>15000</v>
      </c>
      <c r="G35" s="128">
        <v>25000</v>
      </c>
      <c r="H35" s="128">
        <v>15000</v>
      </c>
      <c r="I35" s="128">
        <f>25000+983761</f>
        <v>1008761</v>
      </c>
      <c r="J35" s="128">
        <f>15000+1170</f>
        <v>16170</v>
      </c>
      <c r="K35" s="128">
        <v>25000</v>
      </c>
      <c r="L35" s="128">
        <v>15000</v>
      </c>
      <c r="M35" s="128">
        <v>25000</v>
      </c>
      <c r="N35" s="128">
        <v>25000</v>
      </c>
      <c r="O35" s="128">
        <v>25000</v>
      </c>
      <c r="P35" s="18">
        <f t="shared" si="3"/>
        <v>1255614</v>
      </c>
      <c r="Q35" s="130">
        <f t="shared" si="1"/>
        <v>233677</v>
      </c>
      <c r="R35" s="189">
        <v>1254444</v>
      </c>
    </row>
    <row r="36" spans="1:19" ht="15" customHeight="1" x14ac:dyDescent="0.2">
      <c r="A36" s="28"/>
      <c r="B36" s="44" t="s">
        <v>88</v>
      </c>
      <c r="C36" s="128"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8">
        <f t="shared" si="3"/>
        <v>0</v>
      </c>
      <c r="Q36" s="130">
        <f t="shared" si="1"/>
        <v>0</v>
      </c>
      <c r="R36" s="189">
        <v>0</v>
      </c>
    </row>
    <row r="37" spans="1:19" ht="15" customHeight="1" x14ac:dyDescent="0.2">
      <c r="A37" s="28"/>
      <c r="B37" s="44" t="s">
        <v>77</v>
      </c>
      <c r="C37" s="128">
        <f>2557792-142307-1170-15000-200000</f>
        <v>2199315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f>2415485-1170-15000</f>
        <v>2399315</v>
      </c>
      <c r="P37" s="18">
        <f>SUM(D37:O37)</f>
        <v>2399315</v>
      </c>
      <c r="Q37" s="130">
        <f t="shared" si="1"/>
        <v>-200000</v>
      </c>
      <c r="R37" s="189">
        <v>2557792</v>
      </c>
    </row>
    <row r="38" spans="1:19" ht="15" customHeight="1" x14ac:dyDescent="0.2">
      <c r="A38" s="105"/>
      <c r="B38" s="106" t="s">
        <v>80</v>
      </c>
      <c r="C38" s="30">
        <f>SUM(C17,C30)</f>
        <v>31388261</v>
      </c>
      <c r="D38" s="30">
        <f>SUM(D17,D30)</f>
        <v>2911449.0000000005</v>
      </c>
      <c r="E38" s="30">
        <f t="shared" ref="E38:N38" si="9">SUM(E17,E30)</f>
        <v>2294938</v>
      </c>
      <c r="F38" s="30">
        <f t="shared" si="9"/>
        <v>2258990</v>
      </c>
      <c r="G38" s="30">
        <f t="shared" si="9"/>
        <v>2373577</v>
      </c>
      <c r="H38" s="30">
        <f t="shared" si="9"/>
        <v>2438906</v>
      </c>
      <c r="I38" s="30">
        <f t="shared" si="9"/>
        <v>3509284</v>
      </c>
      <c r="J38" s="30">
        <f t="shared" si="9"/>
        <v>2482145</v>
      </c>
      <c r="K38" s="30">
        <f t="shared" si="9"/>
        <v>1957018</v>
      </c>
      <c r="L38" s="30">
        <f t="shared" si="9"/>
        <v>1825020</v>
      </c>
      <c r="M38" s="30">
        <f t="shared" si="9"/>
        <v>1665856</v>
      </c>
      <c r="N38" s="30">
        <f t="shared" si="9"/>
        <v>2001455</v>
      </c>
      <c r="O38" s="30">
        <f>SUM(O17,O30)</f>
        <v>5669623</v>
      </c>
      <c r="P38" s="18">
        <f>SUM(D38:O38)</f>
        <v>31388261</v>
      </c>
      <c r="Q38" s="130">
        <f t="shared" si="1"/>
        <v>0</v>
      </c>
      <c r="R38" s="130"/>
    </row>
    <row r="39" spans="1:19" ht="15" customHeight="1" x14ac:dyDescent="0.2">
      <c r="A39" s="32"/>
      <c r="B39" s="127" t="s">
        <v>81</v>
      </c>
      <c r="C39" s="128">
        <v>6187815</v>
      </c>
      <c r="D39" s="173">
        <f>481339+239460</f>
        <v>720799</v>
      </c>
      <c r="E39" s="141">
        <v>481339</v>
      </c>
      <c r="F39" s="141">
        <f>481339+58016</f>
        <v>539355</v>
      </c>
      <c r="G39" s="141">
        <f>481339+52145</f>
        <v>533484</v>
      </c>
      <c r="H39" s="141">
        <f>481339+62132</f>
        <v>543471</v>
      </c>
      <c r="I39" s="141">
        <v>481339</v>
      </c>
      <c r="J39" s="141">
        <v>481339</v>
      </c>
      <c r="K39" s="141">
        <v>481339</v>
      </c>
      <c r="L39" s="141">
        <v>481339</v>
      </c>
      <c r="M39" s="141">
        <v>481339</v>
      </c>
      <c r="N39" s="141">
        <f>481339-3</f>
        <v>481336</v>
      </c>
      <c r="O39" s="142">
        <f>481339-3</f>
        <v>481336</v>
      </c>
      <c r="P39" s="18">
        <f t="shared" si="3"/>
        <v>6187815</v>
      </c>
      <c r="Q39" s="130">
        <f t="shared" si="1"/>
        <v>0</v>
      </c>
      <c r="R39" s="130">
        <v>6187815</v>
      </c>
    </row>
    <row r="40" spans="1:19" ht="15" customHeight="1" x14ac:dyDescent="0.2">
      <c r="A40" s="32"/>
      <c r="B40" s="127" t="s">
        <v>95</v>
      </c>
      <c r="C40" s="128">
        <v>142307</v>
      </c>
      <c r="D40" s="101">
        <v>142307</v>
      </c>
      <c r="E40" s="101"/>
      <c r="F40" s="101"/>
      <c r="G40" s="101"/>
      <c r="H40" s="101"/>
      <c r="I40" s="101"/>
      <c r="J40" s="101"/>
      <c r="K40" s="101"/>
      <c r="L40" s="101"/>
      <c r="M40" s="101">
        <v>0</v>
      </c>
      <c r="N40" s="101"/>
      <c r="O40" s="101"/>
      <c r="P40" s="18">
        <f t="shared" si="3"/>
        <v>142307</v>
      </c>
      <c r="Q40" s="130">
        <f t="shared" si="1"/>
        <v>0</v>
      </c>
      <c r="R40" s="124">
        <v>0</v>
      </c>
    </row>
    <row r="41" spans="1:19" ht="15" customHeight="1" x14ac:dyDescent="0.2">
      <c r="A41" s="32" t="s">
        <v>18</v>
      </c>
      <c r="B41" s="33" t="s">
        <v>82</v>
      </c>
      <c r="C41" s="18">
        <f>SUM(C39)+C40</f>
        <v>6330122</v>
      </c>
      <c r="D41" s="18">
        <f>SUM(D39)+D40</f>
        <v>863106</v>
      </c>
      <c r="E41" s="18">
        <f t="shared" ref="E41:O41" si="10">SUM(E39)+E40</f>
        <v>481339</v>
      </c>
      <c r="F41" s="18">
        <f t="shared" si="10"/>
        <v>539355</v>
      </c>
      <c r="G41" s="18">
        <f t="shared" si="10"/>
        <v>533484</v>
      </c>
      <c r="H41" s="18">
        <f t="shared" si="10"/>
        <v>543471</v>
      </c>
      <c r="I41" s="18">
        <f t="shared" si="10"/>
        <v>481339</v>
      </c>
      <c r="J41" s="18">
        <f t="shared" si="10"/>
        <v>481339</v>
      </c>
      <c r="K41" s="18">
        <f t="shared" si="10"/>
        <v>481339</v>
      </c>
      <c r="L41" s="18">
        <f t="shared" si="10"/>
        <v>481339</v>
      </c>
      <c r="M41" s="18">
        <f t="shared" si="10"/>
        <v>481339</v>
      </c>
      <c r="N41" s="18">
        <f t="shared" si="10"/>
        <v>481336</v>
      </c>
      <c r="O41" s="18">
        <f t="shared" si="10"/>
        <v>481336</v>
      </c>
      <c r="P41" s="18">
        <f>SUM(P39)+P40</f>
        <v>6330122</v>
      </c>
      <c r="Q41" s="130">
        <f t="shared" si="1"/>
        <v>0</v>
      </c>
      <c r="R41" s="124">
        <v>6187815</v>
      </c>
    </row>
    <row r="42" spans="1:19" ht="15" customHeight="1" x14ac:dyDescent="0.2">
      <c r="A42" s="32"/>
      <c r="B42" s="127" t="s">
        <v>83</v>
      </c>
      <c r="C42" s="1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8">
        <f t="shared" si="3"/>
        <v>0</v>
      </c>
      <c r="Q42" s="130">
        <f t="shared" si="1"/>
        <v>0</v>
      </c>
    </row>
    <row r="43" spans="1:19" ht="15" customHeight="1" x14ac:dyDescent="0.2">
      <c r="A43" s="35"/>
      <c r="B43" s="132" t="s">
        <v>84</v>
      </c>
      <c r="C43" s="158">
        <v>27956</v>
      </c>
      <c r="D43" s="102">
        <v>956</v>
      </c>
      <c r="E43" s="102">
        <v>5000</v>
      </c>
      <c r="F43" s="102">
        <v>2000</v>
      </c>
      <c r="G43" s="102">
        <v>10000</v>
      </c>
      <c r="H43" s="102">
        <v>10000</v>
      </c>
      <c r="I43" s="102"/>
      <c r="J43" s="102"/>
      <c r="K43" s="102"/>
      <c r="L43" s="102"/>
      <c r="M43" s="102"/>
      <c r="N43" s="102"/>
      <c r="O43" s="102"/>
      <c r="P43" s="18">
        <f t="shared" si="3"/>
        <v>27956</v>
      </c>
      <c r="Q43" s="130">
        <f t="shared" si="1"/>
        <v>0</v>
      </c>
      <c r="R43" s="124">
        <v>27956</v>
      </c>
    </row>
    <row r="44" spans="1:19" ht="15" customHeight="1" x14ac:dyDescent="0.2">
      <c r="A44" s="35" t="s">
        <v>19</v>
      </c>
      <c r="B44" s="40" t="s">
        <v>85</v>
      </c>
      <c r="C44" s="30">
        <f>SUM(C42:C43)</f>
        <v>27956</v>
      </c>
      <c r="D44" s="30">
        <f>SUM(D42:D43)</f>
        <v>956</v>
      </c>
      <c r="E44" s="30">
        <f t="shared" ref="E44:O44" si="11">SUM(E42:E43)</f>
        <v>5000</v>
      </c>
      <c r="F44" s="30">
        <f t="shared" si="11"/>
        <v>2000</v>
      </c>
      <c r="G44" s="30">
        <f t="shared" si="11"/>
        <v>10000</v>
      </c>
      <c r="H44" s="30">
        <f t="shared" si="11"/>
        <v>10000</v>
      </c>
      <c r="I44" s="30">
        <f t="shared" si="11"/>
        <v>0</v>
      </c>
      <c r="J44" s="30">
        <f t="shared" si="11"/>
        <v>0</v>
      </c>
      <c r="K44" s="30">
        <f t="shared" si="11"/>
        <v>0</v>
      </c>
      <c r="L44" s="30">
        <f t="shared" si="11"/>
        <v>0</v>
      </c>
      <c r="M44" s="30">
        <f t="shared" si="11"/>
        <v>0</v>
      </c>
      <c r="N44" s="30">
        <f t="shared" si="11"/>
        <v>0</v>
      </c>
      <c r="O44" s="30">
        <f t="shared" si="11"/>
        <v>0</v>
      </c>
      <c r="P44" s="18">
        <f>SUM(D44:O44)</f>
        <v>27956</v>
      </c>
      <c r="Q44" s="130">
        <f t="shared" si="1"/>
        <v>0</v>
      </c>
      <c r="R44" s="124">
        <v>27956</v>
      </c>
    </row>
    <row r="45" spans="1:19" s="129" customFormat="1" ht="15" customHeight="1" x14ac:dyDescent="0.2">
      <c r="A45" s="126"/>
      <c r="B45" s="127" t="s">
        <v>91</v>
      </c>
      <c r="C45" s="131"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8">
        <f>SUM(D45:O45)</f>
        <v>0</v>
      </c>
      <c r="Q45" s="130">
        <f t="shared" si="1"/>
        <v>0</v>
      </c>
      <c r="R45" s="124"/>
      <c r="S45" s="125"/>
    </row>
    <row r="46" spans="1:19" ht="15" customHeight="1" thickBot="1" x14ac:dyDescent="0.25">
      <c r="A46" s="45" t="s">
        <v>89</v>
      </c>
      <c r="B46" s="52" t="s">
        <v>90</v>
      </c>
      <c r="C46" s="46">
        <f>+C41+C44+C45</f>
        <v>6358078</v>
      </c>
      <c r="D46" s="46">
        <f>+D41+D43+D45</f>
        <v>864062</v>
      </c>
      <c r="E46" s="46">
        <f t="shared" ref="E46:O46" si="12">+E41+E43+E45</f>
        <v>486339</v>
      </c>
      <c r="F46" s="46">
        <f t="shared" si="12"/>
        <v>541355</v>
      </c>
      <c r="G46" s="46">
        <f t="shared" si="12"/>
        <v>543484</v>
      </c>
      <c r="H46" s="46">
        <f t="shared" si="12"/>
        <v>553471</v>
      </c>
      <c r="I46" s="46">
        <f t="shared" si="12"/>
        <v>481339</v>
      </c>
      <c r="J46" s="46">
        <f t="shared" si="12"/>
        <v>481339</v>
      </c>
      <c r="K46" s="46">
        <f t="shared" si="12"/>
        <v>481339</v>
      </c>
      <c r="L46" s="46">
        <f t="shared" si="12"/>
        <v>481339</v>
      </c>
      <c r="M46" s="46">
        <f t="shared" si="12"/>
        <v>481339</v>
      </c>
      <c r="N46" s="46">
        <f t="shared" si="12"/>
        <v>481336</v>
      </c>
      <c r="O46" s="46">
        <f t="shared" si="12"/>
        <v>481336</v>
      </c>
      <c r="P46" s="46">
        <f>SUM(D46:O46)</f>
        <v>6358078</v>
      </c>
      <c r="Q46" s="130">
        <f t="shared" si="1"/>
        <v>0</v>
      </c>
      <c r="R46" s="124">
        <v>6215771</v>
      </c>
    </row>
    <row r="47" spans="1:19" ht="15" customHeight="1" thickBot="1" x14ac:dyDescent="0.25">
      <c r="A47" s="197" t="s">
        <v>20</v>
      </c>
      <c r="B47" s="198"/>
      <c r="C47" s="34">
        <f>SUM(C38,C41,C44)+C45</f>
        <v>37746339</v>
      </c>
      <c r="D47" s="34">
        <f>SUM(D38,D41,D44)+1+D45</f>
        <v>3775512.0000000005</v>
      </c>
      <c r="E47" s="34">
        <f t="shared" ref="E47:N47" si="13">SUM(E38,E41,E44)+1+E45</f>
        <v>2781278</v>
      </c>
      <c r="F47" s="34">
        <f t="shared" si="13"/>
        <v>2800346</v>
      </c>
      <c r="G47" s="34">
        <f t="shared" si="13"/>
        <v>2917062</v>
      </c>
      <c r="H47" s="34">
        <f t="shared" si="13"/>
        <v>2992378</v>
      </c>
      <c r="I47" s="34">
        <f t="shared" si="13"/>
        <v>3990624</v>
      </c>
      <c r="J47" s="34">
        <f t="shared" si="13"/>
        <v>2963485</v>
      </c>
      <c r="K47" s="34">
        <f t="shared" si="13"/>
        <v>2438358</v>
      </c>
      <c r="L47" s="34">
        <f t="shared" si="13"/>
        <v>2306360</v>
      </c>
      <c r="M47" s="34">
        <f t="shared" si="13"/>
        <v>2147196</v>
      </c>
      <c r="N47" s="34">
        <f t="shared" si="13"/>
        <v>2482792</v>
      </c>
      <c r="O47" s="34">
        <f>SUM(O38,O41,O44)+O45</f>
        <v>6150959</v>
      </c>
      <c r="P47" s="34">
        <f>SUM(P38,P41,P44)+P45</f>
        <v>37746339</v>
      </c>
      <c r="Q47" s="130">
        <f t="shared" si="1"/>
        <v>0</v>
      </c>
    </row>
    <row r="48" spans="1:19" s="16" customFormat="1" ht="15" customHeight="1" x14ac:dyDescent="0.2">
      <c r="A48" s="75"/>
      <c r="B48" s="121" t="s">
        <v>50</v>
      </c>
      <c r="C48" s="54">
        <f>-C39</f>
        <v>-6187815</v>
      </c>
      <c r="D48" s="18">
        <f>-D39</f>
        <v>-720799</v>
      </c>
      <c r="E48" s="18">
        <f t="shared" ref="E48:O48" si="14">-E39</f>
        <v>-481339</v>
      </c>
      <c r="F48" s="18">
        <f t="shared" si="14"/>
        <v>-539355</v>
      </c>
      <c r="G48" s="18">
        <f t="shared" si="14"/>
        <v>-533484</v>
      </c>
      <c r="H48" s="18">
        <f t="shared" si="14"/>
        <v>-543471</v>
      </c>
      <c r="I48" s="18">
        <f t="shared" si="14"/>
        <v>-481339</v>
      </c>
      <c r="J48" s="18">
        <f t="shared" si="14"/>
        <v>-481339</v>
      </c>
      <c r="K48" s="18">
        <f t="shared" si="14"/>
        <v>-481339</v>
      </c>
      <c r="L48" s="18">
        <f t="shared" si="14"/>
        <v>-481339</v>
      </c>
      <c r="M48" s="18">
        <f t="shared" si="14"/>
        <v>-481339</v>
      </c>
      <c r="N48" s="18">
        <f t="shared" si="14"/>
        <v>-481336</v>
      </c>
      <c r="O48" s="18">
        <f t="shared" si="14"/>
        <v>-481336</v>
      </c>
      <c r="P48" s="109">
        <f t="shared" si="3"/>
        <v>-6187815</v>
      </c>
      <c r="Q48" s="130">
        <f t="shared" si="1"/>
        <v>0</v>
      </c>
      <c r="R48" s="180">
        <v>-6187815</v>
      </c>
      <c r="S48" s="181"/>
    </row>
    <row r="49" spans="1:19" s="16" customFormat="1" ht="15" customHeight="1" x14ac:dyDescent="0.2">
      <c r="A49" s="76"/>
      <c r="B49" s="122" t="s">
        <v>51</v>
      </c>
      <c r="C49" s="55">
        <f>-C43</f>
        <v>-27956</v>
      </c>
      <c r="D49" s="55">
        <f t="shared" ref="D49:M49" si="15">-SUM(D43)</f>
        <v>-956</v>
      </c>
      <c r="E49" s="55">
        <f t="shared" si="15"/>
        <v>-5000</v>
      </c>
      <c r="F49" s="55">
        <f t="shared" si="15"/>
        <v>-2000</v>
      </c>
      <c r="G49" s="55">
        <f t="shared" si="15"/>
        <v>-10000</v>
      </c>
      <c r="H49" s="55">
        <f t="shared" si="15"/>
        <v>-10000</v>
      </c>
      <c r="I49" s="55">
        <f t="shared" si="15"/>
        <v>0</v>
      </c>
      <c r="J49" s="55">
        <f t="shared" si="15"/>
        <v>0</v>
      </c>
      <c r="K49" s="55">
        <f t="shared" si="15"/>
        <v>0</v>
      </c>
      <c r="L49" s="55">
        <f t="shared" si="15"/>
        <v>0</v>
      </c>
      <c r="M49" s="55">
        <f t="shared" si="15"/>
        <v>0</v>
      </c>
      <c r="N49" s="55">
        <f>-SUM(N43)</f>
        <v>0</v>
      </c>
      <c r="O49" s="55">
        <f>-SUM(O43)</f>
        <v>0</v>
      </c>
      <c r="P49" s="111">
        <f t="shared" si="3"/>
        <v>-27956</v>
      </c>
      <c r="Q49" s="130">
        <f t="shared" si="1"/>
        <v>0</v>
      </c>
      <c r="R49" s="180">
        <v>-27956</v>
      </c>
      <c r="S49" s="181"/>
    </row>
    <row r="50" spans="1:19" s="16" customFormat="1" ht="15" customHeight="1" thickBot="1" x14ac:dyDescent="0.25">
      <c r="A50" s="53"/>
      <c r="B50" s="123" t="s">
        <v>54</v>
      </c>
      <c r="C50" s="56">
        <v>-798000</v>
      </c>
      <c r="D50" s="138">
        <f t="shared" ref="D50:O50" si="16">$C$50/12</f>
        <v>-66500</v>
      </c>
      <c r="E50" s="138">
        <f t="shared" si="16"/>
        <v>-66500</v>
      </c>
      <c r="F50" s="138">
        <f t="shared" si="16"/>
        <v>-66500</v>
      </c>
      <c r="G50" s="138">
        <f t="shared" si="16"/>
        <v>-66500</v>
      </c>
      <c r="H50" s="138">
        <f t="shared" si="16"/>
        <v>-66500</v>
      </c>
      <c r="I50" s="138">
        <f t="shared" si="16"/>
        <v>-66500</v>
      </c>
      <c r="J50" s="138">
        <f t="shared" si="16"/>
        <v>-66500</v>
      </c>
      <c r="K50" s="138">
        <f t="shared" si="16"/>
        <v>-66500</v>
      </c>
      <c r="L50" s="138">
        <f t="shared" si="16"/>
        <v>-66500</v>
      </c>
      <c r="M50" s="138">
        <f t="shared" si="16"/>
        <v>-66500</v>
      </c>
      <c r="N50" s="138">
        <f t="shared" si="16"/>
        <v>-66500</v>
      </c>
      <c r="O50" s="138">
        <f t="shared" si="16"/>
        <v>-66500</v>
      </c>
      <c r="P50" s="110">
        <f>SUM(D50:O50)</f>
        <v>-798000</v>
      </c>
      <c r="Q50" s="130">
        <f t="shared" si="1"/>
        <v>0</v>
      </c>
      <c r="R50" s="180">
        <v>-798000</v>
      </c>
      <c r="S50" s="181"/>
    </row>
    <row r="51" spans="1:19" ht="15" customHeight="1" thickBot="1" x14ac:dyDescent="0.25">
      <c r="A51" s="199" t="s">
        <v>21</v>
      </c>
      <c r="B51" s="200"/>
      <c r="C51" s="34">
        <f>SUM(C47:C50)</f>
        <v>30732568</v>
      </c>
      <c r="D51" s="34">
        <f t="shared" ref="D51:N51" si="17">SUM(D47:D50)-1</f>
        <v>2987256.0000000005</v>
      </c>
      <c r="E51" s="34">
        <f t="shared" si="17"/>
        <v>2228438</v>
      </c>
      <c r="F51" s="34">
        <f t="shared" si="17"/>
        <v>2192490</v>
      </c>
      <c r="G51" s="34">
        <f t="shared" si="17"/>
        <v>2307077</v>
      </c>
      <c r="H51" s="34">
        <f t="shared" si="17"/>
        <v>2372406</v>
      </c>
      <c r="I51" s="34">
        <f t="shared" si="17"/>
        <v>3442784</v>
      </c>
      <c r="J51" s="34">
        <f t="shared" si="17"/>
        <v>2415645</v>
      </c>
      <c r="K51" s="34">
        <f t="shared" si="17"/>
        <v>1890518</v>
      </c>
      <c r="L51" s="34">
        <f t="shared" si="17"/>
        <v>1758520</v>
      </c>
      <c r="M51" s="34">
        <f t="shared" si="17"/>
        <v>1599356</v>
      </c>
      <c r="N51" s="34">
        <f t="shared" si="17"/>
        <v>1934955</v>
      </c>
      <c r="O51" s="34">
        <f>SUM(O47:O50)</f>
        <v>5603123</v>
      </c>
      <c r="P51" s="34">
        <f>SUM(D51:O51)</f>
        <v>30732568</v>
      </c>
      <c r="Q51" s="130">
        <f t="shared" si="1"/>
        <v>0</v>
      </c>
    </row>
    <row r="52" spans="1:19" ht="15" x14ac:dyDescent="0.2">
      <c r="C52" s="161"/>
      <c r="L52" s="27"/>
    </row>
    <row r="53" spans="1:19" x14ac:dyDescent="0.2">
      <c r="C53" s="124"/>
    </row>
    <row r="54" spans="1:19" x14ac:dyDescent="0.2">
      <c r="C54" s="125"/>
    </row>
  </sheetData>
  <mergeCells count="21">
    <mergeCell ref="O7:P7"/>
    <mergeCell ref="F14:F15"/>
    <mergeCell ref="J14:J15"/>
    <mergeCell ref="C14:C15"/>
    <mergeCell ref="O2:P2"/>
    <mergeCell ref="H14:H15"/>
    <mergeCell ref="M14:M15"/>
    <mergeCell ref="O14:O15"/>
    <mergeCell ref="P14:P15"/>
    <mergeCell ref="E14:E15"/>
    <mergeCell ref="G14:G15"/>
    <mergeCell ref="K14:K15"/>
    <mergeCell ref="A8:P8"/>
    <mergeCell ref="A16:B16"/>
    <mergeCell ref="A47:B47"/>
    <mergeCell ref="D14:D15"/>
    <mergeCell ref="A51:B51"/>
    <mergeCell ref="L14:L15"/>
    <mergeCell ref="N14:N15"/>
    <mergeCell ref="A14:B15"/>
    <mergeCell ref="I14:I15"/>
  </mergeCells>
  <phoneticPr fontId="0" type="noConversion"/>
  <printOptions horizontalCentered="1"/>
  <pageMargins left="0.2" right="0.19685039370078741" top="0.67" bottom="0.19685039370078741" header="1.0900000000000001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Normal="100" workbookViewId="0">
      <selection activeCell="T1" sqref="T1:T65536"/>
    </sheetView>
  </sheetViews>
  <sheetFormatPr defaultRowHeight="11.25" x14ac:dyDescent="0.2"/>
  <cols>
    <col min="1" max="1" width="2.85546875" style="3" customWidth="1"/>
    <col min="2" max="2" width="30" style="4" customWidth="1"/>
    <col min="3" max="3" width="8.7109375" style="5" customWidth="1"/>
    <col min="4" max="4" width="7.85546875" style="6" bestFit="1" customWidth="1"/>
    <col min="5" max="5" width="7.85546875" style="6" customWidth="1"/>
    <col min="6" max="8" width="7.85546875" style="6" bestFit="1" customWidth="1"/>
    <col min="9" max="9" width="8.7109375" style="6" bestFit="1" customWidth="1"/>
    <col min="10" max="11" width="7.85546875" style="6" bestFit="1" customWidth="1"/>
    <col min="12" max="13" width="7.85546875" style="6" customWidth="1"/>
    <col min="14" max="14" width="7.85546875" style="6" bestFit="1" customWidth="1"/>
    <col min="15" max="15" width="7.85546875" style="6" customWidth="1"/>
    <col min="16" max="16" width="9.42578125" style="6" customWidth="1"/>
    <col min="17" max="17" width="9.140625" style="2"/>
    <col min="18" max="19" width="9.140625" style="177"/>
    <col min="20" max="16384" width="9.140625" style="2"/>
  </cols>
  <sheetData>
    <row r="1" spans="1:19" ht="14.25" customHeight="1" x14ac:dyDescent="0.2">
      <c r="A1" s="216" t="s">
        <v>99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9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7" t="s">
        <v>94</v>
      </c>
      <c r="O2" s="217"/>
      <c r="P2" s="217"/>
    </row>
    <row r="3" spans="1:19" ht="12.75" customHeight="1" thickBot="1" x14ac:dyDescent="0.25">
      <c r="N3" s="218" t="s">
        <v>22</v>
      </c>
      <c r="O3" s="218"/>
      <c r="P3" s="218"/>
    </row>
    <row r="4" spans="1:19" ht="10.5" customHeight="1" thickBot="1" x14ac:dyDescent="0.25">
      <c r="B4" s="2"/>
      <c r="D4" s="219" t="s">
        <v>23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7"/>
    </row>
    <row r="5" spans="1:19" s="8" customFormat="1" ht="8.25" customHeight="1" thickBot="1" x14ac:dyDescent="0.25">
      <c r="A5" s="220" t="s">
        <v>1</v>
      </c>
      <c r="B5" s="221"/>
      <c r="C5" s="91" t="s">
        <v>102</v>
      </c>
      <c r="D5" s="224" t="s">
        <v>24</v>
      </c>
      <c r="E5" s="212" t="s">
        <v>25</v>
      </c>
      <c r="F5" s="212" t="s">
        <v>26</v>
      </c>
      <c r="G5" s="212" t="s">
        <v>27</v>
      </c>
      <c r="H5" s="212" t="s">
        <v>28</v>
      </c>
      <c r="I5" s="212" t="s">
        <v>29</v>
      </c>
      <c r="J5" s="212" t="s">
        <v>30</v>
      </c>
      <c r="K5" s="212" t="s">
        <v>67</v>
      </c>
      <c r="L5" s="212" t="s">
        <v>31</v>
      </c>
      <c r="M5" s="212" t="s">
        <v>32</v>
      </c>
      <c r="N5" s="212" t="s">
        <v>33</v>
      </c>
      <c r="O5" s="206" t="s">
        <v>34</v>
      </c>
      <c r="P5" s="208" t="s">
        <v>35</v>
      </c>
      <c r="R5" s="178"/>
      <c r="S5" s="178"/>
    </row>
    <row r="6" spans="1:19" s="8" customFormat="1" ht="8.25" customHeight="1" x14ac:dyDescent="0.2">
      <c r="A6" s="222"/>
      <c r="B6" s="223"/>
      <c r="C6" s="92" t="s">
        <v>96</v>
      </c>
      <c r="D6" s="225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07"/>
      <c r="P6" s="209"/>
      <c r="R6" s="178"/>
      <c r="S6" s="178"/>
    </row>
    <row r="7" spans="1:19" s="12" customFormat="1" ht="12" thickBot="1" x14ac:dyDescent="0.25">
      <c r="A7" s="210">
        <v>1</v>
      </c>
      <c r="B7" s="211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8">
        <v>15</v>
      </c>
      <c r="R7" s="179"/>
      <c r="S7" s="179"/>
    </row>
    <row r="8" spans="1:19" s="14" customFormat="1" ht="12.75" customHeight="1" thickBot="1" x14ac:dyDescent="0.25">
      <c r="A8" s="62" t="s">
        <v>15</v>
      </c>
      <c r="B8" s="77" t="s">
        <v>43</v>
      </c>
      <c r="C8" s="95">
        <v>1221752</v>
      </c>
      <c r="D8" s="37">
        <f>1174274/12+9496</f>
        <v>107352.16666666667</v>
      </c>
      <c r="E8" s="37">
        <f>1174274/12+9496</f>
        <v>107352.16666666667</v>
      </c>
      <c r="F8" s="37">
        <f>1174274/12+9496</f>
        <v>107352.16666666667</v>
      </c>
      <c r="G8" s="37">
        <f>1174274/12+9496</f>
        <v>107352.16666666667</v>
      </c>
      <c r="H8" s="37">
        <f>1174274/12+9496-2</f>
        <v>107350.16666666667</v>
      </c>
      <c r="I8" s="37">
        <f t="shared" ref="I8:O8" si="0">1174274/12</f>
        <v>97856.166666666672</v>
      </c>
      <c r="J8" s="37">
        <f t="shared" si="0"/>
        <v>97856.166666666672</v>
      </c>
      <c r="K8" s="37">
        <f t="shared" si="0"/>
        <v>97856.166666666672</v>
      </c>
      <c r="L8" s="37">
        <f t="shared" si="0"/>
        <v>97856.166666666672</v>
      </c>
      <c r="M8" s="37">
        <f t="shared" si="0"/>
        <v>97856.166666666672</v>
      </c>
      <c r="N8" s="37">
        <f t="shared" si="0"/>
        <v>97856.166666666672</v>
      </c>
      <c r="O8" s="37">
        <f t="shared" si="0"/>
        <v>97856.166666666672</v>
      </c>
      <c r="P8" s="94">
        <f>SUM(D8:O8)</f>
        <v>1221752</v>
      </c>
      <c r="Q8" s="172">
        <f>+C8-P8</f>
        <v>0</v>
      </c>
      <c r="R8" s="172">
        <v>1221752</v>
      </c>
      <c r="S8" s="172">
        <f>+R8-P8</f>
        <v>0</v>
      </c>
    </row>
    <row r="9" spans="1:19" s="14" customFormat="1" ht="12.75" customHeight="1" x14ac:dyDescent="0.2">
      <c r="A9" s="191">
        <v>2</v>
      </c>
      <c r="B9" s="190" t="s">
        <v>103</v>
      </c>
      <c r="C9" s="95">
        <v>131021</v>
      </c>
      <c r="D9" s="37"/>
      <c r="E9" s="37"/>
      <c r="F9" s="37"/>
      <c r="G9" s="37"/>
      <c r="H9" s="37"/>
      <c r="I9" s="37">
        <v>131021</v>
      </c>
      <c r="J9" s="37"/>
      <c r="K9" s="37"/>
      <c r="L9" s="37"/>
      <c r="M9" s="37"/>
      <c r="N9" s="37"/>
      <c r="O9" s="37"/>
      <c r="P9" s="95">
        <f>SUM(D9:O9)</f>
        <v>131021</v>
      </c>
      <c r="Q9" s="172">
        <f>+C9-P9</f>
        <v>0</v>
      </c>
      <c r="R9" s="172">
        <v>131021</v>
      </c>
      <c r="S9" s="172">
        <f>+R9-P9</f>
        <v>0</v>
      </c>
    </row>
    <row r="10" spans="1:19" s="38" customFormat="1" ht="12.75" customHeight="1" x14ac:dyDescent="0.2">
      <c r="A10" s="63" t="s">
        <v>18</v>
      </c>
      <c r="B10" s="78" t="s">
        <v>44</v>
      </c>
      <c r="C10" s="95">
        <v>1311118</v>
      </c>
      <c r="D10" s="37">
        <f>1088925/12+26240</f>
        <v>116983.75</v>
      </c>
      <c r="E10" s="37">
        <f>1088925/12+26241</f>
        <v>116984.75</v>
      </c>
      <c r="F10" s="37">
        <f>1088925/12+26241</f>
        <v>116984.75</v>
      </c>
      <c r="G10" s="37">
        <f>1088925/12+90990+26241</f>
        <v>207974.75</v>
      </c>
      <c r="H10" s="37">
        <f>1088925/12+26240</f>
        <v>116983.75</v>
      </c>
      <c r="I10" s="37">
        <f t="shared" ref="I10:O10" si="1">1088925/12</f>
        <v>90743.75</v>
      </c>
      <c r="J10" s="37">
        <f t="shared" si="1"/>
        <v>90743.75</v>
      </c>
      <c r="K10" s="37">
        <f t="shared" si="1"/>
        <v>90743.75</v>
      </c>
      <c r="L10" s="37">
        <f t="shared" si="1"/>
        <v>90743.75</v>
      </c>
      <c r="M10" s="37">
        <f t="shared" si="1"/>
        <v>90743.75</v>
      </c>
      <c r="N10" s="37">
        <f t="shared" si="1"/>
        <v>90743.75</v>
      </c>
      <c r="O10" s="37">
        <f t="shared" si="1"/>
        <v>90743.75</v>
      </c>
      <c r="P10" s="95">
        <f>SUM(D10:O10)</f>
        <v>1311118</v>
      </c>
      <c r="Q10" s="172">
        <f t="shared" ref="Q10:Q38" si="2">+C10-P10</f>
        <v>0</v>
      </c>
      <c r="R10" s="172">
        <v>1311118</v>
      </c>
      <c r="S10" s="172">
        <f t="shared" ref="S10:S37" si="3">+R10-P10</f>
        <v>0</v>
      </c>
    </row>
    <row r="11" spans="1:19" s="38" customFormat="1" ht="12.75" customHeight="1" x14ac:dyDescent="0.2">
      <c r="A11" s="64" t="s">
        <v>24</v>
      </c>
      <c r="B11" s="79" t="s">
        <v>55</v>
      </c>
      <c r="C11" s="96">
        <f>SUM(C8:C10)</f>
        <v>2663891</v>
      </c>
      <c r="D11" s="59">
        <f t="shared" ref="D11:P11" si="4">SUM(D8:D10)</f>
        <v>224335.91666666669</v>
      </c>
      <c r="E11" s="59">
        <f t="shared" si="4"/>
        <v>224336.91666666669</v>
      </c>
      <c r="F11" s="59">
        <f t="shared" si="4"/>
        <v>224336.91666666669</v>
      </c>
      <c r="G11" s="59">
        <f t="shared" si="4"/>
        <v>315326.91666666669</v>
      </c>
      <c r="H11" s="59">
        <f t="shared" si="4"/>
        <v>224333.91666666669</v>
      </c>
      <c r="I11" s="59">
        <f t="shared" si="4"/>
        <v>319620.91666666669</v>
      </c>
      <c r="J11" s="59">
        <f t="shared" si="4"/>
        <v>188599.91666666669</v>
      </c>
      <c r="K11" s="59">
        <f t="shared" si="4"/>
        <v>188599.91666666669</v>
      </c>
      <c r="L11" s="59">
        <f t="shared" si="4"/>
        <v>188599.91666666669</v>
      </c>
      <c r="M11" s="59">
        <f t="shared" si="4"/>
        <v>188599.91666666669</v>
      </c>
      <c r="N11" s="59">
        <f t="shared" si="4"/>
        <v>188599.91666666669</v>
      </c>
      <c r="O11" s="113">
        <f t="shared" si="4"/>
        <v>188599.91666666669</v>
      </c>
      <c r="P11" s="96">
        <f t="shared" si="4"/>
        <v>2663891</v>
      </c>
      <c r="Q11" s="172">
        <f t="shared" si="2"/>
        <v>0</v>
      </c>
      <c r="R11" s="172">
        <v>2663891</v>
      </c>
      <c r="S11" s="172">
        <f t="shared" si="3"/>
        <v>0</v>
      </c>
    </row>
    <row r="12" spans="1:19" s="16" customFormat="1" ht="12.75" customHeight="1" x14ac:dyDescent="0.2">
      <c r="A12" s="63" t="s">
        <v>15</v>
      </c>
      <c r="B12" s="78" t="s">
        <v>36</v>
      </c>
      <c r="C12" s="95">
        <v>4094882</v>
      </c>
      <c r="D12" s="90">
        <v>123452</v>
      </c>
      <c r="E12" s="15">
        <v>159387</v>
      </c>
      <c r="F12" s="15">
        <f>1466797-400000</f>
        <v>1066797</v>
      </c>
      <c r="G12" s="15">
        <v>626930</v>
      </c>
      <c r="H12" s="15">
        <v>2122</v>
      </c>
      <c r="I12" s="15">
        <f>221240+46489-50785-60213-70307</f>
        <v>86424</v>
      </c>
      <c r="J12" s="15">
        <f>176884+46489-60215-60215</f>
        <v>102943</v>
      </c>
      <c r="K12" s="15">
        <f>210375+46489-60425-60425</f>
        <v>136014</v>
      </c>
      <c r="L12" s="15">
        <f>1025799+69873+114783+46489-598621-52974</f>
        <v>605349</v>
      </c>
      <c r="M12" s="15">
        <f>788654+210332+46489-589231</f>
        <v>456244</v>
      </c>
      <c r="N12" s="15">
        <f>229399+221498+46489-103257</f>
        <v>394129</v>
      </c>
      <c r="O12" s="114">
        <f>288602+46489</f>
        <v>335091</v>
      </c>
      <c r="P12" s="97">
        <f>SUM(D12:O12)</f>
        <v>4094882</v>
      </c>
      <c r="Q12" s="172">
        <f t="shared" si="2"/>
        <v>0</v>
      </c>
      <c r="R12" s="172">
        <v>4094882</v>
      </c>
      <c r="S12" s="172">
        <f t="shared" si="3"/>
        <v>0</v>
      </c>
    </row>
    <row r="13" spans="1:19" s="16" customFormat="1" ht="12.75" customHeight="1" x14ac:dyDescent="0.2">
      <c r="A13" s="63" t="s">
        <v>17</v>
      </c>
      <c r="B13" s="78" t="s">
        <v>56</v>
      </c>
      <c r="C13" s="95">
        <v>171210</v>
      </c>
      <c r="D13" s="90">
        <f>171210/12</f>
        <v>14267.5</v>
      </c>
      <c r="E13" s="90">
        <f t="shared" ref="E13:O13" si="5">171210/12</f>
        <v>14267.5</v>
      </c>
      <c r="F13" s="90">
        <f t="shared" si="5"/>
        <v>14267.5</v>
      </c>
      <c r="G13" s="90">
        <f t="shared" si="5"/>
        <v>14267.5</v>
      </c>
      <c r="H13" s="90">
        <f t="shared" si="5"/>
        <v>14267.5</v>
      </c>
      <c r="I13" s="90">
        <f t="shared" si="5"/>
        <v>14267.5</v>
      </c>
      <c r="J13" s="90">
        <f t="shared" si="5"/>
        <v>14267.5</v>
      </c>
      <c r="K13" s="90">
        <f t="shared" si="5"/>
        <v>14267.5</v>
      </c>
      <c r="L13" s="90">
        <f t="shared" si="5"/>
        <v>14267.5</v>
      </c>
      <c r="M13" s="90">
        <f t="shared" si="5"/>
        <v>14267.5</v>
      </c>
      <c r="N13" s="90">
        <f t="shared" si="5"/>
        <v>14267.5</v>
      </c>
      <c r="O13" s="90">
        <f t="shared" si="5"/>
        <v>14267.5</v>
      </c>
      <c r="P13" s="97">
        <f>SUM(D13:O13)</f>
        <v>171210</v>
      </c>
      <c r="Q13" s="172">
        <f t="shared" si="2"/>
        <v>0</v>
      </c>
      <c r="R13" s="172">
        <v>171210</v>
      </c>
      <c r="S13" s="172">
        <f t="shared" si="3"/>
        <v>0</v>
      </c>
    </row>
    <row r="14" spans="1:19" s="16" customFormat="1" ht="12.75" customHeight="1" x14ac:dyDescent="0.2">
      <c r="A14" s="65" t="s">
        <v>25</v>
      </c>
      <c r="B14" s="79" t="s">
        <v>42</v>
      </c>
      <c r="C14" s="97">
        <f>SUM(C12:C13)</f>
        <v>4266092</v>
      </c>
      <c r="D14" s="13">
        <f>SUM(D12:D13)</f>
        <v>137719.5</v>
      </c>
      <c r="E14" s="13">
        <f t="shared" ref="E14:P14" si="6">SUM(E12:E13)</f>
        <v>173654.5</v>
      </c>
      <c r="F14" s="13">
        <f t="shared" si="6"/>
        <v>1081064.5</v>
      </c>
      <c r="G14" s="13">
        <f t="shared" si="6"/>
        <v>641197.5</v>
      </c>
      <c r="H14" s="13">
        <f t="shared" si="6"/>
        <v>16389.5</v>
      </c>
      <c r="I14" s="13">
        <f t="shared" si="6"/>
        <v>100691.5</v>
      </c>
      <c r="J14" s="13">
        <f t="shared" si="6"/>
        <v>117210.5</v>
      </c>
      <c r="K14" s="13">
        <f t="shared" si="6"/>
        <v>150281.5</v>
      </c>
      <c r="L14" s="13">
        <f t="shared" si="6"/>
        <v>619616.5</v>
      </c>
      <c r="M14" s="13">
        <f t="shared" si="6"/>
        <v>470511.5</v>
      </c>
      <c r="N14" s="13">
        <f t="shared" si="6"/>
        <v>408396.5</v>
      </c>
      <c r="O14" s="115">
        <f t="shared" si="6"/>
        <v>349358.5</v>
      </c>
      <c r="P14" s="97">
        <f t="shared" si="6"/>
        <v>4266092</v>
      </c>
      <c r="Q14" s="172">
        <f t="shared" si="2"/>
        <v>0</v>
      </c>
      <c r="R14" s="172">
        <v>4266092</v>
      </c>
      <c r="S14" s="172">
        <f t="shared" si="3"/>
        <v>0</v>
      </c>
    </row>
    <row r="15" spans="1:19" s="14" customFormat="1" ht="12.75" customHeight="1" x14ac:dyDescent="0.2">
      <c r="A15" s="66" t="s">
        <v>26</v>
      </c>
      <c r="B15" s="80" t="s">
        <v>57</v>
      </c>
      <c r="C15" s="97">
        <v>6216530</v>
      </c>
      <c r="D15" s="59">
        <f>7536117/12-76857-125575</f>
        <v>425577.75</v>
      </c>
      <c r="E15" s="59">
        <f>7536117/12-76857-125575</f>
        <v>425577.75</v>
      </c>
      <c r="F15" s="59">
        <f>7536117/12-76857-125575</f>
        <v>425577.75</v>
      </c>
      <c r="G15" s="59">
        <f>7536117/12-76857-125575</f>
        <v>425577.75</v>
      </c>
      <c r="H15" s="59">
        <f>7536117/12-76857-125575+1</f>
        <v>425578.75</v>
      </c>
      <c r="I15" s="59">
        <f>7536117/12-76857</f>
        <v>551152.75</v>
      </c>
      <c r="J15" s="59">
        <f>7536117/12-76857</f>
        <v>551152.75</v>
      </c>
      <c r="K15" s="59">
        <f>7536117/12-76857</f>
        <v>551152.75</v>
      </c>
      <c r="L15" s="59">
        <f>7536117/12-76857</f>
        <v>551152.75</v>
      </c>
      <c r="M15" s="59">
        <f>7536117/12</f>
        <v>628009.75</v>
      </c>
      <c r="N15" s="59">
        <f>7536117/12</f>
        <v>628009.75</v>
      </c>
      <c r="O15" s="59">
        <f>7536117/12</f>
        <v>628009.75</v>
      </c>
      <c r="P15" s="97">
        <f>SUM(D15:O15)</f>
        <v>6216530</v>
      </c>
      <c r="Q15" s="172">
        <f t="shared" si="2"/>
        <v>0</v>
      </c>
      <c r="R15" s="172">
        <v>6216530</v>
      </c>
      <c r="S15" s="172">
        <f t="shared" si="3"/>
        <v>0</v>
      </c>
    </row>
    <row r="16" spans="1:19" s="16" customFormat="1" ht="12.75" customHeight="1" thickBot="1" x14ac:dyDescent="0.25">
      <c r="A16" s="65" t="s">
        <v>27</v>
      </c>
      <c r="B16" s="79" t="s">
        <v>45</v>
      </c>
      <c r="C16" s="97">
        <v>0</v>
      </c>
      <c r="D16" s="9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14"/>
      <c r="P16" s="97">
        <f>SUM(D16:O16)</f>
        <v>0</v>
      </c>
      <c r="Q16" s="172">
        <f t="shared" si="2"/>
        <v>0</v>
      </c>
      <c r="R16" s="172">
        <v>0</v>
      </c>
      <c r="S16" s="172">
        <f t="shared" si="3"/>
        <v>0</v>
      </c>
    </row>
    <row r="17" spans="1:19" s="16" customFormat="1" ht="12.75" customHeight="1" thickBot="1" x14ac:dyDescent="0.25">
      <c r="A17" s="67"/>
      <c r="B17" s="81" t="s">
        <v>48</v>
      </c>
      <c r="C17" s="98">
        <f>SUM(C11+C14+C15+C16)</f>
        <v>13146513</v>
      </c>
      <c r="D17" s="98">
        <f t="shared" ref="D17:P17" si="7">SUM(D11+D14+D15+D16)</f>
        <v>787633.16666666674</v>
      </c>
      <c r="E17" s="98">
        <f t="shared" si="7"/>
        <v>823569.16666666674</v>
      </c>
      <c r="F17" s="98">
        <f t="shared" si="7"/>
        <v>1730979.1666666667</v>
      </c>
      <c r="G17" s="98">
        <f t="shared" si="7"/>
        <v>1382102.1666666667</v>
      </c>
      <c r="H17" s="98">
        <f t="shared" si="7"/>
        <v>666302.16666666674</v>
      </c>
      <c r="I17" s="98">
        <f t="shared" si="7"/>
        <v>971465.16666666674</v>
      </c>
      <c r="J17" s="98">
        <f t="shared" si="7"/>
        <v>856963.16666666674</v>
      </c>
      <c r="K17" s="98">
        <f t="shared" si="7"/>
        <v>890034.16666666674</v>
      </c>
      <c r="L17" s="98">
        <f t="shared" si="7"/>
        <v>1359369.1666666667</v>
      </c>
      <c r="M17" s="98">
        <f t="shared" si="7"/>
        <v>1287121.1666666667</v>
      </c>
      <c r="N17" s="98">
        <f t="shared" si="7"/>
        <v>1225006.1666666667</v>
      </c>
      <c r="O17" s="98">
        <f t="shared" si="7"/>
        <v>1165968.1666666667</v>
      </c>
      <c r="P17" s="98">
        <f t="shared" si="7"/>
        <v>13146513</v>
      </c>
      <c r="Q17" s="172">
        <f t="shared" si="2"/>
        <v>0</v>
      </c>
      <c r="R17" s="172">
        <v>13146513</v>
      </c>
      <c r="S17" s="172">
        <f t="shared" si="3"/>
        <v>0</v>
      </c>
    </row>
    <row r="18" spans="1:19" s="16" customFormat="1" ht="12.75" customHeight="1" x14ac:dyDescent="0.2">
      <c r="A18" s="68" t="s">
        <v>28</v>
      </c>
      <c r="B18" s="82" t="s">
        <v>58</v>
      </c>
      <c r="C18" s="99">
        <v>82948</v>
      </c>
      <c r="D18" s="37"/>
      <c r="E18" s="41"/>
      <c r="F18" s="41"/>
      <c r="G18" s="41">
        <v>82948</v>
      </c>
      <c r="H18" s="41"/>
      <c r="I18" s="41"/>
      <c r="J18" s="41"/>
      <c r="K18" s="41"/>
      <c r="L18" s="41"/>
      <c r="M18" s="41"/>
      <c r="N18" s="156"/>
      <c r="O18" s="157"/>
      <c r="P18" s="97">
        <f>SUM(D18:O18)</f>
        <v>82948</v>
      </c>
      <c r="Q18" s="172">
        <f t="shared" si="2"/>
        <v>0</v>
      </c>
      <c r="R18" s="172">
        <v>82948</v>
      </c>
      <c r="S18" s="172">
        <f t="shared" si="3"/>
        <v>0</v>
      </c>
    </row>
    <row r="19" spans="1:19" s="16" customFormat="1" ht="12.75" customHeight="1" x14ac:dyDescent="0.2">
      <c r="A19" s="65" t="s">
        <v>29</v>
      </c>
      <c r="B19" s="79" t="s">
        <v>41</v>
      </c>
      <c r="C19" s="97">
        <v>2212152</v>
      </c>
      <c r="D19" s="59">
        <v>2209690</v>
      </c>
      <c r="E19" s="61">
        <v>2462</v>
      </c>
      <c r="F19" s="61"/>
      <c r="G19" s="61"/>
      <c r="H19" s="61"/>
      <c r="I19" s="61"/>
      <c r="J19" s="61"/>
      <c r="K19" s="61"/>
      <c r="L19" s="61"/>
      <c r="M19" s="61"/>
      <c r="N19" s="61"/>
      <c r="O19" s="117"/>
      <c r="P19" s="97">
        <f>SUM(D19:O19)</f>
        <v>2212152</v>
      </c>
      <c r="Q19" s="172">
        <f t="shared" si="2"/>
        <v>0</v>
      </c>
      <c r="R19" s="172">
        <v>2212152</v>
      </c>
      <c r="S19" s="172">
        <f t="shared" si="3"/>
        <v>0</v>
      </c>
    </row>
    <row r="20" spans="1:19" s="16" customFormat="1" ht="12.75" customHeight="1" x14ac:dyDescent="0.2">
      <c r="A20" s="63" t="s">
        <v>15</v>
      </c>
      <c r="B20" s="78" t="s">
        <v>46</v>
      </c>
      <c r="C20" s="95">
        <v>269777</v>
      </c>
      <c r="D20" s="90">
        <f t="shared" ref="D20:I20" si="8">(18022-12523)/6</f>
        <v>916.5</v>
      </c>
      <c r="E20" s="90">
        <f t="shared" si="8"/>
        <v>916.5</v>
      </c>
      <c r="F20" s="90">
        <f t="shared" si="8"/>
        <v>916.5</v>
      </c>
      <c r="G20" s="90">
        <f t="shared" si="8"/>
        <v>916.5</v>
      </c>
      <c r="H20" s="90">
        <f>(18022-12523)/6+251755</f>
        <v>252671.5</v>
      </c>
      <c r="I20" s="90">
        <f t="shared" si="8"/>
        <v>916.5</v>
      </c>
      <c r="J20" s="90">
        <v>2087.1666666666665</v>
      </c>
      <c r="K20" s="90">
        <v>2087.1666666666665</v>
      </c>
      <c r="L20" s="90">
        <v>2087.1666666666665</v>
      </c>
      <c r="M20" s="90">
        <v>2087.1666666666665</v>
      </c>
      <c r="N20" s="90">
        <v>2087.1666666666665</v>
      </c>
      <c r="O20" s="90">
        <v>2087.1666666666665</v>
      </c>
      <c r="P20" s="97">
        <f>SUM(D20:O20)</f>
        <v>269777.00000000006</v>
      </c>
      <c r="Q20" s="172">
        <f t="shared" si="2"/>
        <v>0</v>
      </c>
      <c r="R20" s="172">
        <v>269777</v>
      </c>
      <c r="S20" s="172">
        <f t="shared" si="3"/>
        <v>0</v>
      </c>
    </row>
    <row r="21" spans="1:19" s="14" customFormat="1" ht="12.75" customHeight="1" x14ac:dyDescent="0.2">
      <c r="A21" s="63" t="s">
        <v>17</v>
      </c>
      <c r="B21" s="83" t="s">
        <v>47</v>
      </c>
      <c r="C21" s="95"/>
      <c r="D21" s="3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70"/>
      <c r="P21" s="97">
        <f>SUM(D21:O21)</f>
        <v>0</v>
      </c>
      <c r="Q21" s="172">
        <f t="shared" si="2"/>
        <v>0</v>
      </c>
      <c r="R21" s="172"/>
      <c r="S21" s="172">
        <f t="shared" si="3"/>
        <v>0</v>
      </c>
    </row>
    <row r="22" spans="1:19" s="16" customFormat="1" ht="12.75" customHeight="1" thickBot="1" x14ac:dyDescent="0.25">
      <c r="A22" s="64" t="s">
        <v>30</v>
      </c>
      <c r="B22" s="79" t="s">
        <v>59</v>
      </c>
      <c r="C22" s="97">
        <f>SUM(C20:C21)</f>
        <v>269777</v>
      </c>
      <c r="D22" s="13">
        <f>SUM(D20:D21)</f>
        <v>916.5</v>
      </c>
      <c r="E22" s="13">
        <f t="shared" ref="E22:O22" si="9">SUM(E20:E21)</f>
        <v>916.5</v>
      </c>
      <c r="F22" s="13">
        <f t="shared" si="9"/>
        <v>916.5</v>
      </c>
      <c r="G22" s="13">
        <f t="shared" si="9"/>
        <v>916.5</v>
      </c>
      <c r="H22" s="13">
        <f t="shared" si="9"/>
        <v>252671.5</v>
      </c>
      <c r="I22" s="13">
        <f t="shared" si="9"/>
        <v>916.5</v>
      </c>
      <c r="J22" s="13">
        <f t="shared" si="9"/>
        <v>2087.1666666666665</v>
      </c>
      <c r="K22" s="13">
        <f t="shared" si="9"/>
        <v>2087.1666666666665</v>
      </c>
      <c r="L22" s="13">
        <f t="shared" si="9"/>
        <v>2087.1666666666665</v>
      </c>
      <c r="M22" s="13">
        <f t="shared" si="9"/>
        <v>2087.1666666666665</v>
      </c>
      <c r="N22" s="13">
        <f t="shared" si="9"/>
        <v>2087.1666666666665</v>
      </c>
      <c r="O22" s="115">
        <f t="shared" si="9"/>
        <v>2087.1666666666665</v>
      </c>
      <c r="P22" s="97">
        <f>SUM(P20:P21)</f>
        <v>269777.00000000006</v>
      </c>
      <c r="Q22" s="172">
        <f t="shared" si="2"/>
        <v>0</v>
      </c>
      <c r="R22" s="172">
        <v>269777</v>
      </c>
      <c r="S22" s="172">
        <f t="shared" si="3"/>
        <v>0</v>
      </c>
    </row>
    <row r="23" spans="1:19" s="16" customFormat="1" ht="12.75" customHeight="1" thickBot="1" x14ac:dyDescent="0.25">
      <c r="A23" s="69"/>
      <c r="B23" s="81" t="s">
        <v>49</v>
      </c>
      <c r="C23" s="98">
        <f>SUM(C18+C19+C22)</f>
        <v>2564877</v>
      </c>
      <c r="D23" s="49">
        <f>SUM(D18+D19+D22)</f>
        <v>2210606.5</v>
      </c>
      <c r="E23" s="49">
        <f t="shared" ref="E23:O23" si="10">SUM(E18+E19+E22)</f>
        <v>3378.5</v>
      </c>
      <c r="F23" s="49">
        <f t="shared" si="10"/>
        <v>916.5</v>
      </c>
      <c r="G23" s="49">
        <f t="shared" si="10"/>
        <v>83864.5</v>
      </c>
      <c r="H23" s="49">
        <f t="shared" si="10"/>
        <v>252671.5</v>
      </c>
      <c r="I23" s="49">
        <f t="shared" si="10"/>
        <v>916.5</v>
      </c>
      <c r="J23" s="49">
        <f t="shared" si="10"/>
        <v>2087.1666666666665</v>
      </c>
      <c r="K23" s="49">
        <f t="shared" si="10"/>
        <v>2087.1666666666665</v>
      </c>
      <c r="L23" s="49">
        <f t="shared" si="10"/>
        <v>2087.1666666666665</v>
      </c>
      <c r="M23" s="49">
        <f t="shared" si="10"/>
        <v>2087.1666666666665</v>
      </c>
      <c r="N23" s="49">
        <f t="shared" si="10"/>
        <v>2087.1666666666665</v>
      </c>
      <c r="O23" s="49">
        <f t="shared" si="10"/>
        <v>2087.1666666666665</v>
      </c>
      <c r="P23" s="98">
        <f>SUM(P18+P19+P22)</f>
        <v>2564877</v>
      </c>
      <c r="Q23" s="172">
        <f t="shared" si="2"/>
        <v>0</v>
      </c>
      <c r="R23" s="172">
        <v>2564877</v>
      </c>
      <c r="S23" s="172">
        <f t="shared" si="3"/>
        <v>0</v>
      </c>
    </row>
    <row r="24" spans="1:19" s="39" customFormat="1" ht="12.75" customHeight="1" thickBot="1" x14ac:dyDescent="0.25">
      <c r="A24" s="70"/>
      <c r="B24" s="81" t="s">
        <v>60</v>
      </c>
      <c r="C24" s="166">
        <f>SUM(C17,C23)</f>
        <v>15711390</v>
      </c>
      <c r="D24" s="50">
        <f t="shared" ref="D24:P24" si="11">SUM(D17,D23)</f>
        <v>2998239.666666667</v>
      </c>
      <c r="E24" s="50">
        <f t="shared" si="11"/>
        <v>826947.66666666674</v>
      </c>
      <c r="F24" s="50">
        <f t="shared" si="11"/>
        <v>1731895.6666666667</v>
      </c>
      <c r="G24" s="50">
        <f t="shared" si="11"/>
        <v>1465966.6666666667</v>
      </c>
      <c r="H24" s="50">
        <f t="shared" si="11"/>
        <v>918973.66666666674</v>
      </c>
      <c r="I24" s="50">
        <f t="shared" si="11"/>
        <v>972381.66666666674</v>
      </c>
      <c r="J24" s="50">
        <f t="shared" si="11"/>
        <v>859050.33333333337</v>
      </c>
      <c r="K24" s="50">
        <f t="shared" si="11"/>
        <v>892121.33333333337</v>
      </c>
      <c r="L24" s="50">
        <f t="shared" si="11"/>
        <v>1361456.3333333335</v>
      </c>
      <c r="M24" s="50">
        <f t="shared" si="11"/>
        <v>1289208.3333333335</v>
      </c>
      <c r="N24" s="50">
        <f t="shared" si="11"/>
        <v>1227093.3333333335</v>
      </c>
      <c r="O24" s="116">
        <f t="shared" si="11"/>
        <v>1168055.3333333335</v>
      </c>
      <c r="P24" s="100">
        <f t="shared" si="11"/>
        <v>15711390</v>
      </c>
      <c r="Q24" s="172">
        <f t="shared" si="2"/>
        <v>0</v>
      </c>
      <c r="R24" s="172"/>
      <c r="S24" s="172"/>
    </row>
    <row r="25" spans="1:19" s="39" customFormat="1" ht="12.75" customHeight="1" x14ac:dyDescent="0.2">
      <c r="A25" s="71" t="s">
        <v>15</v>
      </c>
      <c r="B25" s="84" t="s">
        <v>61</v>
      </c>
      <c r="C25" s="167">
        <f>4599274+142307</f>
        <v>4741581</v>
      </c>
      <c r="D25" s="154"/>
      <c r="E25" s="155"/>
      <c r="F25" s="155"/>
      <c r="G25" s="155"/>
      <c r="H25" s="155"/>
      <c r="I25" s="155">
        <v>4741581</v>
      </c>
      <c r="J25" s="155"/>
      <c r="K25" s="155"/>
      <c r="L25" s="155"/>
      <c r="M25" s="155"/>
      <c r="N25" s="155"/>
      <c r="O25" s="112"/>
      <c r="P25" s="159">
        <f>SUM(D25:O25)</f>
        <v>4741581</v>
      </c>
      <c r="Q25" s="172">
        <f t="shared" si="2"/>
        <v>0</v>
      </c>
      <c r="R25" s="172">
        <v>4599274</v>
      </c>
      <c r="S25" s="172">
        <f t="shared" si="3"/>
        <v>-142307</v>
      </c>
    </row>
    <row r="26" spans="1:19" s="39" customFormat="1" ht="12.75" customHeight="1" x14ac:dyDescent="0.2">
      <c r="A26" s="73" t="s">
        <v>17</v>
      </c>
      <c r="B26" s="83" t="s">
        <v>62</v>
      </c>
      <c r="C26" s="95">
        <v>6187815</v>
      </c>
      <c r="D26" s="173">
        <f>481339+239460</f>
        <v>720799</v>
      </c>
      <c r="E26" s="141">
        <v>481339</v>
      </c>
      <c r="F26" s="141">
        <f>481339+58016</f>
        <v>539355</v>
      </c>
      <c r="G26" s="141">
        <f>481339+52145</f>
        <v>533484</v>
      </c>
      <c r="H26" s="141">
        <f>481339+62132</f>
        <v>543471</v>
      </c>
      <c r="I26" s="141">
        <v>481339</v>
      </c>
      <c r="J26" s="141">
        <v>481339</v>
      </c>
      <c r="K26" s="141">
        <v>481339</v>
      </c>
      <c r="L26" s="141">
        <v>481339</v>
      </c>
      <c r="M26" s="141">
        <v>481339</v>
      </c>
      <c r="N26" s="141">
        <f>481339-3</f>
        <v>481336</v>
      </c>
      <c r="O26" s="142">
        <f>481339-3</f>
        <v>481336</v>
      </c>
      <c r="P26" s="160">
        <f>SUM(D26:O26)</f>
        <v>6187815</v>
      </c>
      <c r="Q26" s="172">
        <f t="shared" si="2"/>
        <v>0</v>
      </c>
      <c r="R26" s="172">
        <v>6187815</v>
      </c>
      <c r="S26" s="172">
        <f t="shared" si="3"/>
        <v>0</v>
      </c>
    </row>
    <row r="27" spans="1:19" s="39" customFormat="1" ht="12.75" customHeight="1" x14ac:dyDescent="0.2">
      <c r="A27" s="72"/>
      <c r="B27" s="79" t="s">
        <v>63</v>
      </c>
      <c r="C27" s="96">
        <f t="shared" ref="C27:P27" si="12">SUM(C25:C26)</f>
        <v>10929396</v>
      </c>
      <c r="D27" s="174">
        <f t="shared" si="12"/>
        <v>720799</v>
      </c>
      <c r="E27" s="143">
        <f t="shared" si="12"/>
        <v>481339</v>
      </c>
      <c r="F27" s="143">
        <f t="shared" si="12"/>
        <v>539355</v>
      </c>
      <c r="G27" s="143">
        <f t="shared" si="12"/>
        <v>533484</v>
      </c>
      <c r="H27" s="143">
        <f t="shared" si="12"/>
        <v>543471</v>
      </c>
      <c r="I27" s="143">
        <f t="shared" si="12"/>
        <v>5222920</v>
      </c>
      <c r="J27" s="143">
        <f t="shared" si="12"/>
        <v>481339</v>
      </c>
      <c r="K27" s="143">
        <f t="shared" si="12"/>
        <v>481339</v>
      </c>
      <c r="L27" s="143">
        <f t="shared" si="12"/>
        <v>481339</v>
      </c>
      <c r="M27" s="143">
        <f t="shared" si="12"/>
        <v>481339</v>
      </c>
      <c r="N27" s="143">
        <f t="shared" si="12"/>
        <v>481336</v>
      </c>
      <c r="O27" s="144">
        <f t="shared" si="12"/>
        <v>481336</v>
      </c>
      <c r="P27" s="96">
        <f t="shared" si="12"/>
        <v>10929396</v>
      </c>
      <c r="Q27" s="172">
        <f t="shared" si="2"/>
        <v>0</v>
      </c>
      <c r="R27" s="172">
        <v>10787089</v>
      </c>
      <c r="S27" s="172">
        <f t="shared" si="3"/>
        <v>-142307</v>
      </c>
    </row>
    <row r="28" spans="1:19" s="39" customFormat="1" ht="12.75" customHeight="1" x14ac:dyDescent="0.2">
      <c r="A28" s="73" t="s">
        <v>15</v>
      </c>
      <c r="B28" s="83" t="s">
        <v>64</v>
      </c>
      <c r="C28" s="96">
        <f>7219904-142307</f>
        <v>7077597</v>
      </c>
      <c r="D28" s="171"/>
      <c r="E28" s="141"/>
      <c r="F28" s="141"/>
      <c r="G28" s="141"/>
      <c r="H28" s="143"/>
      <c r="I28" s="141">
        <v>7077597</v>
      </c>
      <c r="J28" s="143"/>
      <c r="K28" s="143"/>
      <c r="L28" s="143"/>
      <c r="M28" s="143"/>
      <c r="N28" s="143"/>
      <c r="O28" s="144"/>
      <c r="P28" s="96">
        <f>SUM(D28:O28)</f>
        <v>7077597</v>
      </c>
      <c r="Q28" s="172">
        <f t="shared" si="2"/>
        <v>0</v>
      </c>
      <c r="R28" s="172">
        <v>7219904</v>
      </c>
      <c r="S28" s="172">
        <f t="shared" si="3"/>
        <v>142307</v>
      </c>
    </row>
    <row r="29" spans="1:19" s="39" customFormat="1" ht="12.75" customHeight="1" x14ac:dyDescent="0.2">
      <c r="A29" s="72" t="s">
        <v>17</v>
      </c>
      <c r="B29" s="85" t="s">
        <v>65</v>
      </c>
      <c r="C29" s="102">
        <v>27956</v>
      </c>
      <c r="D29" s="186">
        <v>956</v>
      </c>
      <c r="E29" s="187">
        <v>5000</v>
      </c>
      <c r="F29" s="187">
        <v>2000</v>
      </c>
      <c r="G29" s="187">
        <v>10000</v>
      </c>
      <c r="H29" s="187">
        <v>10000</v>
      </c>
      <c r="I29" s="187"/>
      <c r="J29" s="187"/>
      <c r="K29" s="187"/>
      <c r="L29" s="187"/>
      <c r="M29" s="187"/>
      <c r="N29" s="187"/>
      <c r="O29" s="188"/>
      <c r="P29" s="96">
        <f>SUM(D29:O29)</f>
        <v>27956</v>
      </c>
      <c r="Q29" s="172">
        <f t="shared" si="2"/>
        <v>0</v>
      </c>
      <c r="R29" s="172">
        <v>27956</v>
      </c>
      <c r="S29" s="172">
        <f t="shared" si="3"/>
        <v>0</v>
      </c>
    </row>
    <row r="30" spans="1:19" s="39" customFormat="1" ht="12.75" customHeight="1" x14ac:dyDescent="0.2">
      <c r="A30" s="74"/>
      <c r="B30" s="135" t="s">
        <v>66</v>
      </c>
      <c r="C30" s="136">
        <f>SUM(C28:C29)</f>
        <v>7105553</v>
      </c>
      <c r="D30" s="165">
        <f>SUM(D28:D29)</f>
        <v>956</v>
      </c>
      <c r="E30" s="137">
        <f t="shared" ref="E30:O30" si="13">SUM(E28:E29)</f>
        <v>5000</v>
      </c>
      <c r="F30" s="137">
        <f t="shared" si="13"/>
        <v>2000</v>
      </c>
      <c r="G30" s="137">
        <f t="shared" si="13"/>
        <v>10000</v>
      </c>
      <c r="H30" s="137">
        <f t="shared" si="13"/>
        <v>10000</v>
      </c>
      <c r="I30" s="137">
        <f t="shared" si="13"/>
        <v>7077597</v>
      </c>
      <c r="J30" s="137">
        <f t="shared" si="13"/>
        <v>0</v>
      </c>
      <c r="K30" s="137">
        <f t="shared" si="13"/>
        <v>0</v>
      </c>
      <c r="L30" s="137">
        <f t="shared" si="13"/>
        <v>0</v>
      </c>
      <c r="M30" s="137">
        <f t="shared" si="13"/>
        <v>0</v>
      </c>
      <c r="N30" s="137">
        <f t="shared" si="13"/>
        <v>0</v>
      </c>
      <c r="O30" s="148">
        <f t="shared" si="13"/>
        <v>0</v>
      </c>
      <c r="P30" s="136">
        <f>SUM(P28:P29)</f>
        <v>7105553</v>
      </c>
      <c r="Q30" s="172">
        <f t="shared" si="2"/>
        <v>0</v>
      </c>
      <c r="R30" s="172">
        <v>7247860</v>
      </c>
      <c r="S30" s="172">
        <f t="shared" si="3"/>
        <v>142307</v>
      </c>
    </row>
    <row r="31" spans="1:19" s="39" customFormat="1" ht="12.75" customHeight="1" x14ac:dyDescent="0.2">
      <c r="A31" s="74">
        <v>1</v>
      </c>
      <c r="B31" s="163" t="s">
        <v>97</v>
      </c>
      <c r="C31" s="136">
        <v>0</v>
      </c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4">
        <f>SUM(D31:O31)</f>
        <v>0</v>
      </c>
      <c r="Q31" s="172">
        <f t="shared" si="2"/>
        <v>0</v>
      </c>
      <c r="R31" s="172"/>
      <c r="S31" s="172">
        <f t="shared" si="3"/>
        <v>0</v>
      </c>
    </row>
    <row r="32" spans="1:19" s="39" customFormat="1" ht="12.75" customHeight="1" thickBot="1" x14ac:dyDescent="0.25">
      <c r="A32" s="74">
        <v>2</v>
      </c>
      <c r="B32" s="162" t="s">
        <v>98</v>
      </c>
      <c r="C32" s="182">
        <v>4000000</v>
      </c>
      <c r="D32" s="183"/>
      <c r="E32" s="184"/>
      <c r="F32" s="184">
        <v>4000000</v>
      </c>
      <c r="G32" s="184"/>
      <c r="H32" s="184"/>
      <c r="I32" s="184"/>
      <c r="J32" s="184"/>
      <c r="K32" s="184"/>
      <c r="L32" s="184"/>
      <c r="M32" s="184"/>
      <c r="N32" s="184"/>
      <c r="O32" s="185"/>
      <c r="P32" s="136">
        <f>SUM(D32:O32)</f>
        <v>4000000</v>
      </c>
      <c r="Q32" s="172">
        <f t="shared" si="2"/>
        <v>0</v>
      </c>
      <c r="R32" s="172">
        <v>4000000</v>
      </c>
      <c r="S32" s="172">
        <f t="shared" si="3"/>
        <v>0</v>
      </c>
    </row>
    <row r="33" spans="1:19" s="39" customFormat="1" ht="12.75" customHeight="1" thickBot="1" x14ac:dyDescent="0.25">
      <c r="A33" s="139"/>
      <c r="B33" s="133" t="s">
        <v>92</v>
      </c>
      <c r="C33" s="134">
        <f>+C27+C30+C31+C32</f>
        <v>22034949</v>
      </c>
      <c r="D33" s="134">
        <f t="shared" ref="D33:O33" si="14">+D27+D30+D31+D32</f>
        <v>721755</v>
      </c>
      <c r="E33" s="134">
        <f t="shared" si="14"/>
        <v>486339</v>
      </c>
      <c r="F33" s="134">
        <f t="shared" si="14"/>
        <v>4541355</v>
      </c>
      <c r="G33" s="134">
        <f t="shared" si="14"/>
        <v>543484</v>
      </c>
      <c r="H33" s="134">
        <f t="shared" si="14"/>
        <v>553471</v>
      </c>
      <c r="I33" s="134">
        <f t="shared" si="14"/>
        <v>12300517</v>
      </c>
      <c r="J33" s="134">
        <f t="shared" si="14"/>
        <v>481339</v>
      </c>
      <c r="K33" s="134">
        <f t="shared" si="14"/>
        <v>481339</v>
      </c>
      <c r="L33" s="134">
        <f t="shared" si="14"/>
        <v>481339</v>
      </c>
      <c r="M33" s="134">
        <f t="shared" si="14"/>
        <v>481339</v>
      </c>
      <c r="N33" s="134">
        <f t="shared" si="14"/>
        <v>481336</v>
      </c>
      <c r="O33" s="134">
        <f t="shared" si="14"/>
        <v>481336</v>
      </c>
      <c r="P33" s="103">
        <f>+P27+P30+P31+P32</f>
        <v>22034949</v>
      </c>
      <c r="Q33" s="172">
        <f t="shared" si="2"/>
        <v>0</v>
      </c>
      <c r="R33" s="172"/>
      <c r="S33" s="172"/>
    </row>
    <row r="34" spans="1:19" s="39" customFormat="1" ht="12.75" customHeight="1" thickBot="1" x14ac:dyDescent="0.25">
      <c r="A34" s="60"/>
      <c r="B34" s="86" t="s">
        <v>37</v>
      </c>
      <c r="C34" s="103">
        <f t="shared" ref="C34:P34" si="15">SUM(C24,C27,C30)+C31+C32</f>
        <v>37746339</v>
      </c>
      <c r="D34" s="103">
        <f t="shared" si="15"/>
        <v>3719994.666666667</v>
      </c>
      <c r="E34" s="103">
        <f t="shared" si="15"/>
        <v>1313286.6666666667</v>
      </c>
      <c r="F34" s="103">
        <f t="shared" si="15"/>
        <v>6273250.666666667</v>
      </c>
      <c r="G34" s="103">
        <f t="shared" si="15"/>
        <v>2009450.6666666667</v>
      </c>
      <c r="H34" s="103">
        <f t="shared" si="15"/>
        <v>1472444.6666666667</v>
      </c>
      <c r="I34" s="103">
        <f t="shared" si="15"/>
        <v>13272898.666666668</v>
      </c>
      <c r="J34" s="103">
        <f t="shared" si="15"/>
        <v>1340389.3333333335</v>
      </c>
      <c r="K34" s="103">
        <f t="shared" si="15"/>
        <v>1373460.3333333335</v>
      </c>
      <c r="L34" s="103">
        <f t="shared" si="15"/>
        <v>1842795.3333333335</v>
      </c>
      <c r="M34" s="103">
        <f t="shared" si="15"/>
        <v>1770547.3333333335</v>
      </c>
      <c r="N34" s="103">
        <f t="shared" si="15"/>
        <v>1708429.3333333335</v>
      </c>
      <c r="O34" s="103">
        <f t="shared" si="15"/>
        <v>1649391.3333333335</v>
      </c>
      <c r="P34" s="103">
        <f t="shared" si="15"/>
        <v>37746339</v>
      </c>
      <c r="Q34" s="172">
        <f t="shared" si="2"/>
        <v>0</v>
      </c>
      <c r="R34" s="172"/>
      <c r="S34" s="172"/>
    </row>
    <row r="35" spans="1:19" s="16" customFormat="1" ht="11.25" customHeight="1" x14ac:dyDescent="0.2">
      <c r="A35" s="75"/>
      <c r="B35" s="87" t="s">
        <v>50</v>
      </c>
      <c r="C35" s="149">
        <f>-C26</f>
        <v>-6187815</v>
      </c>
      <c r="D35" s="150">
        <f t="shared" ref="D35:O35" si="16">-SUM(D26)</f>
        <v>-720799</v>
      </c>
      <c r="E35" s="151">
        <f t="shared" si="16"/>
        <v>-481339</v>
      </c>
      <c r="F35" s="151">
        <f t="shared" si="16"/>
        <v>-539355</v>
      </c>
      <c r="G35" s="151">
        <f t="shared" si="16"/>
        <v>-533484</v>
      </c>
      <c r="H35" s="151">
        <f t="shared" si="16"/>
        <v>-543471</v>
      </c>
      <c r="I35" s="151">
        <f t="shared" si="16"/>
        <v>-481339</v>
      </c>
      <c r="J35" s="151">
        <f t="shared" si="16"/>
        <v>-481339</v>
      </c>
      <c r="K35" s="151">
        <f t="shared" si="16"/>
        <v>-481339</v>
      </c>
      <c r="L35" s="151">
        <f t="shared" si="16"/>
        <v>-481339</v>
      </c>
      <c r="M35" s="151">
        <f t="shared" si="16"/>
        <v>-481339</v>
      </c>
      <c r="N35" s="151">
        <f t="shared" si="16"/>
        <v>-481336</v>
      </c>
      <c r="O35" s="152">
        <f t="shared" si="16"/>
        <v>-481336</v>
      </c>
      <c r="P35" s="110">
        <f>SUM(D35:O35)</f>
        <v>-6187815</v>
      </c>
      <c r="Q35" s="172">
        <f t="shared" si="2"/>
        <v>0</v>
      </c>
      <c r="R35" s="172">
        <v>-6187815</v>
      </c>
      <c r="S35" s="172">
        <f t="shared" si="3"/>
        <v>0</v>
      </c>
    </row>
    <row r="36" spans="1:19" s="16" customFormat="1" ht="12.75" customHeight="1" x14ac:dyDescent="0.2">
      <c r="A36" s="76"/>
      <c r="B36" s="88" t="s">
        <v>51</v>
      </c>
      <c r="C36" s="153">
        <f>-C29</f>
        <v>-27956</v>
      </c>
      <c r="D36" s="145">
        <f t="shared" ref="D36:O36" si="17">-SUM(D29)</f>
        <v>-956</v>
      </c>
      <c r="E36" s="146">
        <f t="shared" si="17"/>
        <v>-5000</v>
      </c>
      <c r="F36" s="146">
        <f t="shared" si="17"/>
        <v>-2000</v>
      </c>
      <c r="G36" s="146">
        <f t="shared" si="17"/>
        <v>-10000</v>
      </c>
      <c r="H36" s="146">
        <f t="shared" si="17"/>
        <v>-10000</v>
      </c>
      <c r="I36" s="146">
        <f t="shared" si="17"/>
        <v>0</v>
      </c>
      <c r="J36" s="146">
        <f t="shared" si="17"/>
        <v>0</v>
      </c>
      <c r="K36" s="146">
        <f t="shared" si="17"/>
        <v>0</v>
      </c>
      <c r="L36" s="146">
        <f t="shared" si="17"/>
        <v>0</v>
      </c>
      <c r="M36" s="146">
        <f t="shared" si="17"/>
        <v>0</v>
      </c>
      <c r="N36" s="146">
        <f>-SUM(N29)</f>
        <v>0</v>
      </c>
      <c r="O36" s="147">
        <f t="shared" si="17"/>
        <v>0</v>
      </c>
      <c r="P36" s="55">
        <f>SUM(D36:O36)</f>
        <v>-27956</v>
      </c>
      <c r="Q36" s="172">
        <f t="shared" si="2"/>
        <v>0</v>
      </c>
      <c r="R36" s="172">
        <v>-27956</v>
      </c>
      <c r="S36" s="172">
        <f>+R36-P36</f>
        <v>0</v>
      </c>
    </row>
    <row r="37" spans="1:19" s="16" customFormat="1" ht="15" customHeight="1" thickBot="1" x14ac:dyDescent="0.25">
      <c r="A37" s="57"/>
      <c r="B37" s="89" t="s">
        <v>54</v>
      </c>
      <c r="C37" s="136">
        <v>-798000</v>
      </c>
      <c r="D37" s="138">
        <f>$C$37/12</f>
        <v>-66500</v>
      </c>
      <c r="E37" s="175">
        <f t="shared" ref="E37:O37" si="18">$C$37/12</f>
        <v>-66500</v>
      </c>
      <c r="F37" s="175">
        <f t="shared" si="18"/>
        <v>-66500</v>
      </c>
      <c r="G37" s="175">
        <f t="shared" si="18"/>
        <v>-66500</v>
      </c>
      <c r="H37" s="175">
        <f t="shared" si="18"/>
        <v>-66500</v>
      </c>
      <c r="I37" s="175">
        <f t="shared" si="18"/>
        <v>-66500</v>
      </c>
      <c r="J37" s="175">
        <f t="shared" si="18"/>
        <v>-66500</v>
      </c>
      <c r="K37" s="175">
        <f t="shared" si="18"/>
        <v>-66500</v>
      </c>
      <c r="L37" s="175">
        <f t="shared" si="18"/>
        <v>-66500</v>
      </c>
      <c r="M37" s="175">
        <f t="shared" si="18"/>
        <v>-66500</v>
      </c>
      <c r="N37" s="175">
        <f t="shared" si="18"/>
        <v>-66500</v>
      </c>
      <c r="O37" s="176">
        <f t="shared" si="18"/>
        <v>-66500</v>
      </c>
      <c r="P37" s="55">
        <f>SUM(D37:O37)</f>
        <v>-798000</v>
      </c>
      <c r="Q37" s="172">
        <f t="shared" si="2"/>
        <v>0</v>
      </c>
      <c r="R37" s="172">
        <v>-798000</v>
      </c>
      <c r="S37" s="172">
        <f t="shared" si="3"/>
        <v>0</v>
      </c>
    </row>
    <row r="38" spans="1:19" s="16" customFormat="1" ht="10.5" customHeight="1" thickBot="1" x14ac:dyDescent="0.25">
      <c r="A38" s="214" t="s">
        <v>37</v>
      </c>
      <c r="B38" s="215"/>
      <c r="C38" s="104">
        <f>SUM(C34:C37)</f>
        <v>30732568</v>
      </c>
      <c r="D38" s="58">
        <f>SUM(D34:D37)</f>
        <v>2931739.666666667</v>
      </c>
      <c r="E38" s="58">
        <f t="shared" ref="E38:O38" si="19">SUM(E34:E37)</f>
        <v>760447.66666666674</v>
      </c>
      <c r="F38" s="58">
        <f t="shared" si="19"/>
        <v>5665395.666666667</v>
      </c>
      <c r="G38" s="58">
        <f t="shared" si="19"/>
        <v>1399466.6666666667</v>
      </c>
      <c r="H38" s="58">
        <f t="shared" si="19"/>
        <v>852473.66666666674</v>
      </c>
      <c r="I38" s="58">
        <f t="shared" si="19"/>
        <v>12725059.666666668</v>
      </c>
      <c r="J38" s="58">
        <f t="shared" si="19"/>
        <v>792550.33333333349</v>
      </c>
      <c r="K38" s="58">
        <f t="shared" si="19"/>
        <v>825621.33333333349</v>
      </c>
      <c r="L38" s="58">
        <f t="shared" si="19"/>
        <v>1294956.3333333335</v>
      </c>
      <c r="M38" s="58">
        <f t="shared" si="19"/>
        <v>1222708.3333333335</v>
      </c>
      <c r="N38" s="58">
        <f t="shared" si="19"/>
        <v>1160593.3333333335</v>
      </c>
      <c r="O38" s="58">
        <f t="shared" si="19"/>
        <v>1101555.3333333335</v>
      </c>
      <c r="P38" s="104">
        <f>SUM(P34:P37)</f>
        <v>30732568</v>
      </c>
      <c r="Q38" s="172">
        <f t="shared" si="2"/>
        <v>0</v>
      </c>
      <c r="R38" s="172"/>
      <c r="S38" s="172"/>
    </row>
  </sheetData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honeticPr fontId="0" type="noConversion"/>
  <printOptions horizontalCentered="1" verticalCentered="1"/>
  <pageMargins left="0.2" right="0.2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kiadás</vt:lpstr>
      <vt:lpstr>bevétel</vt:lpstr>
      <vt:lpstr>bevétel!Nyomtatási_terület</vt:lpstr>
      <vt:lpstr>kiadás!Nyomtatási_terület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novaki_g</dc:creator>
  <cp:lastModifiedBy>Csurka, Mária</cp:lastModifiedBy>
  <cp:lastPrinted>2021-06-21T12:09:59Z</cp:lastPrinted>
  <dcterms:created xsi:type="dcterms:W3CDTF">2009-02-16T12:26:31Z</dcterms:created>
  <dcterms:modified xsi:type="dcterms:W3CDTF">2021-06-29T12:05:33Z</dcterms:modified>
</cp:coreProperties>
</file>