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D:\2021\LOCLEX\Teleki\3.LÉPÉS\"/>
    </mc:Choice>
  </mc:AlternateContent>
  <xr:revisionPtr revIDLastSave="0" documentId="8_{5AC4EB63-1A5D-4B42-8FDD-7D8F11215E57}" xr6:coauthVersionLast="46" xr6:coauthVersionMax="46" xr10:uidLastSave="{00000000-0000-0000-0000-000000000000}"/>
  <bookViews>
    <workbookView xWindow="-120" yWindow="-120" windowWidth="29040" windowHeight="15840" tabRatio="842" firstSheet="8" activeTab="20"/>
  </bookViews>
  <sheets>
    <sheet name="Összesítő" sheetId="60" state="hidden" r:id="rId1"/>
    <sheet name="finansz. feladatonként" sheetId="63" state="hidden" r:id="rId2"/>
    <sheet name="1.Bev-kiad." sheetId="36" r:id="rId3"/>
    <sheet name="2.működés" sheetId="57" r:id="rId4"/>
    <sheet name="3.felh" sheetId="58" r:id="rId5"/>
    <sheet name="4. Átadott p.eszk." sheetId="39" r:id="rId6"/>
    <sheet name="5.Bev.össz." sheetId="51" r:id="rId7"/>
    <sheet name="6.Kiad.össz." sheetId="44" r:id="rId8"/>
    <sheet name="7.Önk." sheetId="46" r:id="rId9"/>
    <sheet name="8.Többéves" sheetId="73" r:id="rId10"/>
    <sheet name="9.Adósság" sheetId="52" r:id="rId11"/>
    <sheet name="10.Likviditás" sheetId="53" state="hidden" r:id="rId12"/>
    <sheet name="11.Eu projekt" sheetId="56" state="hidden" r:id="rId13"/>
    <sheet name="10.Maradványkimutatás" sheetId="66" r:id="rId14"/>
    <sheet name="11.Mérleg" sheetId="67" r:id="rId15"/>
    <sheet name="12.Eredménykimutatás" sheetId="68" r:id="rId16"/>
    <sheet name="13.Vagyonkimutatás" sheetId="69" r:id="rId17"/>
    <sheet name="14.Előirányzat felh.terv" sheetId="70" r:id="rId18"/>
    <sheet name="15.Részesedések" sheetId="71" r:id="rId19"/>
    <sheet name="16.Gördülő tervezés" sheetId="59" r:id="rId20"/>
    <sheet name="17.Vezetői nyilatkozat" sheetId="72" r:id="rId21"/>
    <sheet name="TKT felosztás 2020" sheetId="65" state="hidden" r:id="rId22"/>
  </sheets>
  <externalReferences>
    <externalReference r:id="rId23"/>
    <externalReference r:id="rId24"/>
    <externalReference r:id="rId25"/>
    <externalReference r:id="rId26"/>
  </externalReferences>
  <definedNames>
    <definedName name="_xlnm._FilterDatabase" localSheetId="2" hidden="1">'1.Bev-kiad.'!$B$1:$B$63</definedName>
    <definedName name="_xlnm._FilterDatabase" localSheetId="19" hidden="1">'16.Gördülő tervezés'!$B$1:$B$63</definedName>
    <definedName name="_xlnm._FilterDatabase" localSheetId="3" hidden="1">'2.működés'!$C$1:$C$95</definedName>
    <definedName name="_xlnm._FilterDatabase" localSheetId="4" hidden="1">'3.felh'!$B$1:$B$36</definedName>
    <definedName name="beruh" localSheetId="12">'[1]4.1. táj.'!#REF!</definedName>
    <definedName name="beruh" localSheetId="19">'[1]4.1. táj.'!#REF!</definedName>
    <definedName name="beruh" localSheetId="3">'[1]4.1. táj.'!#REF!</definedName>
    <definedName name="beruh" localSheetId="4">'[1]4.1. táj.'!#REF!</definedName>
    <definedName name="beruh">'[1]4.1. táj.'!#REF!</definedName>
    <definedName name="intézmények" localSheetId="12">'[2]4.1. táj.'!#REF!</definedName>
    <definedName name="intézmények" localSheetId="19">'[2]4.1. táj.'!#REF!</definedName>
    <definedName name="intézmények" localSheetId="3">'[2]4.1. táj.'!#REF!</definedName>
    <definedName name="intézmények" localSheetId="4">'[2]4.1. táj.'!#REF!</definedName>
    <definedName name="intézmények" localSheetId="6">'[2]4.1. táj.'!#REF!</definedName>
    <definedName name="intézmények">'[2]4.1. táj.'!#REF!</definedName>
    <definedName name="_xlnm.Print_Titles" localSheetId="6">'5.Bev.össz.'!$A:$A,'5.Bev.össz.'!$1:$5</definedName>
    <definedName name="_xlnm.Print_Titles" localSheetId="7">'6.Kiad.össz.'!$A:$A,'6.Kiad.össz.'!$1:$9</definedName>
    <definedName name="_xlnm.Print_Area" localSheetId="2">'1.Bev-kiad.'!$A$1:$G$76</definedName>
    <definedName name="_xlnm.Print_Area" localSheetId="11">'10.Likviditás'!$A$1:$N$30</definedName>
    <definedName name="_xlnm.Print_Area" localSheetId="12">'11.Eu projekt'!$A$1:$K$14</definedName>
    <definedName name="_xlnm.Print_Area" localSheetId="16">'13.Vagyonkimutatás'!$A$1:$E$133</definedName>
    <definedName name="_xlnm.Print_Area" localSheetId="19">'16.Gördülő tervezés'!$A$1:$F$77</definedName>
    <definedName name="_xlnm.Print_Area" localSheetId="3">'2.működés'!$A$1:$H$106</definedName>
    <definedName name="_xlnm.Print_Area" localSheetId="4">'3.felh'!$A$1:$G$57</definedName>
    <definedName name="_xlnm.Print_Area" localSheetId="5">'4. Átadott p.eszk.'!$A$1:$G$66</definedName>
    <definedName name="_xlnm.Print_Area" localSheetId="6">'5.Bev.össz.'!$A$1:$O$23</definedName>
    <definedName name="_xlnm.Print_Area" localSheetId="7">'6.Kiad.össz.'!$A$1:$P$24</definedName>
    <definedName name="_xlnm.Print_Area" localSheetId="8">'7.Önk.'!$A$1:$P$290</definedName>
    <definedName name="_xlnm.Print_Area" localSheetId="9">'8.Többéves'!$A$1:$H$16</definedName>
    <definedName name="_xlnm.Print_Area" localSheetId="10">'9.Adósság'!$A$1:$H$16</definedName>
    <definedName name="_xlnm.Print_Area" localSheetId="1">'finansz. feladatonként'!$A$1:$G$23</definedName>
    <definedName name="_xlnm.Print_Area" localSheetId="21">'TKT felosztás 2020'!$A$1:$S$38</definedName>
    <definedName name="qewrqewr" localSheetId="19">'[1]4.1. táj.'!#REF!</definedName>
    <definedName name="qewrqewr">'[1]4.1. táj.'!#REF!</definedName>
    <definedName name="Z_ABF21C5C_6078_4D03_96DF_78390D4F8F84_.wvu.Cols" localSheetId="5" hidden="1">'4. Átadott p.eszk.'!#REF!,'4. Átadott p.eszk.'!$HQ:$IV</definedName>
    <definedName name="Z_ABF21C5C_6078_4D03_96DF_78390D4F8F84_.wvu.FilterData" localSheetId="2" hidden="1">'1.Bev-kiad.'!$B$1:$B$63</definedName>
    <definedName name="Z_ABF21C5C_6078_4D03_96DF_78390D4F8F84_.wvu.FilterData" localSheetId="19" hidden="1">'16.Gördülő tervezés'!$B$1:$B$63</definedName>
    <definedName name="Z_ABF21C5C_6078_4D03_96DF_78390D4F8F84_.wvu.FilterData" localSheetId="3" hidden="1">'2.működés'!$C$1:$C$95</definedName>
    <definedName name="Z_ABF21C5C_6078_4D03_96DF_78390D4F8F84_.wvu.FilterData" localSheetId="4" hidden="1">'3.felh'!$B$1:$B$36</definedName>
    <definedName name="Z_ABF21C5C_6078_4D03_96DF_78390D4F8F84_.wvu.PrintArea" localSheetId="2" hidden="1">'1.Bev-kiad.'!$B$1:$B$75</definedName>
    <definedName name="Z_ABF21C5C_6078_4D03_96DF_78390D4F8F84_.wvu.PrintArea" localSheetId="19" hidden="1">'16.Gördülő tervezés'!$B$1:$B$76</definedName>
    <definedName name="Z_ABF21C5C_6078_4D03_96DF_78390D4F8F84_.wvu.PrintArea" localSheetId="3" hidden="1">'2.működés'!$C$1:$C$105</definedName>
    <definedName name="Z_ABF21C5C_6078_4D03_96DF_78390D4F8F84_.wvu.PrintArea" localSheetId="4" hidden="1">'3.felh'!$B$1:$B$52</definedName>
    <definedName name="Z_ABF21C5C_6078_4D03_96DF_78390D4F8F84_.wvu.PrintArea" localSheetId="5" hidden="1">'4. Átadott p.eszk.'!$B$1:$B$50</definedName>
    <definedName name="Z_ABF21C5C_6078_4D03_96DF_78390D4F8F84_.wvu.PrintArea" localSheetId="8" hidden="1">'7.Önk.'!$B$1:$B$73</definedName>
    <definedName name="Z_ABF21C5C_6078_4D03_96DF_78390D4F8F84_.wvu.Rows" localSheetId="2" hidden="1">'1.Bev-kiad.'!#REF!</definedName>
    <definedName name="Z_ABF21C5C_6078_4D03_96DF_78390D4F8F84_.wvu.Rows" localSheetId="19" hidden="1">'16.Gördülő tervezés'!#REF!</definedName>
    <definedName name="Z_ABF21C5C_6078_4D03_96DF_78390D4F8F84_.wvu.Rows" localSheetId="3" hidden="1">'2.működés'!#REF!</definedName>
    <definedName name="Z_ABF21C5C_6078_4D03_96DF_78390D4F8F84_.wvu.Rows" localSheetId="4" hidden="1">'3.felh'!#REF!</definedName>
    <definedName name="Z_ABF21C5C_6078_4D03_96DF_78390D4F8F84_.wvu.Rows" localSheetId="5" hidden="1">'4. Átadott p.eszk.'!#REF!,'4. Átadott p.eszk.'!#REF!,'4. Átadott p.eszk.'!#REF!,'4. Átadott p.eszk.'!#REF!,'4. Átadott p.eszk.'!#REF!</definedName>
    <definedName name="Z_ABF21C5C_6078_4D03_96DF_78390D4F8F84_.wvu.Rows" localSheetId="8" hidden="1">'7.Önk.'!#REF!,'7.Önk.'!$21:$21</definedName>
  </definedNames>
  <calcPr calcId="181029" fullCalcOnLoad="1"/>
  <customWorkbookViews>
    <customWorkbookView name="Belovics Emilné - Egyéni látvány" guid="{ABF21C5C-6078-4D03-96DF-78390D4F8F84}" mergeInterval="0" personalView="1" maximized="1" windowWidth="1020" windowHeight="625" activeSheetId="1" showStatusbar="0"/>
  </customWorkbookViews>
</workbook>
</file>

<file path=xl/calcChain.xml><?xml version="1.0" encoding="utf-8"?>
<calcChain xmlns="http://schemas.openxmlformats.org/spreadsheetml/2006/main">
  <c r="I2" i="72" l="1"/>
  <c r="F14" i="73"/>
  <c r="D14" i="73"/>
  <c r="C14" i="73"/>
  <c r="B14" i="73"/>
  <c r="F2" i="73"/>
  <c r="E24" i="69"/>
  <c r="E26" i="69"/>
  <c r="E36" i="69"/>
  <c r="D36" i="69"/>
  <c r="D26" i="69"/>
  <c r="D27" i="69"/>
  <c r="D24" i="69"/>
  <c r="D73" i="69"/>
  <c r="J286" i="46"/>
  <c r="F20" i="39"/>
  <c r="O164" i="46"/>
  <c r="M164" i="46"/>
  <c r="C164" i="46"/>
  <c r="E49" i="39"/>
  <c r="D49" i="39"/>
  <c r="B2" i="71"/>
  <c r="B12" i="71"/>
  <c r="B10" i="71"/>
  <c r="B8" i="71"/>
  <c r="B2" i="70"/>
  <c r="E2" i="69"/>
  <c r="E113" i="69"/>
  <c r="E100" i="69"/>
  <c r="E99" i="69"/>
  <c r="E98" i="69"/>
  <c r="E93" i="69"/>
  <c r="D93" i="69"/>
  <c r="D54" i="69"/>
  <c r="D46" i="69"/>
  <c r="E32" i="69"/>
  <c r="E30" i="69"/>
  <c r="E28" i="69"/>
  <c r="D32" i="69"/>
  <c r="D30" i="69"/>
  <c r="E27" i="69"/>
  <c r="E23" i="69"/>
  <c r="E21" i="69"/>
  <c r="E19" i="69"/>
  <c r="D23" i="69"/>
  <c r="D21" i="69"/>
  <c r="D19" i="69"/>
  <c r="E11" i="69"/>
  <c r="E9" i="69"/>
  <c r="D11" i="69"/>
  <c r="D9" i="69"/>
  <c r="C33" i="68"/>
  <c r="C30" i="68"/>
  <c r="C34" i="68"/>
  <c r="C23" i="68"/>
  <c r="C19" i="68"/>
  <c r="C15" i="68"/>
  <c r="C10" i="68"/>
  <c r="C26" i="68"/>
  <c r="C35" i="68"/>
  <c r="E2" i="68"/>
  <c r="E33" i="68"/>
  <c r="D33" i="68"/>
  <c r="E30" i="68"/>
  <c r="E34" i="68"/>
  <c r="D30" i="68"/>
  <c r="D34" i="68"/>
  <c r="E23" i="68"/>
  <c r="D23" i="68"/>
  <c r="E19" i="68"/>
  <c r="D19" i="68"/>
  <c r="E15" i="68"/>
  <c r="D15" i="68"/>
  <c r="E10" i="68"/>
  <c r="D10" i="68"/>
  <c r="D26" i="68"/>
  <c r="D81" i="67"/>
  <c r="D77" i="67"/>
  <c r="D71" i="67"/>
  <c r="D73" i="67"/>
  <c r="D70" i="67"/>
  <c r="D66" i="67"/>
  <c r="D63" i="67"/>
  <c r="D59" i="67"/>
  <c r="D56" i="67"/>
  <c r="D55" i="67"/>
  <c r="D48" i="67"/>
  <c r="D51" i="67"/>
  <c r="D45" i="67"/>
  <c r="D47" i="67"/>
  <c r="D36" i="67"/>
  <c r="D32" i="67"/>
  <c r="D44" i="67"/>
  <c r="D30" i="67"/>
  <c r="D31" i="67"/>
  <c r="B8" i="70"/>
  <c r="D27" i="67"/>
  <c r="D25" i="67"/>
  <c r="D22" i="67"/>
  <c r="D23" i="67"/>
  <c r="D15" i="67"/>
  <c r="D19" i="67"/>
  <c r="D14" i="67"/>
  <c r="D20" i="67"/>
  <c r="D10" i="67"/>
  <c r="F2" i="67"/>
  <c r="F81" i="67"/>
  <c r="E81" i="67"/>
  <c r="F77" i="67"/>
  <c r="E77" i="67"/>
  <c r="F71" i="67"/>
  <c r="F73" i="67"/>
  <c r="E71" i="67"/>
  <c r="E73" i="67"/>
  <c r="E78" i="67"/>
  <c r="F70" i="67"/>
  <c r="E70" i="67"/>
  <c r="F66" i="67"/>
  <c r="E66" i="67"/>
  <c r="E82" i="67"/>
  <c r="F63" i="67"/>
  <c r="E63" i="67"/>
  <c r="F59" i="67"/>
  <c r="D102" i="69"/>
  <c r="E102" i="69"/>
  <c r="E59" i="67"/>
  <c r="F55" i="67"/>
  <c r="F56" i="67"/>
  <c r="D101" i="69"/>
  <c r="E101" i="69"/>
  <c r="E55" i="67"/>
  <c r="E56" i="67"/>
  <c r="E51" i="67"/>
  <c r="F48" i="67"/>
  <c r="F51" i="67"/>
  <c r="E48" i="67"/>
  <c r="E47" i="67"/>
  <c r="F45" i="67"/>
  <c r="F47" i="67"/>
  <c r="F36" i="67"/>
  <c r="E36" i="67"/>
  <c r="E52" i="67"/>
  <c r="F32" i="67"/>
  <c r="F44" i="67"/>
  <c r="E32" i="67"/>
  <c r="E44" i="67"/>
  <c r="F30" i="67"/>
  <c r="E30" i="67"/>
  <c r="F27" i="67"/>
  <c r="F31" i="67"/>
  <c r="E27" i="67"/>
  <c r="F25" i="67"/>
  <c r="E25" i="67"/>
  <c r="E31" i="67"/>
  <c r="F22" i="67"/>
  <c r="F23" i="67"/>
  <c r="E22" i="67"/>
  <c r="E23" i="67"/>
  <c r="F15" i="67"/>
  <c r="F19" i="67"/>
  <c r="E15" i="67"/>
  <c r="E19" i="67"/>
  <c r="F14" i="67"/>
  <c r="E14" i="67"/>
  <c r="F10" i="67"/>
  <c r="E10" i="67"/>
  <c r="E20" i="67"/>
  <c r="C2" i="66"/>
  <c r="C13" i="66"/>
  <c r="C10" i="66"/>
  <c r="C14" i="66"/>
  <c r="G47" i="39"/>
  <c r="G50" i="39"/>
  <c r="G28" i="39"/>
  <c r="G19" i="39"/>
  <c r="G46" i="39"/>
  <c r="G44" i="39"/>
  <c r="G43" i="39"/>
  <c r="G39" i="39"/>
  <c r="G37" i="39"/>
  <c r="G34" i="39"/>
  <c r="G33" i="39"/>
  <c r="G32" i="39"/>
  <c r="G27" i="39"/>
  <c r="G26" i="39"/>
  <c r="G25" i="39"/>
  <c r="G22" i="39"/>
  <c r="G21" i="39"/>
  <c r="G39" i="58"/>
  <c r="G42" i="58"/>
  <c r="G43" i="58"/>
  <c r="G44" i="58"/>
  <c r="G17" i="58"/>
  <c r="G54" i="58"/>
  <c r="G52" i="58"/>
  <c r="G32" i="58"/>
  <c r="G28" i="58"/>
  <c r="G27" i="58"/>
  <c r="G15" i="58"/>
  <c r="G14" i="58"/>
  <c r="G11" i="58"/>
  <c r="G10" i="58"/>
  <c r="G9" i="58"/>
  <c r="G8" i="58"/>
  <c r="H14" i="57"/>
  <c r="H15" i="57"/>
  <c r="H16" i="57"/>
  <c r="H17" i="57"/>
  <c r="H18" i="57"/>
  <c r="H19" i="57"/>
  <c r="H22" i="57"/>
  <c r="H25" i="57"/>
  <c r="H29" i="57"/>
  <c r="H43" i="57"/>
  <c r="H45" i="57"/>
  <c r="H46" i="57"/>
  <c r="H52" i="57"/>
  <c r="H56" i="57"/>
  <c r="H58" i="57"/>
  <c r="H59" i="57"/>
  <c r="H60" i="57"/>
  <c r="H67" i="57"/>
  <c r="H73" i="57"/>
  <c r="H74" i="57"/>
  <c r="H79" i="57"/>
  <c r="H82" i="57"/>
  <c r="H84" i="57"/>
  <c r="H86" i="57"/>
  <c r="H87" i="57"/>
  <c r="H90" i="57"/>
  <c r="H91" i="57"/>
  <c r="H104" i="57"/>
  <c r="G9" i="36"/>
  <c r="G10" i="36"/>
  <c r="G11" i="36"/>
  <c r="G12" i="36"/>
  <c r="G13" i="36"/>
  <c r="G14" i="36"/>
  <c r="G16" i="36"/>
  <c r="G17" i="36"/>
  <c r="G18" i="36"/>
  <c r="G19" i="36"/>
  <c r="G20" i="36"/>
  <c r="G22" i="36"/>
  <c r="G23" i="36"/>
  <c r="G24" i="36"/>
  <c r="G25" i="36"/>
  <c r="G26" i="36"/>
  <c r="G27" i="36"/>
  <c r="G29" i="36"/>
  <c r="G30" i="36"/>
  <c r="G31" i="36"/>
  <c r="G32" i="36"/>
  <c r="G33" i="36"/>
  <c r="G34" i="36"/>
  <c r="G35" i="36"/>
  <c r="G36" i="36"/>
  <c r="G37" i="36"/>
  <c r="G38" i="36"/>
  <c r="G40" i="36"/>
  <c r="G41" i="36"/>
  <c r="G42" i="36"/>
  <c r="G43" i="36"/>
  <c r="G44" i="36"/>
  <c r="G46" i="36"/>
  <c r="G47" i="36"/>
  <c r="G48" i="36"/>
  <c r="G50" i="36"/>
  <c r="G51" i="36"/>
  <c r="G52" i="36"/>
  <c r="A22" i="44"/>
  <c r="P22" i="44"/>
  <c r="A17" i="44"/>
  <c r="H13" i="44"/>
  <c r="H22" i="44"/>
  <c r="G13" i="44"/>
  <c r="G22" i="44"/>
  <c r="A12" i="44"/>
  <c r="A13" i="44"/>
  <c r="M13" i="44"/>
  <c r="G17" i="51"/>
  <c r="G22" i="51"/>
  <c r="D22" i="51"/>
  <c r="K22" i="51"/>
  <c r="M13" i="51"/>
  <c r="M22" i="51"/>
  <c r="C286" i="46"/>
  <c r="P286" i="46"/>
  <c r="Q286" i="46"/>
  <c r="N277" i="46"/>
  <c r="Q282" i="46"/>
  <c r="M277" i="46"/>
  <c r="G277" i="46"/>
  <c r="C277" i="46"/>
  <c r="O277" i="46"/>
  <c r="L277" i="46"/>
  <c r="K277" i="46"/>
  <c r="J277" i="46"/>
  <c r="I277" i="46"/>
  <c r="H277" i="46"/>
  <c r="F277" i="46"/>
  <c r="E277" i="46"/>
  <c r="D277" i="46"/>
  <c r="O274" i="46"/>
  <c r="N274" i="46"/>
  <c r="M274" i="46"/>
  <c r="L274" i="46"/>
  <c r="K274" i="46"/>
  <c r="J274" i="46"/>
  <c r="I274" i="46"/>
  <c r="H274" i="46"/>
  <c r="G274" i="46"/>
  <c r="F274" i="46"/>
  <c r="E274" i="46"/>
  <c r="D274" i="46"/>
  <c r="Q274" i="46"/>
  <c r="C274" i="46"/>
  <c r="P272" i="46"/>
  <c r="F252" i="46"/>
  <c r="Q271" i="46"/>
  <c r="P268" i="46"/>
  <c r="Q267" i="46"/>
  <c r="M252" i="46"/>
  <c r="Q265" i="46"/>
  <c r="P258" i="46"/>
  <c r="Q256" i="46"/>
  <c r="N252" i="46"/>
  <c r="Q253" i="46"/>
  <c r="O252" i="46"/>
  <c r="L252" i="46"/>
  <c r="L285" i="46"/>
  <c r="K252" i="46"/>
  <c r="J252" i="46"/>
  <c r="I252" i="46"/>
  <c r="H252" i="46"/>
  <c r="G252" i="46"/>
  <c r="C252" i="46"/>
  <c r="O249" i="46"/>
  <c r="N249" i="46"/>
  <c r="M249" i="46"/>
  <c r="L249" i="46"/>
  <c r="K249" i="46"/>
  <c r="J249" i="46"/>
  <c r="I249" i="46"/>
  <c r="H249" i="46"/>
  <c r="G249" i="46"/>
  <c r="F249" i="46"/>
  <c r="E249" i="46"/>
  <c r="D249" i="46"/>
  <c r="C249" i="46"/>
  <c r="Q248" i="46"/>
  <c r="P247" i="46"/>
  <c r="F239" i="46"/>
  <c r="D239" i="46"/>
  <c r="Q245" i="46"/>
  <c r="C239" i="46"/>
  <c r="O239" i="46"/>
  <c r="O285" i="46"/>
  <c r="N239" i="46"/>
  <c r="M239" i="46"/>
  <c r="L239" i="46"/>
  <c r="K239" i="46"/>
  <c r="J239" i="46"/>
  <c r="I239" i="46"/>
  <c r="H239" i="46"/>
  <c r="H285" i="46"/>
  <c r="G239" i="46"/>
  <c r="E239" i="46"/>
  <c r="O238" i="46"/>
  <c r="N238" i="46"/>
  <c r="L238" i="46"/>
  <c r="K238" i="46"/>
  <c r="J238" i="46"/>
  <c r="I238" i="46"/>
  <c r="H238" i="46"/>
  <c r="G238" i="46"/>
  <c r="F238" i="46"/>
  <c r="C238" i="46"/>
  <c r="D238" i="46"/>
  <c r="M238" i="46"/>
  <c r="E238" i="46"/>
  <c r="J235" i="46"/>
  <c r="C228" i="46"/>
  <c r="C235" i="46"/>
  <c r="O228" i="46"/>
  <c r="N228" i="46"/>
  <c r="M228" i="46"/>
  <c r="L228" i="46"/>
  <c r="K228" i="46"/>
  <c r="J228" i="46"/>
  <c r="I228" i="46"/>
  <c r="H228" i="46"/>
  <c r="G228" i="46"/>
  <c r="F228" i="46"/>
  <c r="E228" i="46"/>
  <c r="D228" i="46"/>
  <c r="Q227" i="46"/>
  <c r="O223" i="46"/>
  <c r="P224" i="46"/>
  <c r="D210" i="46"/>
  <c r="C212" i="46"/>
  <c r="N210" i="46"/>
  <c r="N205" i="46"/>
  <c r="E210" i="46"/>
  <c r="F206" i="46"/>
  <c r="K206" i="46"/>
  <c r="E206" i="46"/>
  <c r="I206" i="46"/>
  <c r="D206" i="46"/>
  <c r="C206" i="46"/>
  <c r="J206" i="46"/>
  <c r="J205" i="46"/>
  <c r="M206" i="46"/>
  <c r="K200" i="46"/>
  <c r="D200" i="46"/>
  <c r="F200" i="46"/>
  <c r="E196" i="46"/>
  <c r="P196" i="46"/>
  <c r="F199" i="46"/>
  <c r="D199" i="46"/>
  <c r="D195" i="46"/>
  <c r="P195" i="46"/>
  <c r="C194" i="46"/>
  <c r="P194" i="46"/>
  <c r="C193" i="46"/>
  <c r="P193" i="46"/>
  <c r="C183" i="46"/>
  <c r="F184" i="46"/>
  <c r="E184" i="46"/>
  <c r="C184" i="46"/>
  <c r="D184" i="46"/>
  <c r="E176" i="46"/>
  <c r="E173" i="46"/>
  <c r="N175" i="46"/>
  <c r="K175" i="46"/>
  <c r="K174" i="46"/>
  <c r="F173" i="46"/>
  <c r="F167" i="46"/>
  <c r="D176" i="46"/>
  <c r="P176" i="46"/>
  <c r="D173" i="46"/>
  <c r="D174" i="46"/>
  <c r="P174" i="46"/>
  <c r="C175" i="46"/>
  <c r="C173" i="46"/>
  <c r="C170" i="46"/>
  <c r="Q170" i="46"/>
  <c r="D165" i="46"/>
  <c r="P165" i="46"/>
  <c r="C165" i="46"/>
  <c r="C160" i="46"/>
  <c r="P160" i="46"/>
  <c r="C159" i="46"/>
  <c r="E155" i="46"/>
  <c r="O155" i="46"/>
  <c r="O163" i="46"/>
  <c r="C104" i="60"/>
  <c r="F102" i="57"/>
  <c r="H102" i="57"/>
  <c r="E9" i="39"/>
  <c r="F66" i="36"/>
  <c r="E18" i="39"/>
  <c r="G18" i="39"/>
  <c r="D205" i="46"/>
  <c r="C168" i="46"/>
  <c r="Q168" i="46"/>
  <c r="C91" i="60"/>
  <c r="C210" i="46"/>
  <c r="C89" i="60"/>
  <c r="C85" i="60"/>
  <c r="C79" i="60"/>
  <c r="G181" i="46"/>
  <c r="C181" i="46"/>
  <c r="C200" i="46"/>
  <c r="P200" i="46"/>
  <c r="C74" i="60"/>
  <c r="K181" i="46"/>
  <c r="K180" i="46"/>
  <c r="E175" i="46"/>
  <c r="D175" i="46"/>
  <c r="E31" i="39"/>
  <c r="G31" i="39"/>
  <c r="E24" i="39"/>
  <c r="E23" i="39"/>
  <c r="E20" i="39"/>
  <c r="G20" i="39"/>
  <c r="G93" i="57"/>
  <c r="F93" i="57"/>
  <c r="F92" i="57"/>
  <c r="H16" i="51"/>
  <c r="H21" i="51"/>
  <c r="D58" i="36"/>
  <c r="E58" i="36"/>
  <c r="F58" i="36"/>
  <c r="G58" i="36"/>
  <c r="C58" i="36"/>
  <c r="F89" i="57"/>
  <c r="H89" i="57"/>
  <c r="G89" i="57"/>
  <c r="D89" i="57"/>
  <c r="C41" i="60"/>
  <c r="E85" i="57"/>
  <c r="E83" i="57"/>
  <c r="F15" i="51"/>
  <c r="F20" i="51"/>
  <c r="F85" i="57"/>
  <c r="F83" i="57"/>
  <c r="F16" i="51"/>
  <c r="G85" i="57"/>
  <c r="D85" i="57"/>
  <c r="D83" i="57"/>
  <c r="C45" i="36"/>
  <c r="F36" i="39"/>
  <c r="E36" i="39"/>
  <c r="F16" i="44"/>
  <c r="I16" i="44"/>
  <c r="N16" i="44"/>
  <c r="D36" i="39"/>
  <c r="C80" i="60"/>
  <c r="I182" i="46"/>
  <c r="Q182" i="46"/>
  <c r="G71" i="57"/>
  <c r="F28" i="36"/>
  <c r="F76" i="57"/>
  <c r="F70" i="57"/>
  <c r="H70" i="57"/>
  <c r="E114" i="60"/>
  <c r="D13" i="58"/>
  <c r="E13" i="58"/>
  <c r="F13" i="58"/>
  <c r="G13" i="58"/>
  <c r="C13" i="58"/>
  <c r="C12" i="58"/>
  <c r="E40" i="58"/>
  <c r="D41" i="58"/>
  <c r="E41" i="58"/>
  <c r="F41" i="58"/>
  <c r="G41" i="58"/>
  <c r="C41" i="58"/>
  <c r="E19" i="58"/>
  <c r="G54" i="57"/>
  <c r="F55" i="57"/>
  <c r="F45" i="39"/>
  <c r="E45" i="39"/>
  <c r="G45" i="39"/>
  <c r="D45" i="39"/>
  <c r="D40" i="39"/>
  <c r="C45" i="39"/>
  <c r="C40" i="39"/>
  <c r="F14" i="44"/>
  <c r="I14" i="44"/>
  <c r="D42" i="39"/>
  <c r="E42" i="39"/>
  <c r="E40" i="39"/>
  <c r="F42" i="39"/>
  <c r="G42" i="39"/>
  <c r="C42" i="39"/>
  <c r="Q254" i="46"/>
  <c r="F40" i="57"/>
  <c r="H40" i="57"/>
  <c r="F29" i="57"/>
  <c r="F20" i="57"/>
  <c r="H20" i="57"/>
  <c r="E71" i="36"/>
  <c r="F71" i="36"/>
  <c r="E72" i="36"/>
  <c r="F72" i="36"/>
  <c r="E74" i="36"/>
  <c r="E73" i="36"/>
  <c r="F74" i="36"/>
  <c r="F73" i="36"/>
  <c r="G74" i="36"/>
  <c r="E49" i="36"/>
  <c r="F49" i="36"/>
  <c r="E57" i="36"/>
  <c r="F57" i="36"/>
  <c r="G103" i="57"/>
  <c r="H103" i="57"/>
  <c r="F103" i="57"/>
  <c r="F60" i="36"/>
  <c r="F56" i="36"/>
  <c r="G49" i="57"/>
  <c r="G42" i="57"/>
  <c r="H42" i="57"/>
  <c r="G37" i="57"/>
  <c r="F90" i="57"/>
  <c r="G16" i="51"/>
  <c r="G21" i="51"/>
  <c r="F69" i="57"/>
  <c r="F68" i="57"/>
  <c r="F65" i="57"/>
  <c r="H65" i="57"/>
  <c r="F64" i="57"/>
  <c r="H64" i="57"/>
  <c r="F62" i="57"/>
  <c r="H62" i="57"/>
  <c r="F49" i="57"/>
  <c r="F48" i="57"/>
  <c r="F43" i="57"/>
  <c r="F42" i="57"/>
  <c r="F41" i="57"/>
  <c r="H41" i="57"/>
  <c r="F37" i="57"/>
  <c r="G6" i="57"/>
  <c r="G30" i="57"/>
  <c r="G13" i="57"/>
  <c r="H13" i="57"/>
  <c r="F33" i="57"/>
  <c r="F30" i="57"/>
  <c r="F13" i="57"/>
  <c r="F52" i="58"/>
  <c r="L17" i="44"/>
  <c r="L22" i="44"/>
  <c r="F48" i="58"/>
  <c r="F45" i="58"/>
  <c r="F46" i="58"/>
  <c r="F38" i="58"/>
  <c r="E52" i="58"/>
  <c r="L16" i="44"/>
  <c r="L21" i="44"/>
  <c r="E48" i="58"/>
  <c r="E45" i="58"/>
  <c r="E46" i="58"/>
  <c r="E39" i="58"/>
  <c r="E38" i="58"/>
  <c r="E37" i="58"/>
  <c r="F6" i="58"/>
  <c r="F33" i="58"/>
  <c r="F61" i="36"/>
  <c r="F31" i="58"/>
  <c r="G31" i="58"/>
  <c r="F20" i="58"/>
  <c r="F39" i="36"/>
  <c r="F18" i="58"/>
  <c r="E33" i="58"/>
  <c r="E61" i="36"/>
  <c r="E31" i="58"/>
  <c r="L16" i="51"/>
  <c r="L21" i="51"/>
  <c r="E20" i="58"/>
  <c r="E39" i="36"/>
  <c r="E18" i="58"/>
  <c r="F6" i="39"/>
  <c r="F48" i="39"/>
  <c r="F13" i="44"/>
  <c r="F38" i="39"/>
  <c r="E48" i="39"/>
  <c r="E38" i="39"/>
  <c r="G38" i="39"/>
  <c r="E35" i="39"/>
  <c r="G35" i="39"/>
  <c r="E29" i="39"/>
  <c r="G29" i="39"/>
  <c r="P290" i="46"/>
  <c r="C288" i="46"/>
  <c r="Q288" i="46"/>
  <c r="C287" i="46"/>
  <c r="Q287" i="46"/>
  <c r="Q284" i="46"/>
  <c r="Q283" i="46"/>
  <c r="P283" i="46"/>
  <c r="Q281" i="46"/>
  <c r="P281" i="46"/>
  <c r="Q280" i="46"/>
  <c r="P280" i="46"/>
  <c r="Q279" i="46"/>
  <c r="P279" i="46"/>
  <c r="Q276" i="46"/>
  <c r="P276" i="46"/>
  <c r="Q275" i="46"/>
  <c r="P275" i="46"/>
  <c r="Q273" i="46"/>
  <c r="P273" i="46"/>
  <c r="P270" i="46"/>
  <c r="Q270" i="46"/>
  <c r="Q269" i="46"/>
  <c r="P269" i="46"/>
  <c r="Q268" i="46"/>
  <c r="P266" i="46"/>
  <c r="Q266" i="46"/>
  <c r="Q264" i="46"/>
  <c r="P264" i="46"/>
  <c r="Q263" i="46"/>
  <c r="P263" i="46"/>
  <c r="Q262" i="46"/>
  <c r="P262" i="46"/>
  <c r="Q261" i="46"/>
  <c r="P261" i="46"/>
  <c r="Q260" i="46"/>
  <c r="P260" i="46"/>
  <c r="P259" i="46"/>
  <c r="Q259" i="46"/>
  <c r="Q258" i="46"/>
  <c r="Q257" i="46"/>
  <c r="P257" i="46"/>
  <c r="P256" i="46"/>
  <c r="Q255" i="46"/>
  <c r="P255" i="46"/>
  <c r="P253" i="46"/>
  <c r="Q251" i="46"/>
  <c r="P251" i="46"/>
  <c r="Q250" i="46"/>
  <c r="P250" i="46"/>
  <c r="P248" i="46"/>
  <c r="Q246" i="46"/>
  <c r="P246" i="46"/>
  <c r="Q244" i="46"/>
  <c r="P244" i="46"/>
  <c r="Q243" i="46"/>
  <c r="P243" i="46"/>
  <c r="Q241" i="46"/>
  <c r="P241" i="46"/>
  <c r="Q240" i="46"/>
  <c r="P240" i="46"/>
  <c r="P237" i="46"/>
  <c r="Q234" i="46"/>
  <c r="P234" i="46"/>
  <c r="Q233" i="46"/>
  <c r="P233" i="46"/>
  <c r="Q231" i="46"/>
  <c r="P231" i="46"/>
  <c r="Q230" i="46"/>
  <c r="P230" i="46"/>
  <c r="Q229" i="46"/>
  <c r="P229" i="46"/>
  <c r="Q226" i="46"/>
  <c r="P226" i="46"/>
  <c r="Q225" i="46"/>
  <c r="P225" i="46"/>
  <c r="D223" i="46"/>
  <c r="D235" i="46"/>
  <c r="N223" i="46"/>
  <c r="N235" i="46"/>
  <c r="M223" i="46"/>
  <c r="M235" i="46"/>
  <c r="L223" i="46"/>
  <c r="K223" i="46"/>
  <c r="K235" i="46"/>
  <c r="J223" i="46"/>
  <c r="I223" i="46"/>
  <c r="I235" i="46"/>
  <c r="H223" i="46"/>
  <c r="G223" i="46"/>
  <c r="G235" i="46"/>
  <c r="F223" i="46"/>
  <c r="F235" i="46"/>
  <c r="C223" i="46"/>
  <c r="P218" i="46"/>
  <c r="C216" i="46"/>
  <c r="Q216" i="46"/>
  <c r="C215" i="46"/>
  <c r="Q215" i="46"/>
  <c r="J214" i="46"/>
  <c r="P214" i="46"/>
  <c r="C214" i="46"/>
  <c r="M212" i="46"/>
  <c r="K212" i="46"/>
  <c r="Q211" i="46"/>
  <c r="P211" i="46"/>
  <c r="M210" i="46"/>
  <c r="Q209" i="46"/>
  <c r="P209" i="46"/>
  <c r="Q208" i="46"/>
  <c r="P208" i="46"/>
  <c r="Q207" i="46"/>
  <c r="P207" i="46"/>
  <c r="G206" i="46"/>
  <c r="G205" i="46"/>
  <c r="O205" i="46"/>
  <c r="L205" i="46"/>
  <c r="K205" i="46"/>
  <c r="I205" i="46"/>
  <c r="H205" i="46"/>
  <c r="F205" i="46"/>
  <c r="K204" i="46"/>
  <c r="C204" i="46"/>
  <c r="Q203" i="46"/>
  <c r="P203" i="46"/>
  <c r="O202" i="46"/>
  <c r="N202" i="46"/>
  <c r="M202" i="46"/>
  <c r="L202" i="46"/>
  <c r="K202" i="46"/>
  <c r="J202" i="46"/>
  <c r="I202" i="46"/>
  <c r="H202" i="46"/>
  <c r="G202" i="46"/>
  <c r="F202" i="46"/>
  <c r="E202" i="46"/>
  <c r="D202" i="46"/>
  <c r="Q201" i="46"/>
  <c r="P201" i="46"/>
  <c r="N200" i="46"/>
  <c r="C199" i="46"/>
  <c r="Q198" i="46"/>
  <c r="P198" i="46"/>
  <c r="D198" i="46"/>
  <c r="Q197" i="46"/>
  <c r="D197" i="46"/>
  <c r="P197" i="46"/>
  <c r="Q196" i="46"/>
  <c r="Q195" i="46"/>
  <c r="M194" i="46"/>
  <c r="M193" i="46"/>
  <c r="Q193" i="46"/>
  <c r="Q192" i="46"/>
  <c r="P192" i="46"/>
  <c r="Q191" i="46"/>
  <c r="P191" i="46"/>
  <c r="Q190" i="46"/>
  <c r="P190" i="46"/>
  <c r="M189" i="46"/>
  <c r="Q188" i="46"/>
  <c r="P188" i="46"/>
  <c r="P187" i="46"/>
  <c r="C187" i="46"/>
  <c r="Q187" i="46"/>
  <c r="C186" i="46"/>
  <c r="Q185" i="46"/>
  <c r="P185" i="46"/>
  <c r="K184" i="46"/>
  <c r="P183" i="46"/>
  <c r="N181" i="46"/>
  <c r="N180" i="46"/>
  <c r="D181" i="46"/>
  <c r="O180" i="46"/>
  <c r="O213" i="46"/>
  <c r="L180" i="46"/>
  <c r="J180" i="46"/>
  <c r="J213" i="46"/>
  <c r="H180" i="46"/>
  <c r="G180" i="46"/>
  <c r="Q179" i="46"/>
  <c r="P179" i="46"/>
  <c r="Q177" i="46"/>
  <c r="P178" i="46"/>
  <c r="C178" i="46"/>
  <c r="Q178" i="46"/>
  <c r="O177" i="46"/>
  <c r="N177" i="46"/>
  <c r="M177" i="46"/>
  <c r="L177" i="46"/>
  <c r="L213" i="46"/>
  <c r="K177" i="46"/>
  <c r="J177" i="46"/>
  <c r="I177" i="46"/>
  <c r="H177" i="46"/>
  <c r="G177" i="46"/>
  <c r="F177" i="46"/>
  <c r="E177" i="46"/>
  <c r="D177" i="46"/>
  <c r="P177" i="46"/>
  <c r="C177" i="46"/>
  <c r="Q176" i="46"/>
  <c r="Q172" i="46"/>
  <c r="P172" i="46"/>
  <c r="Q171" i="46"/>
  <c r="P171" i="46"/>
  <c r="Q169" i="46"/>
  <c r="P169" i="46"/>
  <c r="P168" i="46"/>
  <c r="O167" i="46"/>
  <c r="N167" i="46"/>
  <c r="M167" i="46"/>
  <c r="L167" i="46"/>
  <c r="K167" i="46"/>
  <c r="J167" i="46"/>
  <c r="I167" i="46"/>
  <c r="H167" i="46"/>
  <c r="G167" i="46"/>
  <c r="E167" i="46"/>
  <c r="N166" i="46"/>
  <c r="L166" i="46"/>
  <c r="K166" i="46"/>
  <c r="J166" i="46"/>
  <c r="I166" i="46"/>
  <c r="H166" i="46"/>
  <c r="G166" i="46"/>
  <c r="F166" i="46"/>
  <c r="Q165" i="46"/>
  <c r="O166" i="46"/>
  <c r="M166" i="46"/>
  <c r="E164" i="46"/>
  <c r="E166" i="46"/>
  <c r="D164" i="46"/>
  <c r="Q162" i="46"/>
  <c r="P162" i="46"/>
  <c r="Q161" i="46"/>
  <c r="P161" i="46"/>
  <c r="P159" i="46"/>
  <c r="Q158" i="46"/>
  <c r="P158" i="46"/>
  <c r="Q157" i="46"/>
  <c r="P157" i="46"/>
  <c r="O156" i="46"/>
  <c r="N156" i="46"/>
  <c r="M156" i="46"/>
  <c r="L156" i="46"/>
  <c r="K156" i="46"/>
  <c r="J156" i="46"/>
  <c r="I156" i="46"/>
  <c r="H156" i="46"/>
  <c r="G156" i="46"/>
  <c r="F156" i="46"/>
  <c r="E156" i="46"/>
  <c r="D156" i="46"/>
  <c r="D155" i="46"/>
  <c r="D151" i="46"/>
  <c r="Q154" i="46"/>
  <c r="P154" i="46"/>
  <c r="E153" i="46"/>
  <c r="O152" i="46"/>
  <c r="O151" i="46"/>
  <c r="E152" i="46"/>
  <c r="D152" i="46"/>
  <c r="N151" i="46"/>
  <c r="N163" i="46"/>
  <c r="M151" i="46"/>
  <c r="M163" i="46"/>
  <c r="L151" i="46"/>
  <c r="L163" i="46"/>
  <c r="K151" i="46"/>
  <c r="K163" i="46"/>
  <c r="J151" i="46"/>
  <c r="J163" i="46"/>
  <c r="I151" i="46"/>
  <c r="I163" i="46"/>
  <c r="H151" i="46"/>
  <c r="H163" i="46"/>
  <c r="G151" i="46"/>
  <c r="G163" i="46"/>
  <c r="F151" i="46"/>
  <c r="F163" i="46"/>
  <c r="D163" i="46"/>
  <c r="C151" i="46"/>
  <c r="D18" i="39"/>
  <c r="E92" i="46"/>
  <c r="D92" i="46"/>
  <c r="E102" i="57"/>
  <c r="I134" i="46"/>
  <c r="I110" i="46"/>
  <c r="Q110" i="46"/>
  <c r="E76" i="57"/>
  <c r="E71" i="57"/>
  <c r="D28" i="36"/>
  <c r="D31" i="39"/>
  <c r="D54" i="57"/>
  <c r="E55" i="57"/>
  <c r="E54" i="57"/>
  <c r="D29" i="39"/>
  <c r="D126" i="46"/>
  <c r="D48" i="39"/>
  <c r="F134" i="46"/>
  <c r="E134" i="46"/>
  <c r="E133" i="46"/>
  <c r="D83" i="46"/>
  <c r="C18" i="60"/>
  <c r="C16" i="58"/>
  <c r="D18" i="58"/>
  <c r="D16" i="58"/>
  <c r="E94" i="46"/>
  <c r="E81" i="46"/>
  <c r="Q81" i="46"/>
  <c r="D138" i="46"/>
  <c r="C132" i="46"/>
  <c r="C130" i="46"/>
  <c r="Q130" i="46"/>
  <c r="K132" i="46"/>
  <c r="K140" i="46"/>
  <c r="K133" i="46"/>
  <c r="C115" i="46"/>
  <c r="Q115" i="46"/>
  <c r="C114" i="46"/>
  <c r="P114" i="46"/>
  <c r="D112" i="46"/>
  <c r="F112" i="46"/>
  <c r="F108" i="46"/>
  <c r="E112" i="46"/>
  <c r="C112" i="46"/>
  <c r="D103" i="46"/>
  <c r="K103" i="46"/>
  <c r="E29" i="57"/>
  <c r="E33" i="57"/>
  <c r="N22" i="53"/>
  <c r="C10" i="53"/>
  <c r="E68" i="57"/>
  <c r="E90" i="57"/>
  <c r="E89" i="57"/>
  <c r="G15" i="51"/>
  <c r="G20" i="51"/>
  <c r="K109" i="46"/>
  <c r="E83" i="46"/>
  <c r="Q83" i="46"/>
  <c r="E43" i="57"/>
  <c r="E42" i="57"/>
  <c r="D38" i="39"/>
  <c r="C142" i="46"/>
  <c r="M134" i="46"/>
  <c r="C134" i="46"/>
  <c r="C127" i="46"/>
  <c r="Q127" i="46"/>
  <c r="C128" i="46"/>
  <c r="M122" i="46"/>
  <c r="C122" i="46"/>
  <c r="K112" i="46"/>
  <c r="K102" i="46"/>
  <c r="P102" i="46"/>
  <c r="C98" i="46"/>
  <c r="P98" i="46"/>
  <c r="P82" i="46"/>
  <c r="Q82" i="46"/>
  <c r="G134" i="46"/>
  <c r="D134" i="46"/>
  <c r="D133" i="46"/>
  <c r="C106" i="46"/>
  <c r="C140" i="46"/>
  <c r="C138" i="46"/>
  <c r="F101" i="46"/>
  <c r="P101" i="46"/>
  <c r="E101" i="46"/>
  <c r="E95" i="46"/>
  <c r="N109" i="46"/>
  <c r="D109" i="46"/>
  <c r="D127" i="46"/>
  <c r="C92" i="46"/>
  <c r="D80" i="46"/>
  <c r="N128" i="46"/>
  <c r="K128" i="46"/>
  <c r="D125" i="46"/>
  <c r="P125" i="46"/>
  <c r="E69" i="57"/>
  <c r="E65" i="57"/>
  <c r="E64" i="57"/>
  <c r="E62" i="57"/>
  <c r="D39" i="58"/>
  <c r="D38" i="58"/>
  <c r="M140" i="46"/>
  <c r="M92" i="46"/>
  <c r="M121" i="46"/>
  <c r="M117" i="46"/>
  <c r="M138" i="46"/>
  <c r="O92" i="46"/>
  <c r="O80" i="46"/>
  <c r="E40" i="57"/>
  <c r="E80" i="46"/>
  <c r="Q80" i="46"/>
  <c r="E41" i="57"/>
  <c r="E48" i="57"/>
  <c r="E44" i="57"/>
  <c r="E20" i="57"/>
  <c r="D57" i="36"/>
  <c r="D35" i="39"/>
  <c r="D8" i="39"/>
  <c r="D20" i="39"/>
  <c r="D52" i="58"/>
  <c r="D48" i="58"/>
  <c r="D46" i="58"/>
  <c r="D33" i="58"/>
  <c r="D61" i="36"/>
  <c r="D31" i="58"/>
  <c r="D20" i="58"/>
  <c r="E103" i="57"/>
  <c r="E93" i="57"/>
  <c r="E92" i="57"/>
  <c r="H15" i="51"/>
  <c r="H20" i="51"/>
  <c r="E49" i="57"/>
  <c r="E37" i="57"/>
  <c r="E36" i="57"/>
  <c r="E30" i="57"/>
  <c r="E13" i="57"/>
  <c r="P146" i="46"/>
  <c r="C144" i="46"/>
  <c r="C143" i="46"/>
  <c r="P143" i="46"/>
  <c r="J142" i="46"/>
  <c r="Q139" i="46"/>
  <c r="P139" i="46"/>
  <c r="P138" i="46"/>
  <c r="Q137" i="46"/>
  <c r="P137" i="46"/>
  <c r="Q136" i="46"/>
  <c r="P136" i="46"/>
  <c r="Q135" i="46"/>
  <c r="P135" i="46"/>
  <c r="O133" i="46"/>
  <c r="N133" i="46"/>
  <c r="M133" i="46"/>
  <c r="L133" i="46"/>
  <c r="J133" i="46"/>
  <c r="I133" i="46"/>
  <c r="H133" i="46"/>
  <c r="G133" i="46"/>
  <c r="F133" i="46"/>
  <c r="Q131" i="46"/>
  <c r="P131" i="46"/>
  <c r="O130" i="46"/>
  <c r="N130" i="46"/>
  <c r="M130" i="46"/>
  <c r="L130" i="46"/>
  <c r="K130" i="46"/>
  <c r="J130" i="46"/>
  <c r="I130" i="46"/>
  <c r="H130" i="46"/>
  <c r="G130" i="46"/>
  <c r="F130" i="46"/>
  <c r="E130" i="46"/>
  <c r="D130" i="46"/>
  <c r="Q129" i="46"/>
  <c r="P129" i="46"/>
  <c r="D128" i="46"/>
  <c r="Q126" i="46"/>
  <c r="P126" i="46"/>
  <c r="Q125" i="46"/>
  <c r="Q124" i="46"/>
  <c r="P124" i="46"/>
  <c r="Q123" i="46"/>
  <c r="P123" i="46"/>
  <c r="Q120" i="46"/>
  <c r="P120" i="46"/>
  <c r="Q119" i="46"/>
  <c r="P119" i="46"/>
  <c r="Q118" i="46"/>
  <c r="P118" i="46"/>
  <c r="Q116" i="46"/>
  <c r="P116" i="46"/>
  <c r="Q113" i="46"/>
  <c r="P113" i="46"/>
  <c r="Q111" i="46"/>
  <c r="P111" i="46"/>
  <c r="O108" i="46"/>
  <c r="L108" i="46"/>
  <c r="J108" i="46"/>
  <c r="H108" i="46"/>
  <c r="G108" i="46"/>
  <c r="Q107" i="46"/>
  <c r="P107" i="46"/>
  <c r="Q105" i="46"/>
  <c r="Q106" i="46"/>
  <c r="P106" i="46"/>
  <c r="O105" i="46"/>
  <c r="N105" i="46"/>
  <c r="M105" i="46"/>
  <c r="L105" i="46"/>
  <c r="K105" i="46"/>
  <c r="J105" i="46"/>
  <c r="I105" i="46"/>
  <c r="H105" i="46"/>
  <c r="H141" i="46"/>
  <c r="G105" i="46"/>
  <c r="F105" i="46"/>
  <c r="E105" i="46"/>
  <c r="D105" i="46"/>
  <c r="C105" i="46"/>
  <c r="P105" i="46"/>
  <c r="Q104" i="46"/>
  <c r="P104" i="46"/>
  <c r="Q102" i="46"/>
  <c r="Q100" i="46"/>
  <c r="P100" i="46"/>
  <c r="Q99" i="46"/>
  <c r="P99" i="46"/>
  <c r="Q97" i="46"/>
  <c r="P97" i="46"/>
  <c r="Q96" i="46"/>
  <c r="P96" i="46"/>
  <c r="O95" i="46"/>
  <c r="O141" i="46"/>
  <c r="N95" i="46"/>
  <c r="M95" i="46"/>
  <c r="L95" i="46"/>
  <c r="J95" i="46"/>
  <c r="I95" i="46"/>
  <c r="H95" i="46"/>
  <c r="G95" i="46"/>
  <c r="C95" i="46"/>
  <c r="O94" i="46"/>
  <c r="N94" i="46"/>
  <c r="M94" i="46"/>
  <c r="L94" i="46"/>
  <c r="K94" i="46"/>
  <c r="J94" i="46"/>
  <c r="I94" i="46"/>
  <c r="H94" i="46"/>
  <c r="G94" i="46"/>
  <c r="F94" i="46"/>
  <c r="Q93" i="46"/>
  <c r="P93" i="46"/>
  <c r="Q90" i="46"/>
  <c r="P90" i="46"/>
  <c r="Q89" i="46"/>
  <c r="P89" i="46"/>
  <c r="Q88" i="46"/>
  <c r="P88" i="46"/>
  <c r="Q87" i="46"/>
  <c r="P87" i="46"/>
  <c r="Q86" i="46"/>
  <c r="P86" i="46"/>
  <c r="Q85" i="46"/>
  <c r="P85" i="46"/>
  <c r="O84" i="46"/>
  <c r="O91" i="46"/>
  <c r="N84" i="46"/>
  <c r="M84" i="46"/>
  <c r="L84" i="46"/>
  <c r="K84" i="46"/>
  <c r="J84" i="46"/>
  <c r="I84" i="46"/>
  <c r="H84" i="46"/>
  <c r="G84" i="46"/>
  <c r="F84" i="46"/>
  <c r="E84" i="46"/>
  <c r="D84" i="46"/>
  <c r="P84" i="46"/>
  <c r="C84" i="46"/>
  <c r="P81" i="46"/>
  <c r="P80" i="46"/>
  <c r="O79" i="46"/>
  <c r="N79" i="46"/>
  <c r="M79" i="46"/>
  <c r="L79" i="46"/>
  <c r="L91" i="46"/>
  <c r="K79" i="46"/>
  <c r="K91" i="46"/>
  <c r="J79" i="46"/>
  <c r="J91" i="46"/>
  <c r="I79" i="46"/>
  <c r="I91" i="46"/>
  <c r="H79" i="46"/>
  <c r="H91" i="46"/>
  <c r="G79" i="46"/>
  <c r="F79" i="46"/>
  <c r="F91" i="46"/>
  <c r="C79" i="46"/>
  <c r="N21" i="53"/>
  <c r="D93" i="57"/>
  <c r="D11" i="46"/>
  <c r="D102" i="57"/>
  <c r="O22" i="53"/>
  <c r="D10" i="63"/>
  <c r="D16" i="63"/>
  <c r="C5" i="63"/>
  <c r="C10" i="63"/>
  <c r="C12" i="63"/>
  <c r="C9" i="63"/>
  <c r="C15" i="63"/>
  <c r="C6" i="63"/>
  <c r="C14" i="63"/>
  <c r="C8" i="63"/>
  <c r="C7" i="63"/>
  <c r="C4" i="63"/>
  <c r="C16" i="63"/>
  <c r="C11" i="63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N19" i="65"/>
  <c r="O19" i="65"/>
  <c r="P19" i="65"/>
  <c r="R19" i="65"/>
  <c r="L19" i="65"/>
  <c r="S18" i="65"/>
  <c r="S20" i="65"/>
  <c r="N18" i="65"/>
  <c r="L18" i="65"/>
  <c r="O18" i="65"/>
  <c r="I18" i="65"/>
  <c r="F18" i="65"/>
  <c r="G18" i="65"/>
  <c r="E18" i="65"/>
  <c r="D18" i="65"/>
  <c r="C18" i="65"/>
  <c r="B18" i="65"/>
  <c r="N17" i="65"/>
  <c r="L17" i="65"/>
  <c r="I17" i="65"/>
  <c r="F17" i="65"/>
  <c r="E17" i="65"/>
  <c r="D17" i="65"/>
  <c r="C17" i="65"/>
  <c r="B17" i="65"/>
  <c r="N16" i="65"/>
  <c r="M16" i="65"/>
  <c r="L16" i="65"/>
  <c r="I16" i="65"/>
  <c r="I20" i="65"/>
  <c r="F16" i="65"/>
  <c r="E16" i="65"/>
  <c r="D16" i="65"/>
  <c r="C16" i="65"/>
  <c r="G16" i="65"/>
  <c r="B16" i="65"/>
  <c r="N15" i="65"/>
  <c r="M15" i="65"/>
  <c r="L15" i="65"/>
  <c r="I15" i="65"/>
  <c r="F15" i="65"/>
  <c r="E15" i="65"/>
  <c r="D15" i="65"/>
  <c r="G15" i="65"/>
  <c r="C15" i="65"/>
  <c r="B15" i="65"/>
  <c r="N14" i="65"/>
  <c r="L14" i="65"/>
  <c r="I14" i="65"/>
  <c r="O14" i="65"/>
  <c r="F14" i="65"/>
  <c r="E14" i="65"/>
  <c r="D14" i="65"/>
  <c r="G14" i="65"/>
  <c r="C14" i="65"/>
  <c r="P14" i="65"/>
  <c r="R14" i="65"/>
  <c r="B14" i="65"/>
  <c r="N13" i="65"/>
  <c r="L13" i="65"/>
  <c r="I13" i="65"/>
  <c r="F13" i="65"/>
  <c r="E13" i="65"/>
  <c r="D13" i="65"/>
  <c r="G13" i="65"/>
  <c r="C13" i="65"/>
  <c r="B13" i="65"/>
  <c r="N12" i="65"/>
  <c r="L12" i="65"/>
  <c r="O12" i="65"/>
  <c r="I12" i="65"/>
  <c r="F12" i="65"/>
  <c r="E12" i="65"/>
  <c r="D12" i="65"/>
  <c r="G12" i="65"/>
  <c r="P12" i="65"/>
  <c r="R12" i="65"/>
  <c r="C12" i="65"/>
  <c r="B12" i="65"/>
  <c r="N11" i="65"/>
  <c r="M11" i="65"/>
  <c r="L11" i="65"/>
  <c r="I11" i="65"/>
  <c r="F11" i="65"/>
  <c r="E11" i="65"/>
  <c r="D11" i="65"/>
  <c r="C11" i="65"/>
  <c r="G11" i="65"/>
  <c r="B11" i="65"/>
  <c r="N10" i="65"/>
  <c r="M10" i="65"/>
  <c r="L10" i="65"/>
  <c r="I10" i="65"/>
  <c r="F10" i="65"/>
  <c r="E10" i="65"/>
  <c r="D10" i="65"/>
  <c r="C10" i="65"/>
  <c r="B10" i="65"/>
  <c r="N9" i="65"/>
  <c r="O9" i="65"/>
  <c r="L9" i="65"/>
  <c r="I9" i="65"/>
  <c r="F9" i="65"/>
  <c r="F20" i="65"/>
  <c r="E9" i="65"/>
  <c r="D9" i="65"/>
  <c r="C9" i="65"/>
  <c r="G9" i="65"/>
  <c r="B9" i="65"/>
  <c r="N8" i="65"/>
  <c r="L8" i="65"/>
  <c r="I8" i="65"/>
  <c r="O8" i="65"/>
  <c r="F8" i="65"/>
  <c r="E8" i="65"/>
  <c r="D8" i="65"/>
  <c r="C8" i="65"/>
  <c r="G8" i="65"/>
  <c r="B8" i="65"/>
  <c r="N7" i="65"/>
  <c r="L7" i="65"/>
  <c r="I7" i="65"/>
  <c r="F7" i="65"/>
  <c r="E7" i="65"/>
  <c r="D7" i="65"/>
  <c r="C7" i="65"/>
  <c r="B7" i="65"/>
  <c r="N6" i="65"/>
  <c r="M6" i="65"/>
  <c r="M20" i="65"/>
  <c r="L6" i="65"/>
  <c r="I6" i="65"/>
  <c r="F6" i="65"/>
  <c r="E6" i="65"/>
  <c r="D6" i="65"/>
  <c r="C6" i="65"/>
  <c r="B6" i="65"/>
  <c r="D66" i="57"/>
  <c r="P44" i="46"/>
  <c r="Q44" i="46"/>
  <c r="C48" i="58"/>
  <c r="C72" i="46"/>
  <c r="P72" i="46"/>
  <c r="M45" i="46"/>
  <c r="Q21" i="46"/>
  <c r="C20" i="39"/>
  <c r="F2" i="59"/>
  <c r="K3" i="56"/>
  <c r="N2" i="53"/>
  <c r="F12" i="52"/>
  <c r="G12" i="52"/>
  <c r="E12" i="52"/>
  <c r="H2" i="52"/>
  <c r="P2" i="46"/>
  <c r="N2" i="44"/>
  <c r="O2" i="51"/>
  <c r="F2" i="39"/>
  <c r="F2" i="58"/>
  <c r="D49" i="57"/>
  <c r="D44" i="57"/>
  <c r="D42" i="57"/>
  <c r="D37" i="57"/>
  <c r="D36" i="57"/>
  <c r="D30" i="57"/>
  <c r="D26" i="57"/>
  <c r="D24" i="57"/>
  <c r="D13" i="57"/>
  <c r="D11" i="57"/>
  <c r="D10" i="57"/>
  <c r="G2" i="57"/>
  <c r="O8" i="46"/>
  <c r="Q18" i="46"/>
  <c r="P18" i="46"/>
  <c r="K11" i="56"/>
  <c r="J70" i="46"/>
  <c r="P70" i="46"/>
  <c r="D99" i="57"/>
  <c r="E10" i="44"/>
  <c r="E19" i="44"/>
  <c r="G14" i="51"/>
  <c r="G19" i="51"/>
  <c r="D71" i="57"/>
  <c r="B14" i="51"/>
  <c r="B19" i="51"/>
  <c r="C35" i="39"/>
  <c r="C8" i="39"/>
  <c r="C7" i="39"/>
  <c r="C55" i="39"/>
  <c r="C7" i="60"/>
  <c r="A15" i="44"/>
  <c r="H17" i="53"/>
  <c r="L20" i="44"/>
  <c r="H10" i="44"/>
  <c r="H19" i="44"/>
  <c r="H11" i="44"/>
  <c r="H20" i="44"/>
  <c r="L19" i="44"/>
  <c r="M10" i="44"/>
  <c r="M11" i="44"/>
  <c r="A21" i="44"/>
  <c r="A20" i="44"/>
  <c r="O19" i="44"/>
  <c r="O22" i="44"/>
  <c r="P19" i="44"/>
  <c r="O20" i="44"/>
  <c r="P20" i="44"/>
  <c r="P21" i="44"/>
  <c r="A16" i="44"/>
  <c r="A14" i="44"/>
  <c r="A11" i="44"/>
  <c r="A10" i="44"/>
  <c r="D19" i="51"/>
  <c r="K19" i="51"/>
  <c r="D20" i="51"/>
  <c r="K20" i="51"/>
  <c r="D21" i="51"/>
  <c r="F21" i="51"/>
  <c r="K21" i="51"/>
  <c r="M10" i="51"/>
  <c r="M19" i="51"/>
  <c r="M11" i="51"/>
  <c r="M20" i="51"/>
  <c r="C71" i="36"/>
  <c r="C70" i="36"/>
  <c r="C67" i="36"/>
  <c r="D71" i="36"/>
  <c r="C72" i="36"/>
  <c r="D72" i="36"/>
  <c r="C74" i="36"/>
  <c r="C75" i="59"/>
  <c r="C73" i="59"/>
  <c r="D74" i="36"/>
  <c r="D73" i="36"/>
  <c r="C49" i="36"/>
  <c r="D49" i="36"/>
  <c r="D61" i="57"/>
  <c r="C52" i="58"/>
  <c r="C46" i="58"/>
  <c r="C45" i="58"/>
  <c r="C38" i="58"/>
  <c r="C33" i="58"/>
  <c r="C61" i="36"/>
  <c r="P74" i="46"/>
  <c r="Q68" i="46"/>
  <c r="P68" i="46"/>
  <c r="Q67" i="46"/>
  <c r="Q66" i="46"/>
  <c r="P66" i="46"/>
  <c r="Q65" i="46"/>
  <c r="P65" i="46"/>
  <c r="Q64" i="46"/>
  <c r="P64" i="46"/>
  <c r="Q63" i="46"/>
  <c r="P63" i="46"/>
  <c r="L61" i="46"/>
  <c r="O61" i="46"/>
  <c r="N61" i="46"/>
  <c r="M61" i="46"/>
  <c r="K61" i="46"/>
  <c r="J61" i="46"/>
  <c r="I61" i="46"/>
  <c r="H61" i="46"/>
  <c r="G61" i="46"/>
  <c r="F61" i="46"/>
  <c r="P61" i="46"/>
  <c r="E61" i="46"/>
  <c r="Q60" i="46"/>
  <c r="P60" i="46"/>
  <c r="Q59" i="46"/>
  <c r="P59" i="46"/>
  <c r="O58" i="46"/>
  <c r="N58" i="46"/>
  <c r="M58" i="46"/>
  <c r="L58" i="46"/>
  <c r="K58" i="46"/>
  <c r="J58" i="46"/>
  <c r="J69" i="46"/>
  <c r="I58" i="46"/>
  <c r="H58" i="46"/>
  <c r="G58" i="46"/>
  <c r="F58" i="46"/>
  <c r="F69" i="46"/>
  <c r="E58" i="46"/>
  <c r="D58" i="46"/>
  <c r="C58" i="46"/>
  <c r="Q57" i="46"/>
  <c r="P57" i="46"/>
  <c r="D56" i="46"/>
  <c r="D36" i="46"/>
  <c r="P55" i="46"/>
  <c r="Q55" i="46"/>
  <c r="P54" i="46"/>
  <c r="P53" i="46"/>
  <c r="Q52" i="46"/>
  <c r="P52" i="46"/>
  <c r="Q51" i="46"/>
  <c r="P51" i="46"/>
  <c r="Q50" i="46"/>
  <c r="P50" i="46"/>
  <c r="Q49" i="46"/>
  <c r="P49" i="46"/>
  <c r="Q48" i="46"/>
  <c r="P48" i="46"/>
  <c r="Q47" i="46"/>
  <c r="P47" i="46"/>
  <c r="Q46" i="46"/>
  <c r="P46" i="46"/>
  <c r="Q43" i="46"/>
  <c r="P43" i="46"/>
  <c r="Q42" i="46"/>
  <c r="P42" i="46"/>
  <c r="Q41" i="46"/>
  <c r="P41" i="46"/>
  <c r="Q40" i="46"/>
  <c r="P40" i="46"/>
  <c r="Q39" i="46"/>
  <c r="P39" i="46"/>
  <c r="Q38" i="46"/>
  <c r="P38" i="46"/>
  <c r="Q36" i="46"/>
  <c r="N36" i="46"/>
  <c r="O36" i="46"/>
  <c r="L36" i="46"/>
  <c r="K36" i="46"/>
  <c r="P36" i="46"/>
  <c r="J36" i="46"/>
  <c r="I36" i="46"/>
  <c r="H36" i="46"/>
  <c r="H69" i="46"/>
  <c r="F36" i="46"/>
  <c r="E36" i="46"/>
  <c r="P35" i="46"/>
  <c r="Q33" i="46"/>
  <c r="P34" i="46"/>
  <c r="Q34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Q32" i="46"/>
  <c r="P32" i="46"/>
  <c r="Q30" i="46"/>
  <c r="P30" i="46"/>
  <c r="Q29" i="46"/>
  <c r="P29" i="46"/>
  <c r="Q28" i="46"/>
  <c r="P28" i="46"/>
  <c r="Q27" i="46"/>
  <c r="P27" i="46"/>
  <c r="Q26" i="46"/>
  <c r="P26" i="46"/>
  <c r="Q25" i="46"/>
  <c r="P25" i="46"/>
  <c r="Q24" i="46"/>
  <c r="P24" i="46"/>
  <c r="O23" i="46"/>
  <c r="N23" i="46"/>
  <c r="M23" i="46"/>
  <c r="L23" i="46"/>
  <c r="L69" i="46"/>
  <c r="J23" i="46"/>
  <c r="I23" i="46"/>
  <c r="H23" i="46"/>
  <c r="G23" i="46"/>
  <c r="G69" i="46"/>
  <c r="F23" i="46"/>
  <c r="E23" i="46"/>
  <c r="D23" i="46"/>
  <c r="C23" i="46"/>
  <c r="Q23" i="46"/>
  <c r="O22" i="46"/>
  <c r="N22" i="46"/>
  <c r="L22" i="46"/>
  <c r="K22" i="46"/>
  <c r="J22" i="46"/>
  <c r="I22" i="46"/>
  <c r="H22" i="46"/>
  <c r="G22" i="46"/>
  <c r="Q22" i="46"/>
  <c r="F22" i="46"/>
  <c r="E22" i="46"/>
  <c r="D22" i="46"/>
  <c r="Q17" i="46"/>
  <c r="P17" i="46"/>
  <c r="Q16" i="46"/>
  <c r="P16" i="46"/>
  <c r="Q15" i="46"/>
  <c r="P15" i="46"/>
  <c r="Q14" i="46"/>
  <c r="P14" i="46"/>
  <c r="Q13" i="46"/>
  <c r="P13" i="46"/>
  <c r="O12" i="46"/>
  <c r="O19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Q11" i="46"/>
  <c r="Q10" i="46"/>
  <c r="P10" i="46"/>
  <c r="N8" i="46"/>
  <c r="N19" i="46"/>
  <c r="L8" i="46"/>
  <c r="L19" i="46"/>
  <c r="K8" i="46"/>
  <c r="K19" i="46"/>
  <c r="J8" i="46"/>
  <c r="J19" i="46"/>
  <c r="J73" i="46"/>
  <c r="I8" i="46"/>
  <c r="I19" i="46"/>
  <c r="H8" i="46"/>
  <c r="H19" i="46"/>
  <c r="G8" i="46"/>
  <c r="F8" i="46"/>
  <c r="E8" i="46"/>
  <c r="E19" i="46"/>
  <c r="C8" i="46"/>
  <c r="J17" i="53"/>
  <c r="B17" i="53"/>
  <c r="H12" i="44"/>
  <c r="H21" i="44"/>
  <c r="M12" i="51"/>
  <c r="M21" i="51"/>
  <c r="E6" i="39"/>
  <c r="E6" i="58"/>
  <c r="F6" i="57"/>
  <c r="C115" i="60"/>
  <c r="C112" i="60"/>
  <c r="C105" i="60"/>
  <c r="C58" i="60"/>
  <c r="C118" i="60"/>
  <c r="C54" i="60"/>
  <c r="C44" i="60"/>
  <c r="C35" i="60"/>
  <c r="C30" i="60"/>
  <c r="C21" i="60"/>
  <c r="C48" i="39"/>
  <c r="F10" i="44"/>
  <c r="C72" i="59"/>
  <c r="C70" i="59"/>
  <c r="D39" i="36"/>
  <c r="D6" i="39"/>
  <c r="D6" i="58"/>
  <c r="E6" i="57"/>
  <c r="M12" i="44"/>
  <c r="D103" i="57"/>
  <c r="C20" i="58"/>
  <c r="C39" i="36"/>
  <c r="D73" i="59"/>
  <c r="E73" i="59"/>
  <c r="F73" i="59"/>
  <c r="B75" i="59"/>
  <c r="N16" i="53"/>
  <c r="D17" i="53"/>
  <c r="E17" i="53"/>
  <c r="G17" i="53"/>
  <c r="G25" i="53"/>
  <c r="I17" i="53"/>
  <c r="K17" i="53"/>
  <c r="L17" i="53"/>
  <c r="L25" i="53"/>
  <c r="M17" i="53"/>
  <c r="M25" i="53"/>
  <c r="N23" i="53"/>
  <c r="B74" i="36"/>
  <c r="F70" i="59"/>
  <c r="F67" i="59"/>
  <c r="D70" i="59"/>
  <c r="D67" i="59"/>
  <c r="D12" i="52"/>
  <c r="E70" i="59"/>
  <c r="E67" i="59"/>
  <c r="E63" i="59"/>
  <c r="E15" i="59"/>
  <c r="F15" i="59"/>
  <c r="F7" i="59"/>
  <c r="E49" i="59"/>
  <c r="F49" i="59"/>
  <c r="E55" i="59"/>
  <c r="E54" i="59"/>
  <c r="F55" i="59"/>
  <c r="F54" i="59"/>
  <c r="F53" i="59"/>
  <c r="E59" i="59"/>
  <c r="F59" i="59"/>
  <c r="E64" i="59"/>
  <c r="F64" i="59"/>
  <c r="D49" i="59"/>
  <c r="D55" i="59"/>
  <c r="D54" i="59"/>
  <c r="D59" i="59"/>
  <c r="D64" i="59"/>
  <c r="D63" i="59"/>
  <c r="O21" i="44"/>
  <c r="F12" i="56"/>
  <c r="G12" i="56"/>
  <c r="H12" i="56"/>
  <c r="I13" i="56"/>
  <c r="E12" i="56"/>
  <c r="C12" i="56"/>
  <c r="N11" i="53"/>
  <c r="N14" i="53"/>
  <c r="N15" i="53"/>
  <c r="N12" i="53"/>
  <c r="D10" i="52"/>
  <c r="I12" i="56"/>
  <c r="J12" i="56"/>
  <c r="N10" i="53"/>
  <c r="C17" i="53"/>
  <c r="C50" i="60"/>
  <c r="C49" i="60"/>
  <c r="C48" i="60"/>
  <c r="C61" i="46"/>
  <c r="P67" i="46"/>
  <c r="N9" i="53"/>
  <c r="P37" i="46"/>
  <c r="Q53" i="46"/>
  <c r="C36" i="46"/>
  <c r="P62" i="46"/>
  <c r="D61" i="46"/>
  <c r="P31" i="46"/>
  <c r="K23" i="46"/>
  <c r="C33" i="46"/>
  <c r="P33" i="46"/>
  <c r="Q62" i="46"/>
  <c r="Q61" i="46"/>
  <c r="Q35" i="46"/>
  <c r="Q31" i="46"/>
  <c r="G36" i="46"/>
  <c r="Q37" i="46"/>
  <c r="C56" i="36"/>
  <c r="C31" i="58"/>
  <c r="L14" i="51"/>
  <c r="L19" i="51"/>
  <c r="C57" i="36"/>
  <c r="Q54" i="46"/>
  <c r="Q9" i="46"/>
  <c r="M8" i="46"/>
  <c r="P9" i="46"/>
  <c r="P21" i="46"/>
  <c r="C22" i="46"/>
  <c r="D19" i="63"/>
  <c r="C28" i="36"/>
  <c r="G10" i="44"/>
  <c r="G19" i="44"/>
  <c r="P20" i="46"/>
  <c r="P22" i="46"/>
  <c r="D97" i="57"/>
  <c r="C10" i="44"/>
  <c r="C19" i="44"/>
  <c r="M22" i="46"/>
  <c r="Q20" i="46"/>
  <c r="M19" i="46"/>
  <c r="M73" i="46"/>
  <c r="D22" i="63"/>
  <c r="L15" i="51"/>
  <c r="N15" i="51"/>
  <c r="B15" i="51"/>
  <c r="N13" i="53"/>
  <c r="F17" i="53"/>
  <c r="F25" i="53"/>
  <c r="M91" i="46"/>
  <c r="L141" i="46"/>
  <c r="Q12" i="46"/>
  <c r="E69" i="46"/>
  <c r="E73" i="46"/>
  <c r="B7" i="63"/>
  <c r="N91" i="46"/>
  <c r="Q84" i="46"/>
  <c r="P117" i="46"/>
  <c r="P83" i="46"/>
  <c r="Q117" i="46"/>
  <c r="D79" i="46"/>
  <c r="D91" i="46"/>
  <c r="E7" i="63"/>
  <c r="P23" i="46"/>
  <c r="G19" i="46"/>
  <c r="M36" i="46"/>
  <c r="M69" i="46"/>
  <c r="Q45" i="46"/>
  <c r="P45" i="46"/>
  <c r="D60" i="36"/>
  <c r="D59" i="36"/>
  <c r="E79" i="46"/>
  <c r="E91" i="46"/>
  <c r="P142" i="46"/>
  <c r="E99" i="57"/>
  <c r="E11" i="44"/>
  <c r="E20" i="44"/>
  <c r="P127" i="46"/>
  <c r="P122" i="46"/>
  <c r="Q122" i="46"/>
  <c r="P112" i="46"/>
  <c r="Q98" i="46"/>
  <c r="D69" i="46"/>
  <c r="C69" i="46"/>
  <c r="P140" i="46"/>
  <c r="Q70" i="46"/>
  <c r="I108" i="46"/>
  <c r="I141" i="46"/>
  <c r="Q121" i="46"/>
  <c r="M108" i="46"/>
  <c r="M141" i="46"/>
  <c r="N69" i="46"/>
  <c r="N73" i="46"/>
  <c r="B13" i="63"/>
  <c r="P56" i="46"/>
  <c r="Q56" i="46"/>
  <c r="Q58" i="46"/>
  <c r="C91" i="46"/>
  <c r="P103" i="46"/>
  <c r="P95" i="46"/>
  <c r="P110" i="46"/>
  <c r="B11" i="63"/>
  <c r="E11" i="63"/>
  <c r="F19" i="46"/>
  <c r="F73" i="46"/>
  <c r="B8" i="63"/>
  <c r="P128" i="46"/>
  <c r="G141" i="46"/>
  <c r="K95" i="46"/>
  <c r="P121" i="46"/>
  <c r="Q142" i="46"/>
  <c r="P134" i="46"/>
  <c r="Q109" i="46"/>
  <c r="Q138" i="46"/>
  <c r="Q134" i="46"/>
  <c r="E108" i="46"/>
  <c r="P108" i="46"/>
  <c r="C133" i="46"/>
  <c r="P133" i="46"/>
  <c r="Q101" i="46"/>
  <c r="N108" i="46"/>
  <c r="N141" i="46"/>
  <c r="N145" i="46"/>
  <c r="P109" i="46"/>
  <c r="D108" i="46"/>
  <c r="Q128" i="46"/>
  <c r="K108" i="46"/>
  <c r="D24" i="53"/>
  <c r="D25" i="53"/>
  <c r="M24" i="53"/>
  <c r="J24" i="53"/>
  <c r="J25" i="53"/>
  <c r="G24" i="53"/>
  <c r="H24" i="53"/>
  <c r="E24" i="53"/>
  <c r="E25" i="53"/>
  <c r="K24" i="53"/>
  <c r="K25" i="53"/>
  <c r="C24" i="53"/>
  <c r="C25" i="53"/>
  <c r="I24" i="53"/>
  <c r="I25" i="53"/>
  <c r="F24" i="53"/>
  <c r="B24" i="53"/>
  <c r="B25" i="53"/>
  <c r="B26" i="53"/>
  <c r="C26" i="53"/>
  <c r="D26" i="53"/>
  <c r="E26" i="53"/>
  <c r="F26" i="53"/>
  <c r="G26" i="53"/>
  <c r="H26" i="53"/>
  <c r="I26" i="53"/>
  <c r="J26" i="53"/>
  <c r="K26" i="53"/>
  <c r="L26" i="53"/>
  <c r="M26" i="53"/>
  <c r="Q92" i="46"/>
  <c r="P130" i="46"/>
  <c r="Q132" i="46"/>
  <c r="P132" i="46"/>
  <c r="K141" i="46"/>
  <c r="K145" i="46"/>
  <c r="Q140" i="46"/>
  <c r="P115" i="46"/>
  <c r="Q108" i="46"/>
  <c r="Q114" i="46"/>
  <c r="Q112" i="46"/>
  <c r="C108" i="46"/>
  <c r="Q103" i="46"/>
  <c r="D95" i="46"/>
  <c r="D141" i="46"/>
  <c r="Q79" i="46"/>
  <c r="N19" i="53"/>
  <c r="N24" i="53"/>
  <c r="N20" i="53"/>
  <c r="L24" i="53"/>
  <c r="D94" i="46"/>
  <c r="D145" i="46"/>
  <c r="H25" i="53"/>
  <c r="N17" i="53"/>
  <c r="N25" i="53"/>
  <c r="N26" i="53"/>
  <c r="O235" i="46"/>
  <c r="O289" i="46"/>
  <c r="M285" i="46"/>
  <c r="M289" i="46"/>
  <c r="C285" i="46"/>
  <c r="G285" i="46"/>
  <c r="G289" i="46"/>
  <c r="H289" i="46"/>
  <c r="E223" i="46"/>
  <c r="E235" i="46"/>
  <c r="P235" i="46"/>
  <c r="P232" i="46"/>
  <c r="Q228" i="46"/>
  <c r="Q237" i="46"/>
  <c r="P265" i="46"/>
  <c r="P267" i="46"/>
  <c r="G99" i="57"/>
  <c r="D252" i="46"/>
  <c r="D285" i="46"/>
  <c r="D289" i="46"/>
  <c r="Q232" i="46"/>
  <c r="Q242" i="46"/>
  <c r="Q247" i="46"/>
  <c r="P278" i="46"/>
  <c r="H235" i="46"/>
  <c r="L235" i="46"/>
  <c r="L289" i="46"/>
  <c r="E252" i="46"/>
  <c r="E285" i="46"/>
  <c r="Q236" i="46"/>
  <c r="N213" i="46"/>
  <c r="N217" i="46"/>
  <c r="E205" i="46"/>
  <c r="E213" i="46"/>
  <c r="Q210" i="46"/>
  <c r="P206" i="46"/>
  <c r="M205" i="46"/>
  <c r="F180" i="46"/>
  <c r="F213" i="46"/>
  <c r="Q199" i="46"/>
  <c r="Q194" i="46"/>
  <c r="P184" i="46"/>
  <c r="E180" i="46"/>
  <c r="Q184" i="46"/>
  <c r="Q175" i="46"/>
  <c r="D167" i="46"/>
  <c r="Q167" i="46"/>
  <c r="P175" i="46"/>
  <c r="D166" i="46"/>
  <c r="Q160" i="46"/>
  <c r="C156" i="46"/>
  <c r="C163" i="46"/>
  <c r="Q159" i="46"/>
  <c r="Q155" i="46"/>
  <c r="C59" i="60"/>
  <c r="P282" i="46"/>
  <c r="F217" i="46"/>
  <c r="G213" i="46"/>
  <c r="Q181" i="46"/>
  <c r="K213" i="46"/>
  <c r="K217" i="46"/>
  <c r="P228" i="46"/>
  <c r="P156" i="46"/>
  <c r="Q156" i="46"/>
  <c r="G66" i="57"/>
  <c r="F44" i="57"/>
  <c r="H44" i="57"/>
  <c r="F88" i="57"/>
  <c r="G44" i="57"/>
  <c r="F66" i="57"/>
  <c r="H66" i="57"/>
  <c r="C66" i="36"/>
  <c r="E88" i="57"/>
  <c r="D56" i="36"/>
  <c r="D55" i="36"/>
  <c r="E66" i="57"/>
  <c r="E57" i="57"/>
  <c r="E56" i="36"/>
  <c r="E55" i="36"/>
  <c r="E54" i="36"/>
  <c r="E11" i="57"/>
  <c r="E10" i="57"/>
  <c r="G26" i="57"/>
  <c r="G36" i="57"/>
  <c r="H36" i="57"/>
  <c r="E60" i="36"/>
  <c r="E59" i="36"/>
  <c r="C6" i="60"/>
  <c r="F70" i="36"/>
  <c r="C37" i="58"/>
  <c r="D45" i="58"/>
  <c r="K15" i="44"/>
  <c r="K20" i="44"/>
  <c r="F37" i="58"/>
  <c r="C68" i="36"/>
  <c r="J14" i="44"/>
  <c r="J19" i="44"/>
  <c r="D37" i="58"/>
  <c r="E30" i="58"/>
  <c r="E29" i="58"/>
  <c r="F30" i="58"/>
  <c r="G30" i="58"/>
  <c r="F29" i="58"/>
  <c r="G29" i="58"/>
  <c r="E16" i="58"/>
  <c r="E12" i="58"/>
  <c r="D30" i="58"/>
  <c r="D29" i="58"/>
  <c r="D12" i="58"/>
  <c r="Q249" i="46"/>
  <c r="J217" i="46"/>
  <c r="E66" i="36"/>
  <c r="G11" i="44"/>
  <c r="G20" i="44"/>
  <c r="D57" i="57"/>
  <c r="D18" i="63"/>
  <c r="D20" i="63"/>
  <c r="F61" i="57"/>
  <c r="G61" i="57"/>
  <c r="E104" i="60"/>
  <c r="F14" i="51"/>
  <c r="F19" i="51"/>
  <c r="D9" i="57"/>
  <c r="D8" i="57"/>
  <c r="C14" i="51"/>
  <c r="C8" i="36"/>
  <c r="G92" i="57"/>
  <c r="H17" i="51"/>
  <c r="H22" i="51"/>
  <c r="F36" i="57"/>
  <c r="G11" i="57"/>
  <c r="H11" i="57"/>
  <c r="F11" i="57"/>
  <c r="F10" i="57"/>
  <c r="Q72" i="46"/>
  <c r="C30" i="58"/>
  <c r="C29" i="58"/>
  <c r="N16" i="51"/>
  <c r="D45" i="36"/>
  <c r="D66" i="36"/>
  <c r="Q238" i="46"/>
  <c r="Q278" i="46"/>
  <c r="Q277" i="46"/>
  <c r="Q224" i="46"/>
  <c r="P227" i="46"/>
  <c r="P223" i="46"/>
  <c r="Q235" i="46"/>
  <c r="P242" i="46"/>
  <c r="P245" i="46"/>
  <c r="P239" i="46"/>
  <c r="P254" i="46"/>
  <c r="Q272" i="46"/>
  <c r="P274" i="46"/>
  <c r="P284" i="46"/>
  <c r="P236" i="46"/>
  <c r="P238" i="46"/>
  <c r="G97" i="57"/>
  <c r="P271" i="46"/>
  <c r="G217" i="46"/>
  <c r="O217" i="46"/>
  <c r="P155" i="46"/>
  <c r="C167" i="46"/>
  <c r="P170" i="46"/>
  <c r="P173" i="46"/>
  <c r="P167" i="46"/>
  <c r="P182" i="46"/>
  <c r="Q200" i="46"/>
  <c r="C205" i="46"/>
  <c r="P205" i="46"/>
  <c r="P212" i="46"/>
  <c r="Q206" i="46"/>
  <c r="P164" i="46"/>
  <c r="P166" i="46"/>
  <c r="F97" i="57"/>
  <c r="C12" i="44"/>
  <c r="C21" i="44"/>
  <c r="C166" i="46"/>
  <c r="Q166" i="46"/>
  <c r="I180" i="46"/>
  <c r="I213" i="46"/>
  <c r="I217" i="46"/>
  <c r="P181" i="46"/>
  <c r="P199" i="46"/>
  <c r="P210" i="46"/>
  <c r="B20" i="51"/>
  <c r="D92" i="57"/>
  <c r="H14" i="51"/>
  <c r="H19" i="51"/>
  <c r="C60" i="36"/>
  <c r="C59" i="36"/>
  <c r="E61" i="57"/>
  <c r="E26" i="57"/>
  <c r="E24" i="57"/>
  <c r="F57" i="57"/>
  <c r="E16" i="51"/>
  <c r="E21" i="51"/>
  <c r="J15" i="44"/>
  <c r="J20" i="44"/>
  <c r="D68" i="36"/>
  <c r="G88" i="57"/>
  <c r="H88" i="57"/>
  <c r="Q239" i="46"/>
  <c r="P277" i="46"/>
  <c r="D88" i="57"/>
  <c r="E57" i="60"/>
  <c r="E118" i="60"/>
  <c r="C59" i="59"/>
  <c r="D53" i="59"/>
  <c r="E53" i="59"/>
  <c r="E7" i="59"/>
  <c r="D76" i="59"/>
  <c r="F63" i="59"/>
  <c r="F76" i="59"/>
  <c r="E76" i="59"/>
  <c r="F62" i="59"/>
  <c r="P287" i="46"/>
  <c r="B20" i="65"/>
  <c r="O11" i="65"/>
  <c r="P11" i="65"/>
  <c r="R11" i="65"/>
  <c r="O16" i="65"/>
  <c r="E20" i="65"/>
  <c r="O7" i="65"/>
  <c r="O10" i="65"/>
  <c r="N20" i="65"/>
  <c r="N21" i="65"/>
  <c r="G17" i="65"/>
  <c r="O17" i="65"/>
  <c r="P18" i="65"/>
  <c r="R18" i="65"/>
  <c r="P8" i="65"/>
  <c r="R8" i="65"/>
  <c r="B38" i="65"/>
  <c r="E13" i="44"/>
  <c r="E22" i="44"/>
  <c r="I285" i="46"/>
  <c r="I289" i="46"/>
  <c r="N285" i="46"/>
  <c r="N289" i="46"/>
  <c r="Q252" i="46"/>
  <c r="K285" i="46"/>
  <c r="K289" i="46"/>
  <c r="F285" i="46"/>
  <c r="F289" i="46"/>
  <c r="P249" i="46"/>
  <c r="E289" i="46"/>
  <c r="G10" i="65"/>
  <c r="P10" i="65"/>
  <c r="R10" i="65"/>
  <c r="Q164" i="46"/>
  <c r="H97" i="57"/>
  <c r="C13" i="44"/>
  <c r="C22" i="44"/>
  <c r="Q223" i="46"/>
  <c r="F8" i="39"/>
  <c r="J10" i="51"/>
  <c r="C15" i="36"/>
  <c r="C7" i="59"/>
  <c r="C7" i="58"/>
  <c r="C35" i="58"/>
  <c r="J11" i="51"/>
  <c r="N11" i="51"/>
  <c r="N20" i="51"/>
  <c r="J16" i="44"/>
  <c r="J21" i="44"/>
  <c r="E68" i="36"/>
  <c r="G38" i="58"/>
  <c r="G37" i="58"/>
  <c r="C56" i="58"/>
  <c r="K14" i="44"/>
  <c r="K19" i="44"/>
  <c r="C69" i="36"/>
  <c r="C36" i="58"/>
  <c r="F69" i="36"/>
  <c r="F36" i="58"/>
  <c r="G36" i="58"/>
  <c r="E36" i="58"/>
  <c r="E69" i="36"/>
  <c r="K16" i="44"/>
  <c r="K21" i="44"/>
  <c r="E56" i="58"/>
  <c r="K17" i="44"/>
  <c r="K22" i="44"/>
  <c r="M15" i="44"/>
  <c r="M20" i="44"/>
  <c r="D69" i="36"/>
  <c r="F56" i="58"/>
  <c r="F68" i="36"/>
  <c r="J17" i="44"/>
  <c r="M17" i="44"/>
  <c r="M22" i="44"/>
  <c r="M24" i="44"/>
  <c r="B17" i="51"/>
  <c r="B22" i="51"/>
  <c r="G57" i="57"/>
  <c r="E17" i="51"/>
  <c r="E22" i="51"/>
  <c r="E23" i="51"/>
  <c r="F21" i="36"/>
  <c r="D13" i="52"/>
  <c r="H61" i="57"/>
  <c r="G24" i="57"/>
  <c r="G10" i="57"/>
  <c r="G9" i="57"/>
  <c r="B10" i="70"/>
  <c r="F20" i="67"/>
  <c r="C141" i="46"/>
  <c r="Q143" i="46"/>
  <c r="P288" i="46"/>
  <c r="M14" i="44"/>
  <c r="N14" i="44"/>
  <c r="E53" i="36"/>
  <c r="G57" i="36"/>
  <c r="G68" i="36"/>
  <c r="C289" i="46"/>
  <c r="L20" i="51"/>
  <c r="M19" i="44"/>
  <c r="P216" i="46"/>
  <c r="F67" i="36"/>
  <c r="N14" i="51"/>
  <c r="N19" i="51"/>
  <c r="C55" i="36"/>
  <c r="C54" i="36"/>
  <c r="C53" i="36"/>
  <c r="F59" i="36"/>
  <c r="D54" i="36"/>
  <c r="D53" i="36"/>
  <c r="G73" i="36"/>
  <c r="F55" i="36"/>
  <c r="F54" i="36"/>
  <c r="G55" i="36"/>
  <c r="C17" i="63"/>
  <c r="G56" i="36"/>
  <c r="E62" i="59"/>
  <c r="P16" i="65"/>
  <c r="R16" i="65"/>
  <c r="P17" i="65"/>
  <c r="R17" i="65"/>
  <c r="C63" i="59"/>
  <c r="C76" i="59"/>
  <c r="J20" i="51"/>
  <c r="N10" i="51"/>
  <c r="O10" i="51"/>
  <c r="J19" i="51"/>
  <c r="G56" i="58"/>
  <c r="M16" i="44"/>
  <c r="H10" i="57"/>
  <c r="C62" i="59"/>
  <c r="M21" i="44"/>
  <c r="D28" i="69"/>
  <c r="D18" i="69"/>
  <c r="F78" i="67"/>
  <c r="F82" i="67"/>
  <c r="F52" i="67"/>
  <c r="D97" i="69"/>
  <c r="E97" i="69"/>
  <c r="F60" i="67"/>
  <c r="E26" i="68"/>
  <c r="E35" i="68"/>
  <c r="C15" i="66"/>
  <c r="C17" i="66"/>
  <c r="C19" i="51"/>
  <c r="I14" i="51"/>
  <c r="G96" i="57"/>
  <c r="F53" i="36"/>
  <c r="G53" i="36"/>
  <c r="G54" i="36"/>
  <c r="G8" i="57"/>
  <c r="Q141" i="46"/>
  <c r="Q69" i="46"/>
  <c r="D21" i="36"/>
  <c r="E15" i="51"/>
  <c r="E20" i="51"/>
  <c r="E9" i="57"/>
  <c r="E8" i="57"/>
  <c r="D64" i="69"/>
  <c r="D8" i="69"/>
  <c r="D103" i="69"/>
  <c r="E73" i="69"/>
  <c r="E64" i="69"/>
  <c r="J22" i="44"/>
  <c r="J24" i="44"/>
  <c r="D21" i="63"/>
  <c r="O11" i="51"/>
  <c r="C24" i="44"/>
  <c r="D15" i="36"/>
  <c r="D7" i="58"/>
  <c r="C73" i="36"/>
  <c r="P252" i="46"/>
  <c r="Q285" i="46"/>
  <c r="P15" i="65"/>
  <c r="R15" i="65"/>
  <c r="D7" i="57"/>
  <c r="D94" i="57"/>
  <c r="C19" i="46"/>
  <c r="G7" i="65"/>
  <c r="P7" i="65"/>
  <c r="R7" i="65"/>
  <c r="D20" i="65"/>
  <c r="L20" i="65"/>
  <c r="O20" i="65"/>
  <c r="Q180" i="46"/>
  <c r="Q186" i="46"/>
  <c r="P186" i="46"/>
  <c r="H57" i="57"/>
  <c r="D35" i="58"/>
  <c r="E21" i="36"/>
  <c r="G21" i="36"/>
  <c r="E14" i="51"/>
  <c r="E19" i="51"/>
  <c r="C21" i="36"/>
  <c r="C7" i="36"/>
  <c r="C62" i="36"/>
  <c r="E7" i="58"/>
  <c r="E35" i="58"/>
  <c r="J12" i="51"/>
  <c r="E15" i="36"/>
  <c r="D36" i="58"/>
  <c r="D56" i="58"/>
  <c r="C57" i="60"/>
  <c r="D213" i="46"/>
  <c r="D217" i="46"/>
  <c r="P8" i="46"/>
  <c r="C20" i="65"/>
  <c r="G6" i="65"/>
  <c r="O6" i="65"/>
  <c r="H73" i="46"/>
  <c r="O69" i="46"/>
  <c r="O73" i="46"/>
  <c r="B15" i="63"/>
  <c r="E15" i="63"/>
  <c r="P9" i="65"/>
  <c r="R9" i="65"/>
  <c r="I145" i="46"/>
  <c r="P79" i="46"/>
  <c r="Q91" i="46"/>
  <c r="P152" i="46"/>
  <c r="Q152" i="46"/>
  <c r="E151" i="46"/>
  <c r="G23" i="51"/>
  <c r="D60" i="67"/>
  <c r="Q133" i="46"/>
  <c r="K69" i="46"/>
  <c r="K73" i="46"/>
  <c r="B12" i="63"/>
  <c r="E12" i="63"/>
  <c r="P12" i="46"/>
  <c r="P58" i="46"/>
  <c r="P11" i="46"/>
  <c r="D8" i="46"/>
  <c r="D19" i="46"/>
  <c r="D73" i="46"/>
  <c r="B6" i="63"/>
  <c r="E6" i="63"/>
  <c r="Q144" i="46"/>
  <c r="P144" i="46"/>
  <c r="P215" i="46"/>
  <c r="Q217" i="46"/>
  <c r="L24" i="44"/>
  <c r="H33" i="57"/>
  <c r="F26" i="57"/>
  <c r="E70" i="36"/>
  <c r="E67" i="36"/>
  <c r="G67" i="36"/>
  <c r="G72" i="36"/>
  <c r="G66" i="36"/>
  <c r="G73" i="46"/>
  <c r="B9" i="63"/>
  <c r="E9" i="63"/>
  <c r="M145" i="46"/>
  <c r="L73" i="46"/>
  <c r="B14" i="63"/>
  <c r="E14" i="63"/>
  <c r="I69" i="46"/>
  <c r="P69" i="46"/>
  <c r="D98" i="57"/>
  <c r="D10" i="44"/>
  <c r="D19" i="44"/>
  <c r="D70" i="36"/>
  <c r="D67" i="36"/>
  <c r="O13" i="65"/>
  <c r="P13" i="65"/>
  <c r="R13" i="65"/>
  <c r="O15" i="65"/>
  <c r="E8" i="63"/>
  <c r="O145" i="46"/>
  <c r="Q204" i="46"/>
  <c r="P204" i="46"/>
  <c r="C202" i="46"/>
  <c r="Q183" i="46"/>
  <c r="C180" i="46"/>
  <c r="F16" i="58"/>
  <c r="G18" i="58"/>
  <c r="H55" i="57"/>
  <c r="F54" i="57"/>
  <c r="H54" i="57"/>
  <c r="H85" i="57"/>
  <c r="G83" i="57"/>
  <c r="Q173" i="46"/>
  <c r="Q212" i="46"/>
  <c r="Q205" i="46"/>
  <c r="G91" i="46"/>
  <c r="G145" i="46"/>
  <c r="L145" i="46"/>
  <c r="H217" i="46"/>
  <c r="L217" i="46"/>
  <c r="Q174" i="46"/>
  <c r="Q189" i="46"/>
  <c r="M180" i="46"/>
  <c r="M213" i="46"/>
  <c r="M217" i="46"/>
  <c r="P189" i="46"/>
  <c r="J285" i="46"/>
  <c r="P285" i="46"/>
  <c r="H24" i="44"/>
  <c r="E60" i="67"/>
  <c r="D96" i="69"/>
  <c r="E96" i="69"/>
  <c r="B14" i="70"/>
  <c r="B15" i="70"/>
  <c r="D52" i="67"/>
  <c r="H145" i="46"/>
  <c r="J141" i="46"/>
  <c r="J145" i="46"/>
  <c r="P92" i="46"/>
  <c r="P94" i="46"/>
  <c r="E97" i="57"/>
  <c r="C11" i="44"/>
  <c r="C20" i="44"/>
  <c r="C94" i="46"/>
  <c r="E141" i="46"/>
  <c r="P153" i="46"/>
  <c r="Q153" i="46"/>
  <c r="H213" i="46"/>
  <c r="D180" i="46"/>
  <c r="F99" i="57"/>
  <c r="E12" i="44"/>
  <c r="E21" i="44"/>
  <c r="E24" i="44"/>
  <c r="Q214" i="46"/>
  <c r="H76" i="57"/>
  <c r="F71" i="57"/>
  <c r="D78" i="67"/>
  <c r="D82" i="67"/>
  <c r="D35" i="68"/>
  <c r="F95" i="46"/>
  <c r="E45" i="36"/>
  <c r="G12" i="44"/>
  <c r="G21" i="44"/>
  <c r="G24" i="44"/>
  <c r="L17" i="51"/>
  <c r="E54" i="69"/>
  <c r="E46" i="69"/>
  <c r="E18" i="69"/>
  <c r="E8" i="69"/>
  <c r="G98" i="57"/>
  <c r="Q289" i="46"/>
  <c r="L22" i="51"/>
  <c r="L23" i="51"/>
  <c r="N17" i="51"/>
  <c r="G16" i="58"/>
  <c r="F12" i="58"/>
  <c r="Q19" i="46"/>
  <c r="J289" i="46"/>
  <c r="P289" i="46"/>
  <c r="F24" i="57"/>
  <c r="H26" i="57"/>
  <c r="P151" i="46"/>
  <c r="Q163" i="46"/>
  <c r="B4" i="63"/>
  <c r="P19" i="46"/>
  <c r="P91" i="46"/>
  <c r="E28" i="36"/>
  <c r="G28" i="36"/>
  <c r="B16" i="51"/>
  <c r="H71" i="57"/>
  <c r="C213" i="46"/>
  <c r="P180" i="46"/>
  <c r="I73" i="46"/>
  <c r="B10" i="63"/>
  <c r="E10" i="63"/>
  <c r="P6" i="65"/>
  <c r="G20" i="65"/>
  <c r="D118" i="60"/>
  <c r="D57" i="60"/>
  <c r="J21" i="51"/>
  <c r="N12" i="51"/>
  <c r="G70" i="36"/>
  <c r="E7" i="57"/>
  <c r="E94" i="57"/>
  <c r="D8" i="36"/>
  <c r="D7" i="36"/>
  <c r="D62" i="36"/>
  <c r="C15" i="51"/>
  <c r="Q202" i="46"/>
  <c r="P202" i="46"/>
  <c r="Q8" i="46"/>
  <c r="F8" i="36"/>
  <c r="C17" i="51"/>
  <c r="G7" i="57"/>
  <c r="I19" i="51"/>
  <c r="O14" i="51"/>
  <c r="O19" i="51"/>
  <c r="P141" i="46"/>
  <c r="E98" i="57"/>
  <c r="D11" i="44"/>
  <c r="D20" i="44"/>
  <c r="E103" i="69"/>
  <c r="F141" i="46"/>
  <c r="F145" i="46"/>
  <c r="Q95" i="46"/>
  <c r="Q94" i="46"/>
  <c r="C145" i="46"/>
  <c r="H83" i="57"/>
  <c r="F45" i="36"/>
  <c r="G45" i="36"/>
  <c r="F17" i="51"/>
  <c r="F22" i="51"/>
  <c r="F23" i="51"/>
  <c r="H99" i="57"/>
  <c r="E163" i="46"/>
  <c r="Q151" i="46"/>
  <c r="D21" i="65"/>
  <c r="E145" i="46"/>
  <c r="B13" i="44"/>
  <c r="P145" i="46"/>
  <c r="I17" i="51"/>
  <c r="I22" i="51"/>
  <c r="C22" i="51"/>
  <c r="B21" i="51"/>
  <c r="B23" i="51"/>
  <c r="E96" i="57"/>
  <c r="Q145" i="46"/>
  <c r="O17" i="51"/>
  <c r="B22" i="44"/>
  <c r="G94" i="57"/>
  <c r="E4" i="63"/>
  <c r="C20" i="51"/>
  <c r="I15" i="51"/>
  <c r="O12" i="51"/>
  <c r="N21" i="51"/>
  <c r="Q213" i="46"/>
  <c r="E217" i="46"/>
  <c r="P163" i="46"/>
  <c r="R6" i="65"/>
  <c r="P20" i="65"/>
  <c r="R20" i="65"/>
  <c r="P213" i="46"/>
  <c r="F98" i="57"/>
  <c r="D12" i="44"/>
  <c r="D21" i="44"/>
  <c r="D96" i="57"/>
  <c r="F9" i="57"/>
  <c r="H24" i="57"/>
  <c r="F7" i="58"/>
  <c r="J13" i="51"/>
  <c r="G12" i="58"/>
  <c r="D15" i="59"/>
  <c r="D7" i="59"/>
  <c r="D62" i="59"/>
  <c r="F15" i="36"/>
  <c r="G15" i="36"/>
  <c r="D13" i="44"/>
  <c r="D22" i="44"/>
  <c r="O15" i="51"/>
  <c r="O20" i="51"/>
  <c r="I20" i="51"/>
  <c r="F8" i="57"/>
  <c r="H9" i="57"/>
  <c r="F96" i="57"/>
  <c r="B11" i="44"/>
  <c r="D24" i="44"/>
  <c r="N13" i="51"/>
  <c r="J22" i="51"/>
  <c r="J23" i="51"/>
  <c r="H98" i="57"/>
  <c r="G7" i="58"/>
  <c r="F35" i="58"/>
  <c r="G35" i="58"/>
  <c r="O19" i="53"/>
  <c r="B10" i="44"/>
  <c r="F7" i="36"/>
  <c r="B20" i="44"/>
  <c r="B19" i="44"/>
  <c r="B12" i="44"/>
  <c r="H96" i="57"/>
  <c r="F62" i="36"/>
  <c r="O13" i="51"/>
  <c r="O22" i="51"/>
  <c r="N22" i="51"/>
  <c r="N23" i="51"/>
  <c r="F7" i="57"/>
  <c r="C16" i="51"/>
  <c r="E8" i="36"/>
  <c r="H8" i="57"/>
  <c r="E7" i="36"/>
  <c r="G8" i="36"/>
  <c r="B21" i="44"/>
  <c r="B24" i="44"/>
  <c r="C21" i="51"/>
  <c r="C23" i="51"/>
  <c r="I16" i="51"/>
  <c r="F94" i="57"/>
  <c r="H94" i="57"/>
  <c r="H7" i="57"/>
  <c r="D10" i="70"/>
  <c r="E10" i="70"/>
  <c r="O16" i="51"/>
  <c r="O21" i="51"/>
  <c r="O23" i="51"/>
  <c r="I21" i="51"/>
  <c r="I23" i="51"/>
  <c r="E62" i="36"/>
  <c r="G62" i="36"/>
  <c r="G7" i="36"/>
  <c r="D7" i="39"/>
  <c r="D55" i="39"/>
  <c r="E101" i="57"/>
  <c r="F11" i="44"/>
  <c r="F15" i="44"/>
  <c r="I15" i="44"/>
  <c r="N15" i="44"/>
  <c r="C71" i="46"/>
  <c r="D101" i="57"/>
  <c r="I13" i="44"/>
  <c r="E8" i="39"/>
  <c r="G8" i="39"/>
  <c r="F19" i="44"/>
  <c r="I10" i="44"/>
  <c r="F40" i="39"/>
  <c r="C217" i="46"/>
  <c r="P217" i="46"/>
  <c r="F7" i="39"/>
  <c r="G48" i="39"/>
  <c r="G36" i="39"/>
  <c r="F55" i="39"/>
  <c r="N13" i="44"/>
  <c r="G40" i="39"/>
  <c r="F17" i="44"/>
  <c r="C65" i="36"/>
  <c r="C64" i="36"/>
  <c r="C63" i="36"/>
  <c r="C75" i="36"/>
  <c r="D100" i="57"/>
  <c r="D95" i="57"/>
  <c r="D105" i="57"/>
  <c r="O20" i="53"/>
  <c r="I11" i="44"/>
  <c r="F20" i="44"/>
  <c r="N10" i="44"/>
  <c r="N19" i="44"/>
  <c r="I19" i="44"/>
  <c r="F12" i="44"/>
  <c r="E7" i="39"/>
  <c r="E55" i="39"/>
  <c r="F101" i="57"/>
  <c r="Q71" i="46"/>
  <c r="C73" i="46"/>
  <c r="P73" i="46"/>
  <c r="B5" i="63"/>
  <c r="P71" i="46"/>
  <c r="Q73" i="46"/>
  <c r="E100" i="57"/>
  <c r="E95" i="57"/>
  <c r="E105" i="57"/>
  <c r="D65" i="36"/>
  <c r="D64" i="36"/>
  <c r="D63" i="36"/>
  <c r="D75" i="36"/>
  <c r="E65" i="36"/>
  <c r="E64" i="36"/>
  <c r="E63" i="36"/>
  <c r="E75" i="36"/>
  <c r="F100" i="57"/>
  <c r="F95" i="57"/>
  <c r="F105" i="57"/>
  <c r="E5" i="63"/>
  <c r="B16" i="63"/>
  <c r="E16" i="63"/>
  <c r="F21" i="44"/>
  <c r="I12" i="44"/>
  <c r="N11" i="44"/>
  <c r="N20" i="44"/>
  <c r="I20" i="44"/>
  <c r="I17" i="44"/>
  <c r="F22" i="44"/>
  <c r="F24" i="44"/>
  <c r="G7" i="39"/>
  <c r="G55" i="39"/>
  <c r="G101" i="57"/>
  <c r="F5" i="63"/>
  <c r="E17" i="63"/>
  <c r="D23" i="63"/>
  <c r="N12" i="44"/>
  <c r="N21" i="44"/>
  <c r="I21" i="44"/>
  <c r="N17" i="44"/>
  <c r="N22" i="44"/>
  <c r="N24" i="44"/>
  <c r="I22" i="44"/>
  <c r="H101" i="57"/>
  <c r="G100" i="57"/>
  <c r="F65" i="36"/>
  <c r="F7" i="63"/>
  <c r="F8" i="63"/>
  <c r="F9" i="63"/>
  <c r="F4" i="63"/>
  <c r="F15" i="63"/>
  <c r="F11" i="63"/>
  <c r="F12" i="63"/>
  <c r="F14" i="63"/>
  <c r="F6" i="63"/>
  <c r="F10" i="63"/>
  <c r="F64" i="36"/>
  <c r="G65" i="36"/>
  <c r="G95" i="57"/>
  <c r="H100" i="57"/>
  <c r="F16" i="63"/>
  <c r="I24" i="44"/>
  <c r="G105" i="57"/>
  <c r="H105" i="57"/>
  <c r="H95" i="57"/>
  <c r="F63" i="36"/>
  <c r="G64" i="36"/>
  <c r="G63" i="36"/>
  <c r="F75" i="36"/>
  <c r="G75" i="36"/>
  <c r="B11" i="70"/>
  <c r="B12" i="70"/>
</calcChain>
</file>

<file path=xl/sharedStrings.xml><?xml version="1.0" encoding="utf-8"?>
<sst xmlns="http://schemas.openxmlformats.org/spreadsheetml/2006/main" count="1810" uniqueCount="1001">
  <si>
    <t>ezer Ft-ban</t>
  </si>
  <si>
    <t>II. Felújítások</t>
  </si>
  <si>
    <t>I. Beruházások</t>
  </si>
  <si>
    <t>Költségvetési bevételek mindösszesen</t>
  </si>
  <si>
    <t>Működési célú bevételek összesen</t>
  </si>
  <si>
    <t>Költségvetési kiadások összesen</t>
  </si>
  <si>
    <t>Költségvetési kiadások mindösszesen</t>
  </si>
  <si>
    <t xml:space="preserve">I. Működési kiadások </t>
  </si>
  <si>
    <r>
      <t xml:space="preserve">      </t>
    </r>
    <r>
      <rPr>
        <sz val="10"/>
        <rFont val="Times New Roman"/>
        <family val="1"/>
        <charset val="238"/>
      </rPr>
      <t>1. Önkormányzat működési kiadásai</t>
    </r>
  </si>
  <si>
    <t>Felhalmozási célú bevételek összesen</t>
  </si>
  <si>
    <t>Felhalmozási célú kiadások összesen</t>
  </si>
  <si>
    <t>III.  Egyéb felhalmozási célú kiadások</t>
  </si>
  <si>
    <t>Önkormányzati költségvetési bevételek - kiadások</t>
  </si>
  <si>
    <t>Működési célú támogatások, pénzeszközátadások</t>
  </si>
  <si>
    <t>I. Működési célú pénzeszközátadások</t>
  </si>
  <si>
    <t xml:space="preserve">               Óvodai nevelés</t>
  </si>
  <si>
    <t xml:space="preserve">               Családsegítés, gyermekjóléti feladatok</t>
  </si>
  <si>
    <t xml:space="preserve">               Házi segítségnyújtás</t>
  </si>
  <si>
    <t xml:space="preserve">               Jelzőrendszeres házi segítésnyújtás</t>
  </si>
  <si>
    <t xml:space="preserve">               Pénzügyi Gondnokság iroda működtetés</t>
  </si>
  <si>
    <t xml:space="preserve">               Háziorvosi ügyeleti ellátás</t>
  </si>
  <si>
    <t xml:space="preserve">               Egészségügyi laboratóriumi szolgáltatás</t>
  </si>
  <si>
    <t xml:space="preserve">               Kistérségi Társulás tagdíj (500 Ft/fő)</t>
  </si>
  <si>
    <t xml:space="preserve">                      ezer Ft-ban</t>
  </si>
  <si>
    <t>Kiadások</t>
  </si>
  <si>
    <t xml:space="preserve">    Szociális hozzájárulási adó</t>
  </si>
  <si>
    <t>Dologi kiadások összesen</t>
  </si>
  <si>
    <t>Létszám</t>
  </si>
  <si>
    <t>Működési célú kiadások</t>
  </si>
  <si>
    <t>Működési célú kiadások mind
összesen</t>
  </si>
  <si>
    <t>Felhalmozási célú kiadások</t>
  </si>
  <si>
    <t>Személyi juttatás</t>
  </si>
  <si>
    <t>Dologi kiadások</t>
  </si>
  <si>
    <t>Egyéb működési célú kiadások</t>
  </si>
  <si>
    <t>Beruházás</t>
  </si>
  <si>
    <t>Felújítás</t>
  </si>
  <si>
    <t>Egyéb felhalmozási célú kiadás</t>
  </si>
  <si>
    <t>Önkormányzat</t>
  </si>
  <si>
    <t>Összesen</t>
  </si>
  <si>
    <t xml:space="preserve">    Polgármester illetménye</t>
  </si>
  <si>
    <t xml:space="preserve">    Egyéb dologi kiadások</t>
  </si>
  <si>
    <t>Létszám (fő)</t>
  </si>
  <si>
    <t xml:space="preserve">    Közlekedési költségtérítés</t>
  </si>
  <si>
    <t>Működési célú bevételek</t>
  </si>
  <si>
    <t>Bevételek mindösszesen</t>
  </si>
  <si>
    <t>Feladat
finanszírozás</t>
  </si>
  <si>
    <t>Egyéb állami támogatás</t>
  </si>
  <si>
    <t>Összes kiadás</t>
  </si>
  <si>
    <t>1. Beruházások</t>
  </si>
  <si>
    <t>2. Felújítások</t>
  </si>
  <si>
    <t>-</t>
  </si>
  <si>
    <t>3. Egyéb felhalmozási kiadások</t>
  </si>
  <si>
    <t>Felvétel éve</t>
  </si>
  <si>
    <t>Összege</t>
  </si>
  <si>
    <t>Mindösszesen:</t>
  </si>
  <si>
    <t>Megnevezés</t>
  </si>
  <si>
    <t>Január</t>
  </si>
  <si>
    <t>Február</t>
  </si>
  <si>
    <t>Március</t>
  </si>
  <si>
    <t>Április</t>
  </si>
  <si>
    <t>Május</t>
  </si>
  <si>
    <t>Június</t>
  </si>
  <si>
    <t>Július</t>
  </si>
  <si>
    <t>Aug.</t>
  </si>
  <si>
    <t>Szept.</t>
  </si>
  <si>
    <t>Okt.</t>
  </si>
  <si>
    <t>Nov.</t>
  </si>
  <si>
    <t>Dec.</t>
  </si>
  <si>
    <t>1.Bevételek</t>
  </si>
  <si>
    <t xml:space="preserve">   Bevételek összesen</t>
  </si>
  <si>
    <t>2.Kiadások</t>
  </si>
  <si>
    <t xml:space="preserve">   Működési célú kiadások</t>
  </si>
  <si>
    <t xml:space="preserve">   Beruházás, fejlesztés</t>
  </si>
  <si>
    <t xml:space="preserve">    Tartalék felhasználása, tervezett
    maradvány</t>
  </si>
  <si>
    <t xml:space="preserve">   Kiadások összesen</t>
  </si>
  <si>
    <t>Havi egyenleg</t>
  </si>
  <si>
    <t>Göngyölített egyenleg</t>
  </si>
  <si>
    <t xml:space="preserve">               Pénzügyi Gondnokság konyha működtetés (intézményi étkeztetés)</t>
  </si>
  <si>
    <t xml:space="preserve">        Fizikoterápiás szolgáltatás</t>
  </si>
  <si>
    <t>Önkormányzat/
intézmények/feladatok szerinti bontásban</t>
  </si>
  <si>
    <t>Munkaadót terhelő járulékok és szociális hozzájárulási adó</t>
  </si>
  <si>
    <t>III. Közhatalmi bevételek</t>
  </si>
  <si>
    <t>közfoglalkoztatottak létszáma (önkormányzat)</t>
  </si>
  <si>
    <t>Engedély
ezett
 létszám</t>
  </si>
  <si>
    <t>EU-s projekt, program megnevezése</t>
  </si>
  <si>
    <t>Projekt azonosító</t>
  </si>
  <si>
    <t>Igényelt támogatás összege</t>
  </si>
  <si>
    <t>Megítélt támogatás összege</t>
  </si>
  <si>
    <t>Önkormányzati önerő összege</t>
  </si>
  <si>
    <t>Projekthez kapcsolódó kiadások</t>
  </si>
  <si>
    <t>Projekt megvalósításhoz kapcsolódó egyéb költségek</t>
  </si>
  <si>
    <t>Projekt megvalósítás során felmerült költségek</t>
  </si>
  <si>
    <t>Elszámolható</t>
  </si>
  <si>
    <t>Nem elszámolható</t>
  </si>
  <si>
    <t>Önkormányzati önerő
 %</t>
  </si>
  <si>
    <t>Projekt összköltség összesen</t>
  </si>
  <si>
    <t>Tám.-i intenzitás
%</t>
  </si>
  <si>
    <t xml:space="preserve">    Munkáltatót terhelő szja</t>
  </si>
  <si>
    <t>Futamidő (fizetési kötelezettség)</t>
  </si>
  <si>
    <t>Rovat</t>
  </si>
  <si>
    <t>B1-B7</t>
  </si>
  <si>
    <t>B1</t>
  </si>
  <si>
    <t>B11</t>
  </si>
  <si>
    <t>B13</t>
  </si>
  <si>
    <t>B14</t>
  </si>
  <si>
    <t>B15</t>
  </si>
  <si>
    <t>B16</t>
  </si>
  <si>
    <t xml:space="preserve">      1.3. Működési és garancia- és kezességvállalásból származó bevételek</t>
  </si>
  <si>
    <t xml:space="preserve">      1.4. Működési célú visszatérítendő támogatások, kölcsönök visszatérülése</t>
  </si>
  <si>
    <t xml:space="preserve">      1.5. Működési célú visszatérítendő támogatások, kölcsönök igénybevétele</t>
  </si>
  <si>
    <t xml:space="preserve">      1.1. Önkormányzatok működési támogatásai</t>
  </si>
  <si>
    <t xml:space="preserve">      1.6. Egyéb működési célú támogatások</t>
  </si>
  <si>
    <t>B2</t>
  </si>
  <si>
    <t>B21</t>
  </si>
  <si>
    <t>B23</t>
  </si>
  <si>
    <t>B24</t>
  </si>
  <si>
    <t>B25</t>
  </si>
  <si>
    <t xml:space="preserve">      2.3. Felhalmozási célú visszatérítendő támogatások, kölcsönök visszatérülése</t>
  </si>
  <si>
    <t xml:space="preserve">      2.4. Felhalmozási célú visszatérítendő támogatások, kölcsönök igénybevétele</t>
  </si>
  <si>
    <t xml:space="preserve">      2.5. Egyéb felhalmozási célú támogatások</t>
  </si>
  <si>
    <t xml:space="preserve">      2.1. Felhalmozási célú önkormányzati támogatások</t>
  </si>
  <si>
    <t>B3</t>
  </si>
  <si>
    <t>B31</t>
  </si>
  <si>
    <t>B32</t>
  </si>
  <si>
    <t>B33</t>
  </si>
  <si>
    <t>B34</t>
  </si>
  <si>
    <t>B35</t>
  </si>
  <si>
    <t>B36</t>
  </si>
  <si>
    <t xml:space="preserve">      3.1. Jövedelemadók</t>
  </si>
  <si>
    <t xml:space="preserve">      3.2. Szociális hozzájárulási adók és járulékok</t>
  </si>
  <si>
    <t xml:space="preserve">      3.3. Bérhez és foglalkoztatáshoz kapcsolódó adók</t>
  </si>
  <si>
    <t xml:space="preserve">      3.6. Egyéb közhatalmi bevételek</t>
  </si>
  <si>
    <t>B4</t>
  </si>
  <si>
    <t xml:space="preserve">      4.1. Készletértékesítés ellenértéke</t>
  </si>
  <si>
    <t xml:space="preserve">      4.2. Szolgáltatások ellenértéke</t>
  </si>
  <si>
    <t>B401</t>
  </si>
  <si>
    <t>B402</t>
  </si>
  <si>
    <t>B403</t>
  </si>
  <si>
    <t>B404</t>
  </si>
  <si>
    <t>B405</t>
  </si>
  <si>
    <t xml:space="preserve">      4.3. Közvetített szolgáltatások ellenértéke</t>
  </si>
  <si>
    <t xml:space="preserve">      4.4. Tulajdonosi bevételek</t>
  </si>
  <si>
    <t xml:space="preserve">      4.5. Ellátási díjak</t>
  </si>
  <si>
    <t>B406</t>
  </si>
  <si>
    <t xml:space="preserve">      4.6. Kiszámlázott ÁFA</t>
  </si>
  <si>
    <t>B407</t>
  </si>
  <si>
    <t xml:space="preserve">      4.7. ÁFA visszatérítése</t>
  </si>
  <si>
    <t>B408</t>
  </si>
  <si>
    <t xml:space="preserve">      4.8. Kamatbevételek</t>
  </si>
  <si>
    <t>B409</t>
  </si>
  <si>
    <t xml:space="preserve">      4.9. Egyéb pénzügyi műveletek bevételei</t>
  </si>
  <si>
    <t>B12-16</t>
  </si>
  <si>
    <t xml:space="preserve">      1.2. Egyéb működési célú támogatások</t>
  </si>
  <si>
    <t>B22-25</t>
  </si>
  <si>
    <t xml:space="preserve">      2.2. Egyéb felhalmozási célú támogatások</t>
  </si>
  <si>
    <t>B410</t>
  </si>
  <si>
    <t xml:space="preserve">      4.10. Egyéb működési bevételek</t>
  </si>
  <si>
    <t xml:space="preserve">      3.4. Vagyoni típusú adók (építményadó, telekadó)</t>
  </si>
  <si>
    <t xml:space="preserve">      3.5. Termékek és szolgáltatások adói (iparűzési adó, gépjárműadó)</t>
  </si>
  <si>
    <t>B5</t>
  </si>
  <si>
    <t>B51</t>
  </si>
  <si>
    <t>B52</t>
  </si>
  <si>
    <t>B53</t>
  </si>
  <si>
    <t>B54</t>
  </si>
  <si>
    <t>B55</t>
  </si>
  <si>
    <t xml:space="preserve">      5.1. Immateriális javak értékesítése</t>
  </si>
  <si>
    <t xml:space="preserve">      5.2. Ingatlanok értékesítése</t>
  </si>
  <si>
    <t xml:space="preserve">      5.3. Egyéb tárgyi eszközök értékesítése</t>
  </si>
  <si>
    <t xml:space="preserve">      5.4. Részesedések értékesítése</t>
  </si>
  <si>
    <t xml:space="preserve">      5.5. Részesedések megszűnéséhez kapcsolódó bevételek</t>
  </si>
  <si>
    <t>B6</t>
  </si>
  <si>
    <t>B7</t>
  </si>
  <si>
    <t xml:space="preserve">      6.1. Működési célú garancia- és kezességvállalásból származó megtérülések</t>
  </si>
  <si>
    <t xml:space="preserve">      6.2. Működési célú visszatérítendő támogatások, kölcsönök visszatérülése</t>
  </si>
  <si>
    <t xml:space="preserve">      6.3. Egyéb működési célú átvett pénzeszközök</t>
  </si>
  <si>
    <t>B61</t>
  </si>
  <si>
    <t>B62</t>
  </si>
  <si>
    <t>B63</t>
  </si>
  <si>
    <t>B71</t>
  </si>
  <si>
    <t>B72</t>
  </si>
  <si>
    <t>B73</t>
  </si>
  <si>
    <t xml:space="preserve">      7.1. Felhalmozási célú garancia- és kezességvállalásból származó megtérülések</t>
  </si>
  <si>
    <t xml:space="preserve">      7.2. Felhalmozási célú visszatérítendő támogatások, kölcsönök visszatérülése</t>
  </si>
  <si>
    <t xml:space="preserve">      7.3. Felhalmozási célú átvett pénzeszközök</t>
  </si>
  <si>
    <t>K1-K5</t>
  </si>
  <si>
    <t>K6-K8</t>
  </si>
  <si>
    <t>K9</t>
  </si>
  <si>
    <t>K1-K8</t>
  </si>
  <si>
    <t>Működési bevételek - kiadások</t>
  </si>
  <si>
    <t>Felhalmozási bevételek - kiadások</t>
  </si>
  <si>
    <t>B111</t>
  </si>
  <si>
    <t>B112</t>
  </si>
  <si>
    <t>B113</t>
  </si>
  <si>
    <t>B114</t>
  </si>
  <si>
    <t>B115</t>
  </si>
  <si>
    <t xml:space="preserve">B116 </t>
  </si>
  <si>
    <t>K1</t>
  </si>
  <si>
    <t>K2</t>
  </si>
  <si>
    <t>K3</t>
  </si>
  <si>
    <t>K4</t>
  </si>
  <si>
    <t>K5</t>
  </si>
  <si>
    <t>I. Működési célú támogatások államháztartáson belülről</t>
  </si>
  <si>
    <t>II. Felhalmozási célú támogatások államháztartáson belülről</t>
  </si>
  <si>
    <t>IV. Működési bevételek</t>
  </si>
  <si>
    <t>V. Felhalmozási bevételek</t>
  </si>
  <si>
    <t>VI. Működési célú átvett pénzeszközök</t>
  </si>
  <si>
    <t>VII. Felhalmozási célú átvett pénzeszközök</t>
  </si>
  <si>
    <t xml:space="preserve">II. Felhalmozási kiadások </t>
  </si>
  <si>
    <t>II. Közhatalmi bevételek</t>
  </si>
  <si>
    <t xml:space="preserve">      1. Vagyoni típusú adók </t>
  </si>
  <si>
    <t xml:space="preserve">          1.1. Építményadó </t>
  </si>
  <si>
    <t xml:space="preserve">          1.3. Kommunális adó</t>
  </si>
  <si>
    <t xml:space="preserve">          1.4. Telekadó</t>
  </si>
  <si>
    <t xml:space="preserve">     2. Termékek és szolgáltatások adói</t>
  </si>
  <si>
    <t xml:space="preserve">          2.1. Iparűzési adó</t>
  </si>
  <si>
    <t>III. Működési bevételek</t>
  </si>
  <si>
    <t xml:space="preserve">      1. Készletértékesítés ellenértéke</t>
  </si>
  <si>
    <t xml:space="preserve">      3. Közvetített szolgáltatások ellenértéke</t>
  </si>
  <si>
    <t xml:space="preserve">      5. Ellátási díjak</t>
  </si>
  <si>
    <t xml:space="preserve">      6. Kiszámlázott ÁFA</t>
  </si>
  <si>
    <t xml:space="preserve">      7. ÁFA visszatérítése</t>
  </si>
  <si>
    <t xml:space="preserve">      8. Kamatbevételek</t>
  </si>
  <si>
    <t xml:space="preserve">      9. Egyéb pénzügyi műveletek bevételei</t>
  </si>
  <si>
    <t>IV. Működési célú átvett pénzeszközök</t>
  </si>
  <si>
    <t>I. Személyi juttatások</t>
  </si>
  <si>
    <t>II. Munkaadót terhelő járulékok és szociális hozzájárulási adó</t>
  </si>
  <si>
    <t>III. Dologi kiadások</t>
  </si>
  <si>
    <t>I. Felhalmozási célú támogatások államháztartáson belülről</t>
  </si>
  <si>
    <t>II. Felhalmozási bevételek</t>
  </si>
  <si>
    <t xml:space="preserve">      1. Immateriális javak értékesítése</t>
  </si>
  <si>
    <t xml:space="preserve">      2. Ingatlanok értékesítése</t>
  </si>
  <si>
    <t xml:space="preserve">      3. Egyéb tárgyi eszközök értékesítése</t>
  </si>
  <si>
    <t xml:space="preserve">      4. Részesedések értékesítése</t>
  </si>
  <si>
    <t xml:space="preserve">      5. Részesedések megszűnéséhez kapcsolódó bevételek</t>
  </si>
  <si>
    <t>K6</t>
  </si>
  <si>
    <t>Kiküldetések, reklám- és propagandakiadások</t>
  </si>
  <si>
    <t>Különféle befizetések és egyéb dologi kiadások</t>
  </si>
  <si>
    <t>K 31</t>
  </si>
  <si>
    <t>K 311</t>
  </si>
  <si>
    <t>K 313</t>
  </si>
  <si>
    <t>K 312</t>
  </si>
  <si>
    <t>K 32</t>
  </si>
  <si>
    <t>K 321</t>
  </si>
  <si>
    <t>K 322</t>
  </si>
  <si>
    <t>K 33</t>
  </si>
  <si>
    <t>K 331</t>
  </si>
  <si>
    <t>K 333</t>
  </si>
  <si>
    <t>K 334</t>
  </si>
  <si>
    <t>K 335</t>
  </si>
  <si>
    <t>K 336</t>
  </si>
  <si>
    <t>K 337</t>
  </si>
  <si>
    <t>K 34</t>
  </si>
  <si>
    <t>K 341</t>
  </si>
  <si>
    <t>K 342</t>
  </si>
  <si>
    <t>K 35</t>
  </si>
  <si>
    <t>K 351</t>
  </si>
  <si>
    <t>K 352</t>
  </si>
  <si>
    <t>K 353</t>
  </si>
  <si>
    <t>K 354</t>
  </si>
  <si>
    <t>K 355</t>
  </si>
  <si>
    <t>Készletbeszerzés</t>
  </si>
  <si>
    <t xml:space="preserve">     Üzemeltetési anyagok</t>
  </si>
  <si>
    <t xml:space="preserve">     Árubeszerzés</t>
  </si>
  <si>
    <t>Kommunikációs szolgáltatások</t>
  </si>
  <si>
    <t>Szolgáltatási kiadások</t>
  </si>
  <si>
    <t xml:space="preserve">    Működési célú előzetesen felszámított ÁFA</t>
  </si>
  <si>
    <t xml:space="preserve">    Fizetendő ÁFA</t>
  </si>
  <si>
    <t xml:space="preserve">    Kamatkiadások</t>
  </si>
  <si>
    <t xml:space="preserve">    Egyéb pénzügyi műveletek kiadásai</t>
  </si>
  <si>
    <t xml:space="preserve">K4 </t>
  </si>
  <si>
    <t xml:space="preserve">K3 </t>
  </si>
  <si>
    <t>Személyi juttatások összesen</t>
  </si>
  <si>
    <t>K11</t>
  </si>
  <si>
    <t>Foglalkoztatottak személyi juttatásai</t>
  </si>
  <si>
    <t>K12</t>
  </si>
  <si>
    <t xml:space="preserve">     Kiküldetések </t>
  </si>
  <si>
    <t xml:space="preserve">     Egyéb szolgáltatások</t>
  </si>
  <si>
    <t xml:space="preserve">     Szakmai tevékenységet segítő szolgáltatások</t>
  </si>
  <si>
    <t xml:space="preserve">     Közvetített szolgáltatások</t>
  </si>
  <si>
    <t xml:space="preserve">     Karbantartás, kisjavítás</t>
  </si>
  <si>
    <t xml:space="preserve">     Bérleti és lízingdíjak</t>
  </si>
  <si>
    <t xml:space="preserve">     Közüzemi díjak</t>
  </si>
  <si>
    <t xml:space="preserve">        Nyomtatvány, irodaszer</t>
  </si>
  <si>
    <t xml:space="preserve">        Hajtó- és kenőanyagok</t>
  </si>
  <si>
    <t xml:space="preserve">        Tisztítószer</t>
  </si>
  <si>
    <r>
      <t xml:space="preserve">      Egyéb kommunikációs szolgáltatások</t>
    </r>
    <r>
      <rPr>
        <sz val="8"/>
        <rFont val="Times New Roman"/>
        <family val="1"/>
        <charset val="238"/>
      </rPr>
      <t xml:space="preserve"> (telefon, mobiltelefon)</t>
    </r>
  </si>
  <si>
    <t xml:space="preserve">     Reklám- és propagandakiadások </t>
  </si>
  <si>
    <t xml:space="preserve">        Szemétszállítás</t>
  </si>
  <si>
    <t xml:space="preserve">        Biztosítások (vagyon, gépjármű)</t>
  </si>
  <si>
    <t xml:space="preserve">        Különféle adók, díjak, adójellegű befizetések, hozzájárulások</t>
  </si>
  <si>
    <t>011130 Önk. és önk.-i hivatalok 
jogalkotói és ált. igazgatási tevékenysége</t>
  </si>
  <si>
    <t>K 332</t>
  </si>
  <si>
    <t xml:space="preserve">     Vásárolt élelmezés</t>
  </si>
  <si>
    <t xml:space="preserve">        Munkaruha</t>
  </si>
  <si>
    <t xml:space="preserve">K5 </t>
  </si>
  <si>
    <t xml:space="preserve">K6 </t>
  </si>
  <si>
    <t>Beruházások (kis értékű tárgyi eszköz beszerzés)</t>
  </si>
  <si>
    <t xml:space="preserve">        Foglalkozás- egészségügyi alapellátás</t>
  </si>
  <si>
    <t xml:space="preserve">        Továbbképzés, oktatás</t>
  </si>
  <si>
    <t xml:space="preserve">      2. Európai Uniós forrásból származó bevételek</t>
  </si>
  <si>
    <t xml:space="preserve">        1. Európai Uniós támogatásból megvalósuló beruházások</t>
  </si>
  <si>
    <t xml:space="preserve">    Költségtérítés</t>
  </si>
  <si>
    <r>
      <t>Külső személyi juttatások</t>
    </r>
    <r>
      <rPr>
        <sz val="10"/>
        <rFont val="Times New Roman"/>
        <family val="1"/>
        <charset val="238"/>
      </rPr>
      <t xml:space="preserve"> </t>
    </r>
  </si>
  <si>
    <t xml:space="preserve">    Alkalmazottak illetménye </t>
  </si>
  <si>
    <t xml:space="preserve">V. Egyéb működési célú kiadások </t>
  </si>
  <si>
    <t xml:space="preserve">    1. Működési célú pénzeszközátadások, támogatások</t>
  </si>
  <si>
    <t xml:space="preserve">    2. Működési célú tartalék</t>
  </si>
  <si>
    <t xml:space="preserve">      1. Beruházások</t>
  </si>
  <si>
    <t xml:space="preserve">      2. Felújítások</t>
  </si>
  <si>
    <t xml:space="preserve">      3. Egyéb felhalmozási célú kiadások</t>
  </si>
  <si>
    <t xml:space="preserve">III. Felhalmozási célú átvett pénzeszközök </t>
  </si>
  <si>
    <t xml:space="preserve">        1. Európai Uniós támogatásból megvalósuló felújítások</t>
  </si>
  <si>
    <t xml:space="preserve">        2. Hazai támogatásból, saját forrásból megvalósuló felújítások</t>
  </si>
  <si>
    <t>045160 Közutak, hidak fenntartása</t>
  </si>
  <si>
    <t xml:space="preserve">        Tüzelőanyag</t>
  </si>
  <si>
    <t xml:space="preserve">        Egyéb üzemeltetés, készletbeszerzés</t>
  </si>
  <si>
    <t xml:space="preserve">      2. Működési célú tartalék</t>
  </si>
  <si>
    <t xml:space="preserve">      1. Hazai forrásból származó bevételek </t>
  </si>
  <si>
    <t>Többéves kihatással járó feladatok</t>
  </si>
  <si>
    <t xml:space="preserve">   Támogatások ÁHT-n belülről</t>
  </si>
  <si>
    <t xml:space="preserve">   Közhatalmi bevételek</t>
  </si>
  <si>
    <t xml:space="preserve">   Működési bevételek</t>
  </si>
  <si>
    <t xml:space="preserve">   Működési célú átvett pénzeszközök</t>
  </si>
  <si>
    <t xml:space="preserve">   Felhalmozási bevételek</t>
  </si>
  <si>
    <t xml:space="preserve">   Működési c. pénzeszk.átadás, tám.</t>
  </si>
  <si>
    <t>Működési célú tartalék</t>
  </si>
  <si>
    <t>Műk. célú
pénzeszköz
átadás</t>
  </si>
  <si>
    <t>Költség-
vetési kiadások összesen</t>
  </si>
  <si>
    <t>Felhalmozási célúl bevételek</t>
  </si>
  <si>
    <t>Működési bevételek</t>
  </si>
  <si>
    <t>Működési célú támogatások államháztartáson belülről</t>
  </si>
  <si>
    <t>Közhatalmi bevételek</t>
  </si>
  <si>
    <t>Működési célú átvett pénzeszközök</t>
  </si>
  <si>
    <t>041233 Közfoglalkoztatás</t>
  </si>
  <si>
    <t xml:space="preserve">    Reprezentáció</t>
  </si>
  <si>
    <t xml:space="preserve">        Kéményseprés, rovarirtás, egyéb</t>
  </si>
  <si>
    <t xml:space="preserve">          2.2. Gépjárműadó (40%)</t>
  </si>
  <si>
    <t xml:space="preserve">      Informatikai szolgáltatások</t>
  </si>
  <si>
    <t xml:space="preserve">    Képviselői tiszteletdíjak, alpolgármesteri díj, költségtérítés</t>
  </si>
  <si>
    <t xml:space="preserve">        Postaköltség</t>
  </si>
  <si>
    <t xml:space="preserve">        Szúnyog és kullancsirtás</t>
  </si>
  <si>
    <r>
      <t xml:space="preserve">     Szakmai anyagok beszerzése</t>
    </r>
    <r>
      <rPr>
        <sz val="7"/>
        <rFont val="Times New Roman"/>
        <family val="1"/>
        <charset val="238"/>
      </rPr>
      <t xml:space="preserve"> (könyv, folyóirat, napilap, gyógyszer, egyéb)</t>
    </r>
  </si>
  <si>
    <t xml:space="preserve">        Hóeltakarítás</t>
  </si>
  <si>
    <t xml:space="preserve">        2. Hazai támogatásból, saját forrásból megvalósítandó beruházások </t>
  </si>
  <si>
    <t>B8</t>
  </si>
  <si>
    <t xml:space="preserve">A. K ö l t s é g v e t é s i  b e v é t e l e k </t>
  </si>
  <si>
    <t xml:space="preserve">B. F i n a n s z í r o z á s i   b e v é t e l e k </t>
  </si>
  <si>
    <t xml:space="preserve">A. K ö l t s é g v e t é s i  k i a d á s o k </t>
  </si>
  <si>
    <t>B. F i n a n s z í r o z á s i   k i a d á s o k</t>
  </si>
  <si>
    <t xml:space="preserve">A. K ö l t s é g v e t é s i   k i a d á s o k </t>
  </si>
  <si>
    <t xml:space="preserve">A. K ö l t s é g v e t é s i   b e v é t e l e k </t>
  </si>
  <si>
    <t xml:space="preserve">B. F i n a n s z í r o z á s i  b e v é t e l e k </t>
  </si>
  <si>
    <t xml:space="preserve">        1. Működési célú hitel</t>
  </si>
  <si>
    <t>I. Költségvetési hiány belső finanszírozására szolgáló eszközök</t>
  </si>
  <si>
    <t>II. Költségvetési hiány külső finanszírozására szolgáló eszközök</t>
  </si>
  <si>
    <t xml:space="preserve">       1. Felhalmozási célú hitel</t>
  </si>
  <si>
    <t xml:space="preserve">       1. Működési célú hitel</t>
  </si>
  <si>
    <t xml:space="preserve">       2. Felhalmozási célú hitel</t>
  </si>
  <si>
    <t xml:space="preserve">B. F i n a n s z í r o z á s i   k i a d á s o k </t>
  </si>
  <si>
    <t xml:space="preserve">          3.1. Felhalmozási célú pénzeszközátadás</t>
  </si>
  <si>
    <t>066020 Város- és község
gazdálkodási szolg.</t>
  </si>
  <si>
    <t>107055 Falu
gondnoki szolgáltatás</t>
  </si>
  <si>
    <t>064010 Köz-
világítás</t>
  </si>
  <si>
    <t>082044 Könyvtári szolgálta-
tások</t>
  </si>
  <si>
    <t>082092 Közművelődési intézmény
működ-tetése</t>
  </si>
  <si>
    <t>Adósságot keletkeztető ügyletnél figyelembe veendő bevételek (Stabilitási tv. 45.§ (1) a., 10.§ (5) bek. szerint)</t>
  </si>
  <si>
    <t>Felh. bevételek, átvett pénzeszközök</t>
  </si>
  <si>
    <t xml:space="preserve">    2. Civil szervezeteknek </t>
  </si>
  <si>
    <t xml:space="preserve">      2. Működési célú tartalék </t>
  </si>
  <si>
    <t xml:space="preserve">Teleki Község Önkormányzatának </t>
  </si>
  <si>
    <r>
      <t>Teleki Község</t>
    </r>
    <r>
      <rPr>
        <b/>
        <i/>
        <u/>
        <sz val="12"/>
        <rFont val="Arial CE"/>
        <family val="2"/>
        <charset val="238"/>
      </rPr>
      <t xml:space="preserve">Önkormányzatának </t>
    </r>
  </si>
  <si>
    <r>
      <t xml:space="preserve">    Megbízási díj</t>
    </r>
    <r>
      <rPr>
        <sz val="8"/>
        <rFont val="Times New Roman"/>
        <family val="1"/>
        <charset val="238"/>
      </rPr>
      <t xml:space="preserve"> </t>
    </r>
  </si>
  <si>
    <t>013320 Köztemető fenntartás</t>
  </si>
  <si>
    <t>013350 Önkormányzati vagyonnal való gazd. fel.</t>
  </si>
  <si>
    <t>Bevételek összesen</t>
  </si>
  <si>
    <t>Kiadások összesen</t>
  </si>
  <si>
    <t>Működési bevételek összesen</t>
  </si>
  <si>
    <t>Működési kiadások összesen</t>
  </si>
  <si>
    <t>Felhalmozási bevételek összesen</t>
  </si>
  <si>
    <t>Felhalmozási kiadások összesen</t>
  </si>
  <si>
    <t>K7</t>
  </si>
  <si>
    <t>K8</t>
  </si>
  <si>
    <t xml:space="preserve">          1. Felhalmozási célú pénzeszközátadás</t>
  </si>
  <si>
    <t xml:space="preserve">    1. Háztartásoknak </t>
  </si>
  <si>
    <t>107060 Egyéb pénbeli és szoc. ellátások</t>
  </si>
  <si>
    <t>Felhalmozási célú bevételek áht-n belülről</t>
  </si>
  <si>
    <t>B411</t>
  </si>
  <si>
    <t xml:space="preserve">     11. Egyéb működési bevételek</t>
  </si>
  <si>
    <t xml:space="preserve">     10. Biztosító által fizetett kártérítés</t>
  </si>
  <si>
    <t xml:space="preserve">      4. Tulajdonosi bevételek </t>
  </si>
  <si>
    <t xml:space="preserve">        Bankköltség</t>
  </si>
  <si>
    <t>K914</t>
  </si>
  <si>
    <t>Államháztartáson belüli megelőlegezések visszafizetése</t>
  </si>
  <si>
    <t>Finanszírozási kiadás</t>
  </si>
  <si>
    <t>Hitel törlesztése</t>
  </si>
  <si>
    <t xml:space="preserve">    Cafeteria</t>
  </si>
  <si>
    <t xml:space="preserve">          2. Felhalmozási célú tartalék</t>
  </si>
  <si>
    <t xml:space="preserve">       1. Előző évi felhalmozási célú maradvány</t>
  </si>
  <si>
    <t xml:space="preserve">        1. Előző évi működési célú maradvány</t>
  </si>
  <si>
    <t xml:space="preserve">         1.1. Működési célú maradvány</t>
  </si>
  <si>
    <t xml:space="preserve">         1.2. Felhalmozási célú maradvány</t>
  </si>
  <si>
    <t xml:space="preserve">     1. Előző évi maradvány igénybevétele</t>
  </si>
  <si>
    <t>Felhalmozási célú
maradvány</t>
  </si>
  <si>
    <t xml:space="preserve">   Előző évi maradvány</t>
  </si>
  <si>
    <t xml:space="preserve"> I. Költségvetési hiány belső finanszírozására szolgáló eszközök</t>
  </si>
  <si>
    <t xml:space="preserve">   Finanszírozási kiadások</t>
  </si>
  <si>
    <t>Ellátottak pénzbeli juttatásai</t>
  </si>
  <si>
    <t>IV. Ellátottak pénzbeli juttatásai</t>
  </si>
  <si>
    <t>Egyéb működési célú kiadások mindösszesen (I+II+III)</t>
  </si>
  <si>
    <t xml:space="preserve">               Somogy Megyei Önkormányzati Társulás (munka- és tűzvédelem, műk.ktg.h.jár)</t>
  </si>
  <si>
    <t>2020. évi eredeti előirányzat</t>
  </si>
  <si>
    <t xml:space="preserve">          3.2. Felhalmozási célú tartalék </t>
  </si>
  <si>
    <r>
      <t xml:space="preserve">     </t>
    </r>
    <r>
      <rPr>
        <i/>
        <sz val="10"/>
        <rFont val="Times New Roman"/>
        <family val="1"/>
        <charset val="238"/>
      </rPr>
      <t xml:space="preserve">     3.2. Felhalmozási célú tartalék </t>
    </r>
  </si>
  <si>
    <t>Előirányzatok változása                                                                                     Bevételek/kiadások változása</t>
  </si>
  <si>
    <t>Indoklás</t>
  </si>
  <si>
    <t xml:space="preserve">         Építményadó</t>
  </si>
  <si>
    <t xml:space="preserve">         Telekadó</t>
  </si>
  <si>
    <t>B351</t>
  </si>
  <si>
    <t xml:space="preserve">         Iparűzési adó</t>
  </si>
  <si>
    <t>B354</t>
  </si>
  <si>
    <t xml:space="preserve">         Pótlék, bírság bevételek</t>
  </si>
  <si>
    <t>B65</t>
  </si>
  <si>
    <t xml:space="preserve">     2. ÁHB megelőlegezés</t>
  </si>
  <si>
    <r>
      <t xml:space="preserve">    </t>
    </r>
    <r>
      <rPr>
        <sz val="10"/>
        <rFont val="Times New Roman"/>
        <family val="1"/>
        <charset val="238"/>
      </rPr>
      <t>Önkormányzat működési kiadásai</t>
    </r>
  </si>
  <si>
    <t>K513</t>
  </si>
  <si>
    <t xml:space="preserve">     Egyéb felhalmozási célú kiadások</t>
  </si>
  <si>
    <t xml:space="preserve">          Felhalmozási célú pénzeszközátadás</t>
  </si>
  <si>
    <t xml:space="preserve">          Felhalmozási célú tartalék </t>
  </si>
  <si>
    <t>K9113</t>
  </si>
  <si>
    <t xml:space="preserve">     Hitel visszafizetése</t>
  </si>
  <si>
    <t xml:space="preserve">     ÁHB megelőlegezés visszafiz. (2014. évben kiutalt 2015. évi normatíva visszafizetése)</t>
  </si>
  <si>
    <t>107051 Szociális étkeztetés</t>
  </si>
  <si>
    <t>K337</t>
  </si>
  <si>
    <t>K351</t>
  </si>
  <si>
    <t xml:space="preserve">        Működési ÁFA</t>
  </si>
  <si>
    <t>K355</t>
  </si>
  <si>
    <t>K312</t>
  </si>
  <si>
    <t>K336</t>
  </si>
  <si>
    <t xml:space="preserve">     Kötelező (eredeti)</t>
  </si>
  <si>
    <t>Önkormányzat összesen (eredeti)</t>
  </si>
  <si>
    <t xml:space="preserve">       Államigazgatási (eredeti)</t>
  </si>
  <si>
    <t xml:space="preserve">     Nem kötelező (eredeti)</t>
  </si>
  <si>
    <t xml:space="preserve">     Államigazgatási feladatok</t>
  </si>
  <si>
    <t>K331</t>
  </si>
  <si>
    <t>K48</t>
  </si>
  <si>
    <t xml:space="preserve">         Kommunális adó</t>
  </si>
  <si>
    <t>K334</t>
  </si>
  <si>
    <t xml:space="preserve">        Szolgálati lakás felújítása (átcsoportosítás K334 és K351-re)</t>
  </si>
  <si>
    <t>K321</t>
  </si>
  <si>
    <t>K322</t>
  </si>
  <si>
    <t>K332</t>
  </si>
  <si>
    <t>B355</t>
  </si>
  <si>
    <t xml:space="preserve">      2. Szolgáltatások ellenértéke (bérleti díjak)</t>
  </si>
  <si>
    <t xml:space="preserve">        Veszélyes fák kivágása </t>
  </si>
  <si>
    <t>2021. évi eredeti előirányzat</t>
  </si>
  <si>
    <t xml:space="preserve">        Rendezvények </t>
  </si>
  <si>
    <t xml:space="preserve">          EFOP-1.5.2-16-2017-00005 jelű pályázat</t>
  </si>
  <si>
    <t>Felhalmozási célú
hitel</t>
  </si>
  <si>
    <t>Figyelembe vehető saját bevételek</t>
  </si>
  <si>
    <t xml:space="preserve">EFOP-1.5.2-16-2017-00005 
</t>
  </si>
  <si>
    <t>100</t>
  </si>
  <si>
    <t>Humán szolgáltatások fejlesztése
 térségi szemléletben Balatonföldvár és térségében</t>
  </si>
  <si>
    <t>EFOP-1.5.2-16 pályázat</t>
  </si>
  <si>
    <t>K1101</t>
  </si>
  <si>
    <t xml:space="preserve">        Járulékok</t>
  </si>
  <si>
    <t xml:space="preserve">          2.3. Idegenforgalmi adó</t>
  </si>
  <si>
    <t xml:space="preserve">      3. Egyéb közhatalmi bevételek (igazgatási szolgáltatási díj, bírság, pótlék)</t>
  </si>
  <si>
    <t>K506</t>
  </si>
  <si>
    <t xml:space="preserve">        Szociális célú tűzifa beszerzése + szállítási költség (52/2018.(VIII.22.))</t>
  </si>
  <si>
    <t xml:space="preserve">        Szociális célú tűzelőanyag kiegészítő támogatásból</t>
  </si>
  <si>
    <t xml:space="preserve">         Ellátási díjbevételek (szociális étkeztetés)</t>
  </si>
  <si>
    <t xml:space="preserve">        Vásárolt élelmezés </t>
  </si>
  <si>
    <t xml:space="preserve">         Bérleti díjak: lakbér, terembérlet</t>
  </si>
  <si>
    <t xml:space="preserve">         Sírhelymegváltás </t>
  </si>
  <si>
    <t xml:space="preserve">         Biztosító által fizetett kártérítés (szolgálati lakás üvegtörés)</t>
  </si>
  <si>
    <t>K1107</t>
  </si>
  <si>
    <t xml:space="preserve">        Cafeteria falugondnok</t>
  </si>
  <si>
    <t xml:space="preserve">        Egyéb üzemeltetési anyag: PB gáz </t>
  </si>
  <si>
    <t xml:space="preserve">        Egyéb kommunikációs kiadás (mobil) (átcsop. K321-re)</t>
  </si>
  <si>
    <t xml:space="preserve">          1.2. Idegenforgalmi adó (építmény után)</t>
  </si>
  <si>
    <t xml:space="preserve">           Civil szervezetek</t>
  </si>
  <si>
    <t xml:space="preserve">           Egyesületi tagdíjak</t>
  </si>
  <si>
    <t>III. Közvetett támogatások</t>
  </si>
  <si>
    <t>Ellátottak térítési díjának méltányossági alapon elengedett összege</t>
  </si>
  <si>
    <t>Lakosság részére lakásépítéshez, felújításhoz nyújtott kölcsön elengedése</t>
  </si>
  <si>
    <t>Építményadó mentesség helyi lakosok számára</t>
  </si>
  <si>
    <t>Építményadó törlés méltányosságból</t>
  </si>
  <si>
    <t>Telekadó mentesség, kedvezmény m2 alapján</t>
  </si>
  <si>
    <t>Idegenforgalmi adó kedvezmény elő- utószezonban</t>
  </si>
  <si>
    <t>Egyéb nyújtott kedvezmény vagy kölcsön elengedésének összege</t>
  </si>
  <si>
    <t xml:space="preserve">        EFOP-1.5.2-16 projekt - képzések, toborzás, rendezvényszerv.</t>
  </si>
  <si>
    <t xml:space="preserve">    Egyéb juttatás</t>
  </si>
  <si>
    <t>2022. évi eredeti előirányzat</t>
  </si>
  <si>
    <t>Ft-ban</t>
  </si>
  <si>
    <t>Kiadás</t>
  </si>
  <si>
    <t>Állami támogatás</t>
  </si>
  <si>
    <t>Egyenleg</t>
  </si>
  <si>
    <t>Önkormányzati feladatok</t>
  </si>
  <si>
    <t>011130 Önk. és önk.-i hivatalok 
jogalkotói és ált. igazgatási tev.</t>
  </si>
  <si>
    <t>011130 Működési célú pénzeszközátadások (óvoda, szoc., TKT, stb.)</t>
  </si>
  <si>
    <t>082092 Közművelődési intézmény
működtetése</t>
  </si>
  <si>
    <t>Feladat 
saját bevétele</t>
  </si>
  <si>
    <t>Adóbevételek</t>
  </si>
  <si>
    <t>Egyéb saját bevételek</t>
  </si>
  <si>
    <t>Előző évi szabad pénzmaradvány</t>
  </si>
  <si>
    <t>Költségvetési bevételek összesen</t>
  </si>
  <si>
    <t>Önkormányzati saját bevételek összesen</t>
  </si>
  <si>
    <t>Működési bevétel - kiadás egyenlege</t>
  </si>
  <si>
    <t>Feladat saját erős finanszírozása a költségvetés
%-ában</t>
  </si>
  <si>
    <t>064010 Közvilágítás</t>
  </si>
  <si>
    <t>082044 Könyvtári szolgáltatások</t>
  </si>
  <si>
    <t xml:space="preserve">   Működési célú hitel</t>
  </si>
  <si>
    <t>ezer Ft</t>
  </si>
  <si>
    <t>Települések</t>
  </si>
  <si>
    <t>Lakosságszám 
(fő)</t>
  </si>
  <si>
    <t xml:space="preserve">TKT </t>
  </si>
  <si>
    <t>Intézmények</t>
  </si>
  <si>
    <t>Mind
összesen</t>
  </si>
  <si>
    <t>Társulási díj   
500Ft/fő/év</t>
  </si>
  <si>
    <t>TKT működési h.jár</t>
  </si>
  <si>
    <t xml:space="preserve">Ügyelet  </t>
  </si>
  <si>
    <t xml:space="preserve">Labor  </t>
  </si>
  <si>
    <t>TKT
összesen</t>
  </si>
  <si>
    <t xml:space="preserve">BTKT TV </t>
  </si>
  <si>
    <t xml:space="preserve"> jhs</t>
  </si>
  <si>
    <t xml:space="preserve">Családseg.,Gyerm.jólét </t>
  </si>
  <si>
    <t xml:space="preserve">Óvodák (Bf. Bálv.) </t>
  </si>
  <si>
    <t xml:space="preserve">PÜG iroda, étkeztetés </t>
  </si>
  <si>
    <t xml:space="preserve">Intézmények
összesen                         </t>
  </si>
  <si>
    <t>különb
ség</t>
  </si>
  <si>
    <t>B.földvár</t>
  </si>
  <si>
    <t>B.őszöd</t>
  </si>
  <si>
    <t>B.szárszó</t>
  </si>
  <si>
    <t>B.szemes</t>
  </si>
  <si>
    <t>Bálványos</t>
  </si>
  <si>
    <t>Kereki</t>
  </si>
  <si>
    <t>Kőröshegy</t>
  </si>
  <si>
    <t>Kötcse</t>
  </si>
  <si>
    <t>N.csepely</t>
  </si>
  <si>
    <t>P.szemes</t>
  </si>
  <si>
    <t>Szántód</t>
  </si>
  <si>
    <t>Szólád</t>
  </si>
  <si>
    <t>Teleki</t>
  </si>
  <si>
    <t>Balatonendréd</t>
  </si>
  <si>
    <t xml:space="preserve">Házi segítség
nyújtás </t>
  </si>
  <si>
    <t>1. melléklet</t>
  </si>
  <si>
    <t>2. melléklet</t>
  </si>
  <si>
    <t>A. A helyi önkormányzatok általános működésének és ágazati feladatainak támogatása (I+II+III+IV)</t>
  </si>
  <si>
    <t xml:space="preserve">          I. Helyi önkormányzatok működésének általános támogatása</t>
  </si>
  <si>
    <t xml:space="preserve">             1. Települési önkormányzatok működésének támogatása</t>
  </si>
  <si>
    <t xml:space="preserve">                    a) Hivatal működésének támogatása</t>
  </si>
  <si>
    <t xml:space="preserve">                    b) Településüzemeltetéshez kapcsolódó feladatellátás támogatása</t>
  </si>
  <si>
    <r>
      <t xml:space="preserve">                             ba) Zöldterület gazdálkodással kapcsolatos feladatok támogatása</t>
    </r>
    <r>
      <rPr>
        <sz val="9"/>
        <color indexed="10"/>
        <rFont val="Times New Roman"/>
        <family val="1"/>
        <charset val="238"/>
      </rPr>
      <t xml:space="preserve"> </t>
    </r>
  </si>
  <si>
    <t xml:space="preserve">                             bb) Közvilágítás fenntartásának támogatása</t>
  </si>
  <si>
    <r>
      <t xml:space="preserve">                             bc) Köztemető fenntartással kapcsolatos feladatok</t>
    </r>
    <r>
      <rPr>
        <sz val="8"/>
        <rFont val="Times New Roman"/>
        <family val="1"/>
        <charset val="238"/>
      </rPr>
      <t xml:space="preserve"> </t>
    </r>
  </si>
  <si>
    <r>
      <t xml:space="preserve">                             bd) Közutak fenntartásának támogatása</t>
    </r>
    <r>
      <rPr>
        <sz val="9"/>
        <color indexed="10"/>
        <rFont val="Times New Roman"/>
        <family val="1"/>
        <charset val="238"/>
      </rPr>
      <t xml:space="preserve"> </t>
    </r>
  </si>
  <si>
    <t xml:space="preserve">                    c) Egyéb önkormányzati feladatok támogatása</t>
  </si>
  <si>
    <t xml:space="preserve">                    d) Lakott külterülettel kapcsolatos feladatok támogatása</t>
  </si>
  <si>
    <r>
      <t xml:space="preserve">                    e) </t>
    </r>
    <r>
      <rPr>
        <sz val="8"/>
        <rFont val="Times New Roman"/>
        <family val="1"/>
        <charset val="238"/>
      </rPr>
      <t>Üdülőhelyi feladatok támogatása</t>
    </r>
  </si>
  <si>
    <t xml:space="preserve">                    f) Beszámítás, kiegészítés </t>
  </si>
  <si>
    <t xml:space="preserve">             2. Polgármesteri illetmény támogatása</t>
  </si>
  <si>
    <r>
      <t xml:space="preserve">          II. Települési önkormányzatok egyes köznevelési feladatainak támogatása</t>
    </r>
    <r>
      <rPr>
        <b/>
        <sz val="8"/>
        <rFont val="Times New Roman"/>
        <family val="1"/>
        <charset val="238"/>
      </rPr>
      <t xml:space="preserve"> </t>
    </r>
  </si>
  <si>
    <t xml:space="preserve">          III. Települési önkormányzatok szociális, gyermekjóléti és gyermekétkeztetési fel.-i támogatása</t>
  </si>
  <si>
    <t xml:space="preserve">                1. Települési önkormányzatok szociális feladatainak egyéb támogatása</t>
  </si>
  <si>
    <t xml:space="preserve">                2. Egyes szociális és gyermekjóléti feladatok támogatása</t>
  </si>
  <si>
    <t xml:space="preserve">                     a) Család- és gyermekjóléti szolgálat </t>
  </si>
  <si>
    <t xml:space="preserve">                     b) Család- és gyermekjóléti központ</t>
  </si>
  <si>
    <t xml:space="preserve">                     c) Szociális étkeztetés</t>
  </si>
  <si>
    <t xml:space="preserve">                     d) Házi segítségnyújtás </t>
  </si>
  <si>
    <t xml:space="preserve">                          da) Szociális segítés </t>
  </si>
  <si>
    <t xml:space="preserve">                          db) Személyi gondozás </t>
  </si>
  <si>
    <t xml:space="preserve">                      e) Falugondnoki szolgáltatás</t>
  </si>
  <si>
    <t xml:space="preserve">                3. Bölcsőde, mini bölcsőde támogatása</t>
  </si>
  <si>
    <t xml:space="preserve">                4. Egyes szociális szakosított ellátások, gyermekek átmeneti gondozásával kapcsolatos feladatok tám.-a</t>
  </si>
  <si>
    <t xml:space="preserve">                5. Gyermekétkeztés támogatása</t>
  </si>
  <si>
    <t xml:space="preserve">                     a) Intézményi gyermekétkeztetés támogatása </t>
  </si>
  <si>
    <t xml:space="preserve">                          aa) Étkeztetési feladatot ellátók után járó bértámogatás </t>
  </si>
  <si>
    <t xml:space="preserve">                          ab) Az intézményi gyermekétkeztetés üzemeltetési támogatása </t>
  </si>
  <si>
    <t xml:space="preserve">                     b) A rászoruló gyermekek szünidei étkeztetésének támogatása</t>
  </si>
  <si>
    <t xml:space="preserve">          IV. Települési önkormányzatok kulturális feladatainak támogatása</t>
  </si>
  <si>
    <r>
      <t xml:space="preserve">                 a) Nyilvános könyvtári és közművelődési feladatainak támogatása</t>
    </r>
    <r>
      <rPr>
        <sz val="9"/>
        <color indexed="10"/>
        <rFont val="Times New Roman"/>
        <family val="1"/>
        <charset val="238"/>
      </rPr>
      <t xml:space="preserve"> </t>
    </r>
  </si>
  <si>
    <t>B.  Helyi önkormányzatok kiegészítő támogatásai - működési célú támogatások</t>
  </si>
  <si>
    <t xml:space="preserve">           1. Lakossági víz- és csatornaszolgáltatás támogatása</t>
  </si>
  <si>
    <t xml:space="preserve">           2. Szociális célú tűzelőanyag vásárláshoz kapcsolódó kiegészítő támogatás </t>
  </si>
  <si>
    <t xml:space="preserve">           3. 2019. évi áthúzódó és 2020. évi bérkompenzáció</t>
  </si>
  <si>
    <t xml:space="preserve">           4. Szociális ágazati pótlék </t>
  </si>
  <si>
    <t xml:space="preserve">           5. Települési önkormányzatok kulturális feladatainak kiegészítő támogatása</t>
  </si>
  <si>
    <t xml:space="preserve">                a) Érdekeltségnövelő támogatás</t>
  </si>
  <si>
    <t xml:space="preserve">                b) Táncművészeti szervek támogatása</t>
  </si>
  <si>
    <t>C. Elszámolásból származó bevételek (2019. évi normatíva elszámolás)</t>
  </si>
  <si>
    <t xml:space="preserve">D. Egyéb működési célú támogatások államháztartáson belülről </t>
  </si>
  <si>
    <t xml:space="preserve">          1. Közfoglalkoztatás támogatása</t>
  </si>
  <si>
    <t>3. melléklet</t>
  </si>
  <si>
    <t>4. melléklet</t>
  </si>
  <si>
    <t>5. melléklet</t>
  </si>
  <si>
    <t>Teleki Község Önkormányzatának 2020. évi bevételei kiemelt előirányzatonként, feladatonként</t>
  </si>
  <si>
    <t>6. melléklet</t>
  </si>
  <si>
    <t>7. melléklet</t>
  </si>
  <si>
    <t>8. melléklet</t>
  </si>
  <si>
    <t>9. melléklet</t>
  </si>
  <si>
    <t>10. melléklet</t>
  </si>
  <si>
    <r>
      <t xml:space="preserve">                                           </t>
    </r>
    <r>
      <rPr>
        <b/>
        <i/>
        <u/>
        <sz val="12"/>
        <rFont val="Times New Roman"/>
        <family val="1"/>
        <charset val="238"/>
      </rPr>
      <t xml:space="preserve"> Teleki Község Önkormányzat 2020. évi bevétel-kiadási előirányzat-felhasználási ütemterve</t>
    </r>
  </si>
  <si>
    <t>11. melléklet</t>
  </si>
  <si>
    <t>2020. évi Európai Uniós forrásból finanszírozott támogatással megvalósuló projektek kiadásai, 
projekt megvalósításhoz történő önkormányzati hozzájárulásai</t>
  </si>
  <si>
    <t>12. melléklet</t>
  </si>
  <si>
    <t>2023. évi eredeti előirányzat</t>
  </si>
  <si>
    <t xml:space="preserve">            Előző évek hátralékai</t>
  </si>
  <si>
    <t xml:space="preserve">               Fogorvosi alapellátás, fizikoterápiás szolgáltatás 2020. évi hozzájárulás</t>
  </si>
  <si>
    <t xml:space="preserve">                   Balatonföldvári Többcélú Kistérségi Társulás (2018.-2019. évi hátralék)</t>
  </si>
  <si>
    <t xml:space="preserve">                   Óvodai nevelés Balatonszárszó (2019. évi tartozás)</t>
  </si>
  <si>
    <t xml:space="preserve">                   BKÖH (belső ellenőrzés) 2019. évi tartozás</t>
  </si>
  <si>
    <t xml:space="preserve">                   BKÖH (belső ellenőrzés) 2018. évi tartozás</t>
  </si>
  <si>
    <t xml:space="preserve">                   DBRHÖT pótbefizetés (2017. évi tartozás)</t>
  </si>
  <si>
    <t xml:space="preserve">               DBRHÖT tagdíj, működési hozzájárulás 2020. évi</t>
  </si>
  <si>
    <t xml:space="preserve">               Balatonföldvári Közös Önkormányzati Hivatal működési hozzájárulás 2020. év</t>
  </si>
  <si>
    <t xml:space="preserve">               Balatonföldvári Közös Önkormányzati Hivatal működési hozzájárulás, ügyintéző ktg-ei 2020. év</t>
  </si>
  <si>
    <t xml:space="preserve">                   Óvodai nevelés Balatonszárszó (2017. - 2018. évi tartozás)</t>
  </si>
  <si>
    <t xml:space="preserve">               Fonyód Többcélú Kistérségi Társulás (szennyvíz projekt műk-i tám.) 2020. évi tagdíj</t>
  </si>
  <si>
    <t xml:space="preserve">               DRV eszközbeszerzés</t>
  </si>
  <si>
    <t xml:space="preserve">            EFOP-1.5.2-16 projekt eszközbeszerzés (maradvány eszközbeszerzésből)</t>
  </si>
  <si>
    <t xml:space="preserve">        Főépítészi feladatok</t>
  </si>
  <si>
    <t>Költségfelosztás 2020. Összesítő (2020.01.17.)</t>
  </si>
  <si>
    <t>2019. évi hozzájárulás</t>
  </si>
  <si>
    <t>2018-19. évi
 hátralék</t>
  </si>
  <si>
    <t xml:space="preserve">               Óvodai nevelés + konyha működtetés Balatonszárszó 2020. év</t>
  </si>
  <si>
    <r>
      <t xml:space="preserve">Önkormányzati </t>
    </r>
    <r>
      <rPr>
        <b/>
        <sz val="12"/>
        <color indexed="10"/>
        <rFont val="Times New Roman"/>
        <family val="1"/>
        <charset val="238"/>
      </rPr>
      <t>működési</t>
    </r>
    <r>
      <rPr>
        <b/>
        <sz val="12"/>
        <rFont val="Times New Roman"/>
        <family val="1"/>
        <charset val="238"/>
      </rPr>
      <t xml:space="preserve"> feladatok finanszírozása - 2020. év</t>
    </r>
  </si>
  <si>
    <t xml:space="preserve">                   Fonyód Kistérségi Társulás (szennyvíz projekt működési tám. részletfizetési megáll. alapján)</t>
  </si>
  <si>
    <t>Adósságot keletkeztető ügylet
(kiadás)
Stabilitási tv. 8.§ (2) bek.</t>
  </si>
  <si>
    <t xml:space="preserve">2020. évi költségvetésének módosítása - indoklás </t>
  </si>
  <si>
    <t>Nem kötelező (módosított 2020.12.31)</t>
  </si>
  <si>
    <t>Kötelező (módosított 2020.12.31)</t>
  </si>
  <si>
    <t>Önkormányzat összesen (módosított ei. 2020.12.31)</t>
  </si>
  <si>
    <t xml:space="preserve">                6. Szociális ágazati pótlék </t>
  </si>
  <si>
    <t xml:space="preserve">        Falugondnok: szociális ágazati pótlék emelt összegének átvezetése</t>
  </si>
  <si>
    <t xml:space="preserve">               Szociális étkeztetés (állami normatíva + csomagolási ktg átadás)</t>
  </si>
  <si>
    <t xml:space="preserve">        Szociális étkeztetés (állami normatíva + csomagolási ktg átadás)</t>
  </si>
  <si>
    <t xml:space="preserve">         Közfoglalkoztatás támogatása</t>
  </si>
  <si>
    <t xml:space="preserve">        Közfoglalkoztatás alapilletmény</t>
  </si>
  <si>
    <t xml:space="preserve">        Járulékok: közfoglalkoztatás</t>
  </si>
  <si>
    <t xml:space="preserve">    Működési célú tartalék</t>
  </si>
  <si>
    <r>
      <t xml:space="preserve">        EFOP-</t>
    </r>
    <r>
      <rPr>
        <b/>
        <sz val="10"/>
        <rFont val="Times New Roman"/>
        <family val="1"/>
        <charset val="238"/>
      </rPr>
      <t>képzések</t>
    </r>
    <r>
      <rPr>
        <sz val="10"/>
        <rFont val="Times New Roman"/>
        <family val="1"/>
        <charset val="238"/>
      </rPr>
      <t>, toborzás, rendezvényszervezés (átcsoportosítás K351-ről)</t>
    </r>
  </si>
  <si>
    <t xml:space="preserve">        EFOP-képzések, toborzás, rendezvényszervezés (átcsoportosítás K355-re)</t>
  </si>
  <si>
    <t>K47</t>
  </si>
  <si>
    <t xml:space="preserve">        EFOP: oktatási anyag (könyv vásárlás) (átcsoportosítás K336-ról)</t>
  </si>
  <si>
    <t>K123</t>
  </si>
  <si>
    <t xml:space="preserve">        EFOP-1.5.2-16 projekt eszközbeszerzés (átcsoportostás K123-ra) </t>
  </si>
  <si>
    <t xml:space="preserve">        EFOP: egyéb dologi kiadások (átcsoportosítás K2 és K351-re)</t>
  </si>
  <si>
    <t xml:space="preserve">        Járulékok: EFOP (reprezentáció) (átcsoportosítás K355-ről)</t>
  </si>
  <si>
    <t xml:space="preserve">         Gépjárműadó állami elvonás</t>
  </si>
  <si>
    <t xml:space="preserve">         Idegenforgalmi adó (központi intézkedés)</t>
  </si>
  <si>
    <t xml:space="preserve">        Egyéb szolgáltatások: bankktg, hóeltakarítás, egyéb szolg.</t>
  </si>
  <si>
    <t xml:space="preserve">        Közterület karbantartó illetménye (átcsoportosítás K312 és K506-ról)</t>
  </si>
  <si>
    <t xml:space="preserve">    Reprezentáció, alkalmi munka</t>
  </si>
  <si>
    <t xml:space="preserve">        Alkalmi munka díjazása</t>
  </si>
  <si>
    <t xml:space="preserve">        Szemétszállítás (átcsoprotosítás K2-re)</t>
  </si>
  <si>
    <t xml:space="preserve">        Közvilágítás aktív elemek karbantartása (átcsoportosítás K312-ről)</t>
  </si>
  <si>
    <t xml:space="preserve">        Üzemanyag, egyéb üzemeltetési anyagok (átcsoportosítás K334-re)</t>
  </si>
  <si>
    <t xml:space="preserve">        Informatikai szolgáltatás (átcsoportosítás K355-re)</t>
  </si>
  <si>
    <t xml:space="preserve">               BURSA Hungarica támogatás</t>
  </si>
  <si>
    <t xml:space="preserve">            Tenyészállat vásárlás</t>
  </si>
  <si>
    <t xml:space="preserve">        Tenyészállat vásárlás</t>
  </si>
  <si>
    <t>K1113</t>
  </si>
  <si>
    <t xml:space="preserve">        Egyéb személyi juttatások</t>
  </si>
  <si>
    <t>K342</t>
  </si>
  <si>
    <t xml:space="preserve">        Reklám- és propagandakiadások (átcsoportosítás K355-re)</t>
  </si>
  <si>
    <t>K1109</t>
  </si>
  <si>
    <t xml:space="preserve">        Közlekedési költségtérítés (átcsoportosítás K2-re)</t>
  </si>
  <si>
    <t xml:space="preserve">          Magyar Falu Program támogatása</t>
  </si>
  <si>
    <t xml:space="preserve">         Magyar Falu Program támogatása</t>
  </si>
  <si>
    <t xml:space="preserve">        Magyar Falu Program: eszközbeszerzés</t>
  </si>
  <si>
    <t xml:space="preserve"> </t>
  </si>
  <si>
    <t>K352</t>
  </si>
  <si>
    <t xml:space="preserve">        Fizetendő ÁFA (átcsoportosítás K5021-ről)</t>
  </si>
  <si>
    <t xml:space="preserve">        Ellátottak pénzbeli juttatásai (átcsoportosítás K506-ra)</t>
  </si>
  <si>
    <t xml:space="preserve">          2. Internethálózat értékesítéséből származó átadott bevétel</t>
  </si>
  <si>
    <t xml:space="preserve">         Internethálózat értékesítéséből származó átadott bevétel</t>
  </si>
  <si>
    <t>Módosított előirányzat 2020.09. havi</t>
  </si>
  <si>
    <t>Módosított előirányzat 2020.09.havi</t>
  </si>
  <si>
    <t>Nem kötelező (módosított 2020.09.havi)</t>
  </si>
  <si>
    <t>Kötelező (módosított 2020.09.havi)</t>
  </si>
  <si>
    <t>Önkormányzat összesen (módosított ei. 2020.09.havi)</t>
  </si>
  <si>
    <t xml:space="preserve">         Szociális étkeztetés (305/2020.(VI.30.) Korm.rendelet)</t>
  </si>
  <si>
    <t>Módosított előirányzat 2020.12.31</t>
  </si>
  <si>
    <t>Teljesítés 2020.12.31</t>
  </si>
  <si>
    <t xml:space="preserve">         Üdülőhelyi feladatok támogatása</t>
  </si>
  <si>
    <t xml:space="preserve">         A rászoruló gyermekek szünidei étkeztetésének támogatása</t>
  </si>
  <si>
    <t xml:space="preserve">         Szociális étkeztetés támogatása</t>
  </si>
  <si>
    <t xml:space="preserve">    3.Vállalkozások</t>
  </si>
  <si>
    <t xml:space="preserve">           Lakossági víz és csatornaszolg.támogatás továbbutalása DRV Zrt.részére</t>
  </si>
  <si>
    <t xml:space="preserve">         Lakossági víz- és csatornaszolgáltatás támogatása</t>
  </si>
  <si>
    <t>K512</t>
  </si>
  <si>
    <t xml:space="preserve">        Lakossági víz és csatornaszolg.támogatás továbbutalása DRV Zrt.részére</t>
  </si>
  <si>
    <t xml:space="preserve">           6. Idegenforgalmi adóhoz kapcsolódó kiegészítő támogatás </t>
  </si>
  <si>
    <t xml:space="preserve">         Idegenforgalmi adóhoz kapcsolódó kiegészítő támogatás </t>
  </si>
  <si>
    <t xml:space="preserve">         Szociális célú tűzelőanyag vásárláshoz kapcsolódó kiegészítő támogatás </t>
  </si>
  <si>
    <t xml:space="preserve">        Szociális célú tűzifa beszerzés  </t>
  </si>
  <si>
    <t xml:space="preserve">          Magyar Falu Program támogatása (közterület karb.tart.szolg.eszközbesz.)</t>
  </si>
  <si>
    <t xml:space="preserve">            Magyar Falu Program: eszközfejlesztés (traktor beszerzés)</t>
  </si>
  <si>
    <t xml:space="preserve">            Magyar Falu Program: eszközfejlesztés </t>
  </si>
  <si>
    <t xml:space="preserve">            Magyar Falu Program: szolgálati lakás felújítás</t>
  </si>
  <si>
    <t xml:space="preserve">          Magyar Falu Program támogatása (szolgálati lakás felújítás)</t>
  </si>
  <si>
    <t xml:space="preserve">         Magyar Falu Program támogatása (szolgálati lakás felújítás)</t>
  </si>
  <si>
    <t>B64</t>
  </si>
  <si>
    <t xml:space="preserve">      Műk. célú visszatérítendő tám.-ok, kölcsönök visszatérülése ÁHK (temetési kölcsön törl.)</t>
  </si>
  <si>
    <t>II. Működési célú támogatások (K512)</t>
  </si>
  <si>
    <t>III. A helyi önkormányzatok előző évi elszámolásából származó kiadások (K5021)</t>
  </si>
  <si>
    <t xml:space="preserve">    1. Többcélú kistérségi társulásnak, önkormányzatoknak és költségvetési szerveinek, 
         egyéb társulásnak (K506)</t>
  </si>
  <si>
    <t xml:space="preserve">     2. Egyéb működési célú pénzeszközátadás (K506)</t>
  </si>
  <si>
    <t xml:space="preserve">     3. Egyéb működési célú pénzeszközátadás (K508)</t>
  </si>
  <si>
    <t>K508</t>
  </si>
  <si>
    <t xml:space="preserve">               Műk. célú visszatérítendő tám.-ok, kölcsönök nyújtása ÁHK (temetési kölcsön)</t>
  </si>
  <si>
    <t xml:space="preserve">        Temetési kölcsön nyújtása</t>
  </si>
  <si>
    <t xml:space="preserve">         Temetési kölcsön visszafizetése</t>
  </si>
  <si>
    <t xml:space="preserve">      Egyéb működési célú átvett pénzeszközök </t>
  </si>
  <si>
    <t xml:space="preserve">         Lakossági víz pályázat támogatás visszautalás</t>
  </si>
  <si>
    <t xml:space="preserve">         Tenyészkos tenyésztésbe állításának támogatása</t>
  </si>
  <si>
    <t xml:space="preserve">        2. ÁHB megelőlegezés</t>
  </si>
  <si>
    <t xml:space="preserve">        Óvodai nevelés Balatonszárszó (2019. évi tartozás)</t>
  </si>
  <si>
    <t xml:space="preserve">        Óvodai nevelés Balatonszárszó (2017. - 2018. évi tartozás)</t>
  </si>
  <si>
    <t xml:space="preserve">        Óvodai nevelés + konyha működtetés Balatonszárszó 2020. év</t>
  </si>
  <si>
    <t>K121</t>
  </si>
  <si>
    <t xml:space="preserve">        Képviselői tiszteletdíjak, alpolgármesteri díj, költségtérítés</t>
  </si>
  <si>
    <t xml:space="preserve">        Egyéb üzemeltetési anyagok (búza, árpa, trágya, fertőtlenítő, gumiabroncs)</t>
  </si>
  <si>
    <t xml:space="preserve">        Karbantartás (féktárcsa, fékbetét javítás)</t>
  </si>
  <si>
    <t xml:space="preserve">        Közüzemi díjak (átcsoportosítás K312, K337-re)</t>
  </si>
  <si>
    <t xml:space="preserve">        Egyéb szolgáltatások: szállítási ktg. (átcsoportosítás K331-ről)</t>
  </si>
  <si>
    <t xml:space="preserve">        Egyéb dologi kiadások: virágosítás, kerítésoszlop (átcsoportosítás K311-ről)</t>
  </si>
  <si>
    <t>K311</t>
  </si>
  <si>
    <t xml:space="preserve">        Szakmai anyagok beszerzése (átcsoportosítás K355-re)</t>
  </si>
  <si>
    <t xml:space="preserve">        TKT működési hozzájárulás (ügyelet, labor)</t>
  </si>
  <si>
    <t>Nem kötelező (teljesítés 2020.12.31)</t>
  </si>
  <si>
    <t>Kötelező (teljesítés 2020.12.31)</t>
  </si>
  <si>
    <t>Fin. bev.: maradvány, ÁHB megelőlegezések</t>
  </si>
  <si>
    <t>Fin. bev.: hitel felvétel</t>
  </si>
  <si>
    <t>Önkormányzat összesen (teljesítés 2020.12.31)</t>
  </si>
  <si>
    <t xml:space="preserve">   ÁHB megelőlegezés</t>
  </si>
  <si>
    <t>Telj.
%</t>
  </si>
  <si>
    <t>2020. évi eredeti, módosított előirányzat (kiemelt előirányzatok) és teljesítés</t>
  </si>
  <si>
    <t>Teljesítés %</t>
  </si>
  <si>
    <t>ezerFt-ban</t>
  </si>
  <si>
    <t>Összeg</t>
  </si>
  <si>
    <t>01</t>
  </si>
  <si>
    <t>01        Alaptevékenység költségvetési bevételei</t>
  </si>
  <si>
    <t>02</t>
  </si>
  <si>
    <t>02        Alaptevékenység költségvetési kiadásai</t>
  </si>
  <si>
    <t>03</t>
  </si>
  <si>
    <t>I          Alaptevékenység költségvetési egyenlege (=01-02)</t>
  </si>
  <si>
    <t>04</t>
  </si>
  <si>
    <t>03        Alaptevékenység finanszírozási bevételei</t>
  </si>
  <si>
    <t>05</t>
  </si>
  <si>
    <t>04        Alaptevékenység finanszírozási kiadásai</t>
  </si>
  <si>
    <t>06</t>
  </si>
  <si>
    <t>II         Alaptevékenység finanszírozási egyenlege (=03-04)</t>
  </si>
  <si>
    <t>07</t>
  </si>
  <si>
    <t>A)        Alaptevékenység maradványa (=±I±II)</t>
  </si>
  <si>
    <t>C)        Összes maradvány (=A+B)</t>
  </si>
  <si>
    <t>09</t>
  </si>
  <si>
    <t>D)        Alaptevékenység kötelezettségvállalással terhelt maradványa</t>
  </si>
  <si>
    <t>E)        Alaptevékenység szabad maradványa (=A-D)</t>
  </si>
  <si>
    <t>Előző időszak</t>
  </si>
  <si>
    <t>Módosítások (+/-)</t>
  </si>
  <si>
    <t>Tárgyi időszak</t>
  </si>
  <si>
    <t>A/I/1 Vagyoni értékű jogok</t>
  </si>
  <si>
    <t>A/I/2 Szellemi termékek</t>
  </si>
  <si>
    <t>A/I Immateriális javak (=A/I/1+A/I/2+A/I/3)</t>
  </si>
  <si>
    <t>A/II/1 Ingatlanok és a kapcsolódó vagyoni értékű jogok</t>
  </si>
  <si>
    <t>A/II/2 Gépek, berendezések, felszerelések, járművek</t>
  </si>
  <si>
    <t>08</t>
  </si>
  <si>
    <t>A/II/4 Beruházások, felújítások</t>
  </si>
  <si>
    <t>10</t>
  </si>
  <si>
    <t>A/II Tárgyi eszközök  (=A/II/1+...+A/II/5)</t>
  </si>
  <si>
    <t>11</t>
  </si>
  <si>
    <t>A/III/1 Tartós részesedések (=A/III/1a+…+A/III/1e)</t>
  </si>
  <si>
    <t>13</t>
  </si>
  <si>
    <t>A/III/1b - ebből: tartós részesedések nem pénzügyi vállalkozásban</t>
  </si>
  <si>
    <t>16</t>
  </si>
  <si>
    <t>A/III/1e - ebből: egyéb tartós részesedések</t>
  </si>
  <si>
    <t>A/III/2 Tartós hitelviszonyt megtestesítő értékpapírok</t>
  </si>
  <si>
    <t>21</t>
  </si>
  <si>
    <t>A/III Befektetett pénzügyi eszközök (=A/III/1+A/III/2+A/III/3)</t>
  </si>
  <si>
    <t>28</t>
  </si>
  <si>
    <t>A) NEMZETI VAGYONBA TARTOZÓ BEFEKTETETT ESZKÖZÖK (=A/I+A/II+A/III+A/IV)</t>
  </si>
  <si>
    <t>29</t>
  </si>
  <si>
    <t>B/I/1 Vásárolt készletek</t>
  </si>
  <si>
    <t>34</t>
  </si>
  <si>
    <t>B/I Készletek (=B/I/1+…+B/I/5)</t>
  </si>
  <si>
    <t>43</t>
  </si>
  <si>
    <t>B) NEMZETI VAGYONBA TARTOZÓ FORGÓESZKÖZÖK (= B/I+B/II)</t>
  </si>
  <si>
    <t>C/I/1 Éven túli lejáratú forint lekötött bankbetétek</t>
  </si>
  <si>
    <t>C/I Lekötött bankbetétek (=C/I/1+…+C/I/2)</t>
  </si>
  <si>
    <t>47</t>
  </si>
  <si>
    <t>C/II/1 Forintpénztár</t>
  </si>
  <si>
    <t>50</t>
  </si>
  <si>
    <t>C/II Pénztárak, csekkek, betétkönyvek (=C/II/1+C/II/2+C/II/3)</t>
  </si>
  <si>
    <t>51</t>
  </si>
  <si>
    <t>C/III/1 Kincstáron kívüli forintszámlák</t>
  </si>
  <si>
    <t>C/III/2 Kincstárban vezetett forintszámlák</t>
  </si>
  <si>
    <t>53</t>
  </si>
  <si>
    <t>C/III Forintszámlák (=C/III/1+C/III/2)</t>
  </si>
  <si>
    <t>57</t>
  </si>
  <si>
    <t>C) PÉNZESZKÖZÖK (=C/I+…+C/IV)</t>
  </si>
  <si>
    <t>D/I/3 Költségvetési évben esedékes követelések közhatalmi bevételre (=D/I/3a+…+D/I/3f)</t>
  </si>
  <si>
    <t>D/I/3d - ebből: költségvetési évben esedékes követelések vagyoni típusú adókra</t>
  </si>
  <si>
    <t>D/I/3e - ebből: költségvetési évben esedékes követelések termékek és szolgáltatások adóira</t>
  </si>
  <si>
    <t>D/I/3f - ebből: költségvetési évben esedékes követelések egyéb közhatalmi bevételekre</t>
  </si>
  <si>
    <t>69</t>
  </si>
  <si>
    <t>D/I/4 Költségvetési évben esedékes követelések működési bevételre (=D/I/4a+…+D/I/4i)</t>
  </si>
  <si>
    <t>D/I/4a - ebből: költségvetési évben esedékes követelések készletértékesítés ellenértékére, szolgáltatások ellenértékére, közvetített szolgáltatások ellenértékére</t>
  </si>
  <si>
    <t>D/I/4d - ebből: költségvetési évben esedékes követelések kiszámlázott általános forgalmi adóra</t>
  </si>
  <si>
    <t>D/I/4i - ebből: költségvetési évben esedékes követelések egyéb működési bevételekre</t>
  </si>
  <si>
    <t>D/I/5 Költségvetési évben esedékes követelések felhalmozási bevételre (=D/I/5a+…+D/I/5e)</t>
  </si>
  <si>
    <t>D/I/5b - ebből: költségvetési évben esedékes követelések ingatlanok értékesítésére</t>
  </si>
  <si>
    <t>101</t>
  </si>
  <si>
    <t>D/I Költségvetési évben esedékes követelések (=D/I/1+…+D/I/8)</t>
  </si>
  <si>
    <t>D/II/3 Költségvetési évet követően esedékes követelések közhatalmi bevételre (=D/II/3a+...+D/II/3f)</t>
  </si>
  <si>
    <t xml:space="preserve">D/II/3e - ebből: költségvetési évet követően esedékes követelések termékek és szolgáltatások adóira </t>
  </si>
  <si>
    <t>D/II Költségvetési évet követően esedékes követelések (=D/II/1+…+D/II/8)</t>
  </si>
  <si>
    <t>D/III/1 Adott előlegek (=D/III/1a+…+D/III/1f)</t>
  </si>
  <si>
    <t>D/III/1e - ebből: foglalkoztatottaknak adott előlegek</t>
  </si>
  <si>
    <t>D/III/4 Forgótőke elszámolása</t>
  </si>
  <si>
    <t>D/III Követelés jellegű sajátos elszámolások (=D/III/1+…+D/III/9)</t>
  </si>
  <si>
    <t>D) KÖVETELÉSEK  (=D/I+D/II+D/III)</t>
  </si>
  <si>
    <t>E/III/1 December havi illetmények, munkabérek elszámolása</t>
  </si>
  <si>
    <t>E/III/2 Utalványok, bérletek és más hasonló, készpénz-helyettesítő fizetési eszköznek nem minősülő eszközök elszámolásai</t>
  </si>
  <si>
    <t>E/III Egyéb sajátos eszközoldali elszámolások (=E/III/1+E/III/2)</t>
  </si>
  <si>
    <t>E) EGYÉB SAJÁTOS ESZKÖZOLDALI ELSZÁMOLÁSOK (=E/I+E/II+E/III)</t>
  </si>
  <si>
    <t>F/1  Eredményszemléletű bevételek aktív időbeli elhatárolása</t>
  </si>
  <si>
    <t>F/2  Költségek, ráfordítások aktív időbeli elhatárolása</t>
  </si>
  <si>
    <t>F) AKTÍV IDŐBELI  ELHATÁROLÁSOK  (=F/1+F/2+F/3)</t>
  </si>
  <si>
    <t>ESZKÖZÖK ÖSSZESEN (=A+B+C+D+E+F)</t>
  </si>
  <si>
    <t>G/I  Nemzeti vagyon induláskori értéke</t>
  </si>
  <si>
    <t>G/III Egyéb eszközök induláskori értéke és változásai</t>
  </si>
  <si>
    <t>G/III Egyéb eszközök induláskori értéke és változásai (=G/III/1+G/III/2+G/III/3)</t>
  </si>
  <si>
    <t>G/IV Felhalmozott eredmény</t>
  </si>
  <si>
    <t>G/VI Mérleg szerinti eredmény</t>
  </si>
  <si>
    <t>G/ SAJÁT TŐKE  (= G/I+…+G/VI)</t>
  </si>
  <si>
    <t>H/I/3 Költségvetési évben esedékes kötelezettségek dologi kiadásokra</t>
  </si>
  <si>
    <t>H/I/9 Költségvetési évben esedékes kötelezettségek finanszírozási kiadásokra (&gt;=H/I/9a+…+H/I/9l)</t>
  </si>
  <si>
    <t>H/I Költségvetési évben esedékes kötelezettségek (=H/I/1+…+H/I/9)</t>
  </si>
  <si>
    <t>H/II/9 Költségvetési évet követően esedékes kötelezettségek finanszírozási kiadásokra (&gt;=H/II/9a+…+H/II/9j)</t>
  </si>
  <si>
    <t xml:space="preserve">H/II/9e - ebből: költségvetési évet követően esedékes kötelezettségek államháztartáson belüli megelőlegezések visszafizetésére </t>
  </si>
  <si>
    <t>H/II Költségvetési évet követően esedékes kötelezettségek (=H/II/1+…+H/II/9)</t>
  </si>
  <si>
    <t xml:space="preserve">H/III/1 Kapott előlegek </t>
  </si>
  <si>
    <t xml:space="preserve">H/III/2 Továbbadási célból folyósított támogatások, ellátások elszámolása </t>
  </si>
  <si>
    <t>H/III/3 Más szervezetet megillető bevételek elszámolása</t>
  </si>
  <si>
    <t>H/III Kötelezettség jellegű sajátos elszámolások (=H/III/1+…+H/III/10)</t>
  </si>
  <si>
    <t>H) KÖTELEZETTSÉGEK (=H/I+H/II+H/III)</t>
  </si>
  <si>
    <t>J/2 Költségek, ráfordítások passzív időbeli elhatárolása</t>
  </si>
  <si>
    <t>241</t>
  </si>
  <si>
    <t>J/3 Halasztott eredményszemléletű bevételek</t>
  </si>
  <si>
    <t>J) PASSZÍV IDŐBELI ELHATÁROLÁSOK (=J/1+J/2+J/3)</t>
  </si>
  <si>
    <t>FORRÁSOK ÖSSZESEN (=G+H+I+J)</t>
  </si>
  <si>
    <t>01 Közhatalmi eredményszemléletű bevételek</t>
  </si>
  <si>
    <t>02 Eszközök és szolgáltatások értékesítése nettó eredményszemléletű bevételei</t>
  </si>
  <si>
    <t>03 Tevékenység egyéb nettó eredményszemléletű bevételei</t>
  </si>
  <si>
    <t>I Tevékenység nettó eredményszemléletű bevétele (=01+02+03)</t>
  </si>
  <si>
    <t>06 Központi működési célú támogatások eredményszemléletű bevételei</t>
  </si>
  <si>
    <t>07 Egyéb működési célú támogatások eredményszemléletű bevételei</t>
  </si>
  <si>
    <t>08 Felhalmozási célú támogatások eredményszemléletű bevételei</t>
  </si>
  <si>
    <t>09 Különféle egyéb eredményszemléletű bevételek</t>
  </si>
  <si>
    <t>III Egyéb eredményszemléletű bevételek (=06+07+08+09)</t>
  </si>
  <si>
    <t>10 Anyagköltség</t>
  </si>
  <si>
    <t>11 Igénybe vett szolgáltatások értéke</t>
  </si>
  <si>
    <t>13 Eladott (közvetített) szolgáltatások értéke</t>
  </si>
  <si>
    <t>IV Anyagjellegű ráfordítások (=10+11+12+13)</t>
  </si>
  <si>
    <t>14 Bérköltség</t>
  </si>
  <si>
    <t>15 Személyi jellegű egyéb kifizetések</t>
  </si>
  <si>
    <t>16 Bérjárulékok</t>
  </si>
  <si>
    <t>V Személyi jellegű ráfordítások (=14+15+16)</t>
  </si>
  <si>
    <t>VI Értékcsökkenési leírás</t>
  </si>
  <si>
    <t>VII Egyéb ráfordítások</t>
  </si>
  <si>
    <t>A)  TEVÉKENYSÉGEK EREDMÉNYE (=I±II+III-IV-V-VI-VII)</t>
  </si>
  <si>
    <t>17 Kapott (járó) osztalék és részesedés</t>
  </si>
  <si>
    <t>20 Kapott (járó) kamatok és kamatjellegű eredményszemléletű bevételek</t>
  </si>
  <si>
    <t>21 Pénzügyi műveletek egyéb eredményszemléletű bevételei</t>
  </si>
  <si>
    <t>VIII Pénzügyi műveletek eredményszemléletű bevételei (=17+18+19+20+21)</t>
  </si>
  <si>
    <t>24 Fizetendő kamatok és kamatjellegű ráfordítások</t>
  </si>
  <si>
    <t>26 Pénzügyi műveletek egyéb ráfordításai (&gt;=21a)</t>
  </si>
  <si>
    <t>IX Pénzügyi műveletek ráfordításai (=22+23+24+25+26)</t>
  </si>
  <si>
    <t>B)  PÉNZÜGYI MŰVELETEK EREDMÉNYE (=VIII-IX)</t>
  </si>
  <si>
    <t>C)  MÉRLEG SZERINTI EREDMÉNY (=±A±B)</t>
  </si>
  <si>
    <t>13. melléklet</t>
  </si>
  <si>
    <r>
      <rPr>
        <b/>
        <sz val="10"/>
        <rFont val="Times New Roman"/>
        <family val="1"/>
        <charset val="238"/>
      </rPr>
      <t xml:space="preserve">ESZKÖZÖK                                                                                     </t>
    </r>
    <r>
      <rPr>
        <i/>
        <sz val="10"/>
        <rFont val="Times New Roman"/>
        <family val="1"/>
        <charset val="238"/>
      </rPr>
      <t xml:space="preserve"> </t>
    </r>
  </si>
  <si>
    <t>Nettó érték</t>
  </si>
  <si>
    <t>Bruttó érték</t>
  </si>
  <si>
    <t>A</t>
  </si>
  <si>
    <t>NEMZETI VAGYONBA TARTOZÓ BEFEKTETETT ESZKÖZÖK (I + II +III + IV)</t>
  </si>
  <si>
    <t>I.</t>
  </si>
  <si>
    <t>Immateriális javak (a + b)</t>
  </si>
  <si>
    <t xml:space="preserve"> Ebből: </t>
  </si>
  <si>
    <t xml:space="preserve">     a) Törzsvagyon (aa + ab)</t>
  </si>
  <si>
    <t xml:space="preserve">         Ebből: </t>
  </si>
  <si>
    <t xml:space="preserve">          aa) Forgalom képtelen</t>
  </si>
  <si>
    <t xml:space="preserve">                aaa) Kizárólagosan önkormányzati tulajdonú vagyon</t>
  </si>
  <si>
    <t xml:space="preserve">                aab)Nemzetgazdasági szempontból kiemelt jelentőségű vagyon</t>
  </si>
  <si>
    <t xml:space="preserve">          ab) Korlátozottan forgalomképes</t>
  </si>
  <si>
    <t xml:space="preserve">     b) Üzleti vagyon                   </t>
  </si>
  <si>
    <t>II.</t>
  </si>
  <si>
    <t>Tárgyi eszközök (1 + 2 + 3 + 4 + 5 )</t>
  </si>
  <si>
    <t>1. Ingatlanok és a kapcsolódó vagyoni értékű jogok</t>
  </si>
  <si>
    <t xml:space="preserve">     Ebből: </t>
  </si>
  <si>
    <t xml:space="preserve">          Ebből: </t>
  </si>
  <si>
    <t xml:space="preserve">               aaa) Kizárólagosan önkormányzati tulajdonú vagyon</t>
  </si>
  <si>
    <t xml:space="preserve">               aab)Nemzetgazdasági szempontból kiemelt jelentőségű vagyon</t>
  </si>
  <si>
    <t xml:space="preserve">     b) Üzleti vagyon </t>
  </si>
  <si>
    <t>2. Gépek, berendezések és felszerelések, járművek (a + b)</t>
  </si>
  <si>
    <t xml:space="preserve">     Ebből:</t>
  </si>
  <si>
    <t>3. Tenyészállatok (a + b)</t>
  </si>
  <si>
    <t>4. Beruházások, felújítások</t>
  </si>
  <si>
    <t xml:space="preserve">      b) Üzleti vagyon </t>
  </si>
  <si>
    <r>
      <t xml:space="preserve">5. Tárgyi eszközök értékhelyesbítése                                    </t>
    </r>
    <r>
      <rPr>
        <b/>
        <i/>
        <sz val="10"/>
        <rFont val="Times New Roman"/>
        <family val="1"/>
        <charset val="238"/>
      </rPr>
      <t xml:space="preserve"> </t>
    </r>
  </si>
  <si>
    <t>III.</t>
  </si>
  <si>
    <t>Befektetett pénzügyi eszközök (1 + 2 + 3 + 4 + 5 + 6)</t>
  </si>
  <si>
    <t>1. Tartós részesedés (a + b)</t>
  </si>
  <si>
    <t>2. Tartós hitelviszonyt megtestesítő értékpapír (a + b)</t>
  </si>
  <si>
    <t xml:space="preserve">          Ebből:</t>
  </si>
  <si>
    <r>
      <t xml:space="preserve">3. Befektetett pénzügyi eszközök értékhelyesbítése              </t>
    </r>
    <r>
      <rPr>
        <i/>
        <sz val="10"/>
        <rFont val="Times New Roman"/>
        <family val="1"/>
        <charset val="238"/>
      </rPr>
      <t xml:space="preserve"> </t>
    </r>
  </si>
  <si>
    <t>IV.</t>
  </si>
  <si>
    <t>Koncesszióba, vagyonkezelésbe adott eszközök</t>
  </si>
  <si>
    <t>B</t>
  </si>
  <si>
    <t>NEMZETI VAGYONBA TARTOZÓ FORGÓESZKÖZÖK (I + II)</t>
  </si>
  <si>
    <t>Készletek</t>
  </si>
  <si>
    <t>Értékpapírok</t>
  </si>
  <si>
    <t>C</t>
  </si>
  <si>
    <t>PÉNZESZKÖZÖK</t>
  </si>
  <si>
    <t>D</t>
  </si>
  <si>
    <t xml:space="preserve">KÖVETELÉSEK </t>
  </si>
  <si>
    <t>Költségvetési évben esedékes követelések</t>
  </si>
  <si>
    <t>Kötlségvetési évet követően esedékes követelések</t>
  </si>
  <si>
    <t>Követelés jellegű sajátos elszámolások</t>
  </si>
  <si>
    <t>E</t>
  </si>
  <si>
    <t>EGYÉB SAJÁTOS ESZKÖZOLDALI ELSZÁMOLÁSOK</t>
  </si>
  <si>
    <t>F</t>
  </si>
  <si>
    <t>AKTÍV IDŐBELI ELHATÁROLÁSOK</t>
  </si>
  <si>
    <t>ESZKÖZÖK ÖSSZESEN:</t>
  </si>
  <si>
    <t>II. Az önkormányzat könyviteli mérlegében nem szereplő eszközök</t>
  </si>
  <si>
    <t>1.</t>
  </si>
  <si>
    <t xml:space="preserve">"0"-ra leírt eszközök </t>
  </si>
  <si>
    <t>2.</t>
  </si>
  <si>
    <t>Használatban lévő kis értékű immateriális javak</t>
  </si>
  <si>
    <t>3.</t>
  </si>
  <si>
    <t xml:space="preserve">                                                    tárgyi eszközök</t>
  </si>
  <si>
    <t>4.</t>
  </si>
  <si>
    <t xml:space="preserve">                                                    készletek</t>
  </si>
  <si>
    <t>5.</t>
  </si>
  <si>
    <t>01-02. számlacsoportban nyilvántartott eszközök</t>
  </si>
  <si>
    <t>Összesen:</t>
  </si>
  <si>
    <t>III. Az önkormányzat tulajdonában lévő</t>
  </si>
  <si>
    <t>külön jogszabály alapján</t>
  </si>
  <si>
    <t>érték nélkül nyilvántartott eszközök állománya</t>
  </si>
  <si>
    <t>egység</t>
  </si>
  <si>
    <t>mennyiség</t>
  </si>
  <si>
    <t>Képzőművészeti alkotások</t>
  </si>
  <si>
    <t>Gyűjtemények</t>
  </si>
  <si>
    <t>Kulturális javak (kéziratok, levelek, stb.)</t>
  </si>
  <si>
    <t>Régészeti leletek</t>
  </si>
  <si>
    <t>2020. év</t>
  </si>
  <si>
    <t>14. melléklet</t>
  </si>
  <si>
    <t xml:space="preserve">   Bevételek </t>
  </si>
  <si>
    <t>Bevételek mindösszesen (költségvetési + finanszírozási)</t>
  </si>
  <si>
    <t>Kiadások mindösszesen (költségvetési + finanszírozási)</t>
  </si>
  <si>
    <t>Bevétel-kiadás egyenlege</t>
  </si>
  <si>
    <t xml:space="preserve">Idegen pénzeszközök </t>
  </si>
  <si>
    <t>Pénzeszközök változása</t>
  </si>
  <si>
    <t>Nyitó pénzkészlet 2020.01.01.</t>
  </si>
  <si>
    <t>Záró pénzkészlet 2020.12.31.</t>
  </si>
  <si>
    <t>15. melléklet</t>
  </si>
  <si>
    <t>1. Önkormányzat tulajdonában álló gazdálkodó szervezetek 
működéséből származó kötelezettségek</t>
  </si>
  <si>
    <t>2. Önkormányzat tulajdonában álló gazdálkodó szervezetekben való részesedése</t>
  </si>
  <si>
    <t>3. Önkormányzat más gazdálkodó szervezetekben való részesedése</t>
  </si>
  <si>
    <t>NHSZ Zöldfok Zrt.</t>
  </si>
  <si>
    <t xml:space="preserve">   Önkormányzati részesedés %-a</t>
  </si>
  <si>
    <t>16. melléklet</t>
  </si>
  <si>
    <t>2020. évi teljesítési adatok</t>
  </si>
  <si>
    <t xml:space="preserve">               EFOP-1.5.2-16 projekt </t>
  </si>
  <si>
    <t xml:space="preserve">               Út felújítás (Rákóczi u., temető kijáratig)</t>
  </si>
  <si>
    <t xml:space="preserve">           Egyéb visszafizetési kötelezettség</t>
  </si>
  <si>
    <t xml:space="preserve">           2019. évi lakossági víz- és csat. tám. elszámolás</t>
  </si>
  <si>
    <t xml:space="preserve">           2019 évi szoc. tűzifa támogatás visszafizetési kötelezettség</t>
  </si>
  <si>
    <t xml:space="preserve">           2019. évi szoc. étkezéshez kapcsolodó állami támogatás visszafizetés</t>
  </si>
  <si>
    <t>D/I/6 Költségvetési évben esedékes követelések működési célú átvett pénzeszközre (&gt;=D/I/6a+D/I/6b+D/I/6c)</t>
  </si>
  <si>
    <t xml:space="preserve">D/I/6c - ebből: költségvetési évben esedékes követelések működési célú visszatérítendő támogatások, kölcsönök visszatérülésére államháztartáson kívülről </t>
  </si>
  <si>
    <t>H/I/5 Költségvetési évben esedékes kötelezettségek egyéb működési célú kiadásokra</t>
  </si>
  <si>
    <t>Teleki Község Önkormányzatának 2020. évi összevont mérlege</t>
  </si>
  <si>
    <t>Teleki Község Önkormányzatának 2020. évi működési célú bevételei, kiadásai</t>
  </si>
  <si>
    <t>Teleki Község Önkormányzatának 2020. évi felhalmozási bevételei, kiadásai</t>
  </si>
  <si>
    <t>Teleki Község Önkormányzata 2020. évi működési célú támogatásai, pénzeszközátadásai, közvetetett támogatásai</t>
  </si>
  <si>
    <t>Teleki Község Önkormányzatának 2020. évi kiadásai intézményenként, kiemelt előirányzatonként, feladatonkénti bontásban</t>
  </si>
  <si>
    <t>Teleki Község Önkormányzata 2020. évi költségvetési kiadásainak részletezése kormányzati funkciók szerint</t>
  </si>
  <si>
    <t xml:space="preserve">                                              </t>
  </si>
  <si>
    <t>Teleki Község Önkormányzatának több éves kihatással járó feladatai</t>
  </si>
  <si>
    <r>
      <t>Teleki Község Önkormányzatának</t>
    </r>
    <r>
      <rPr>
        <b/>
        <i/>
        <u/>
        <sz val="12"/>
        <rFont val="Arial CE"/>
        <family val="2"/>
        <charset val="238"/>
      </rPr>
      <t xml:space="preserve"> 2020. évi adósságot keletkeztető ügyleteiből eredő fizetési kötelezettségek, várható saját bevételek</t>
    </r>
  </si>
  <si>
    <t>Teleki Község Önkormányzatának 2020. évi maradványkimutatása</t>
  </si>
  <si>
    <t>Teleki Község Önkormányzatának 2020. évi mérlege</t>
  </si>
  <si>
    <t>Teleki Község Önkormányzatának 2020. évi eredménykimutatása</t>
  </si>
  <si>
    <t>Teleki Község Önkormányzatának 2020. évi vagyonkimutatása</t>
  </si>
  <si>
    <t>Teleki Község Önkormányzat 2020. évi bevétel-kiadási előirányzat-felhasználási ütemterv teljesítése, pénzeszközök változásának bemutatása</t>
  </si>
  <si>
    <t>Teleki Község Önkormányzat  tulajdonában álló gazdálkodó szervezetek működéséből származó 2020. évi kötelezettségek, részesedések alakulása</t>
  </si>
  <si>
    <t>Teleki Község Önkormányzatának 2020-2023. évi gördülő tervezése</t>
  </si>
  <si>
    <t>a 3/2021.(V.28.) önkormányzati rendelethez</t>
  </si>
  <si>
    <t>17. melléklet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</si>
</sst>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#,##0\ &quot;Ft&quot;;[Red]\-#,##0\ &quot;Ft&quot;"/>
    <numFmt numFmtId="165" formatCode="_-* #,##0.00\ _F_t_-;\-* #,##0.00\ _F_t_-;_-* &quot;-&quot;??\ _F_t_-;_-@_-"/>
    <numFmt numFmtId="166" formatCode="0.0%"/>
    <numFmt numFmtId="167" formatCode="#,##0.0"/>
    <numFmt numFmtId="172" formatCode="_-* #,##0.00\ _F_t_-;\-* #,##0.00\ _F_t_-;_-* \-??\ _F_t_-;_-@_-"/>
  </numFmts>
  <fonts count="70" x14ac:knownFonts="1">
    <font>
      <sz val="10"/>
      <name val="Arial CE"/>
      <charset val="238"/>
    </font>
    <font>
      <sz val="10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i/>
      <sz val="14"/>
      <name val="Times New Roman"/>
      <family val="1"/>
      <charset val="238"/>
    </font>
    <font>
      <sz val="14"/>
      <name val="Arial CE"/>
      <charset val="238"/>
    </font>
    <font>
      <sz val="9"/>
      <name val="Times New Roman"/>
      <family val="1"/>
    </font>
    <font>
      <sz val="10"/>
      <name val="Arial CE"/>
      <charset val="238"/>
    </font>
    <font>
      <sz val="8"/>
      <name val="Arial CE"/>
      <charset val="238"/>
    </font>
    <font>
      <b/>
      <i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b/>
      <sz val="14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u/>
      <sz val="14"/>
      <name val="Times New Roman"/>
      <family val="1"/>
      <charset val="238"/>
    </font>
    <font>
      <b/>
      <sz val="8"/>
      <name val="Arial CE"/>
      <charset val="238"/>
    </font>
    <font>
      <sz val="9"/>
      <name val="Times New Roman"/>
      <family val="1"/>
      <charset val="238"/>
    </font>
    <font>
      <b/>
      <i/>
      <u/>
      <sz val="12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Times New Roman"/>
      <family val="1"/>
    </font>
    <font>
      <b/>
      <sz val="10"/>
      <name val="Times New Roman"/>
      <family val="1"/>
    </font>
    <font>
      <sz val="7"/>
      <name val="Times New Roman"/>
      <family val="1"/>
    </font>
    <font>
      <sz val="7"/>
      <name val="Times New Roman"/>
      <family val="1"/>
      <charset val="238"/>
    </font>
    <font>
      <i/>
      <sz val="10"/>
      <name val="Times New Roman"/>
      <family val="1"/>
      <charset val="238"/>
    </font>
    <font>
      <sz val="9"/>
      <name val="Arial CE"/>
      <family val="2"/>
      <charset val="238"/>
    </font>
    <font>
      <b/>
      <i/>
      <sz val="12"/>
      <name val="Arial CE"/>
      <family val="2"/>
      <charset val="238"/>
    </font>
    <font>
      <b/>
      <i/>
      <u/>
      <sz val="12"/>
      <name val="Arial CE"/>
      <family val="2"/>
      <charset val="238"/>
    </font>
    <font>
      <b/>
      <i/>
      <sz val="11"/>
      <name val="Arial CE"/>
      <family val="2"/>
      <charset val="238"/>
    </font>
    <font>
      <b/>
      <i/>
      <u/>
      <sz val="12"/>
      <name val="Arial CE"/>
      <charset val="238"/>
    </font>
    <font>
      <b/>
      <i/>
      <sz val="10"/>
      <name val="Arial CE"/>
      <family val="2"/>
      <charset val="238"/>
    </font>
    <font>
      <i/>
      <sz val="12"/>
      <name val="Times New Roman"/>
      <family val="1"/>
      <charset val="238"/>
    </font>
    <font>
      <sz val="10"/>
      <color indexed="10"/>
      <name val="Arial CE"/>
      <family val="2"/>
      <charset val="238"/>
    </font>
    <font>
      <i/>
      <sz val="10"/>
      <name val="Arial CE"/>
      <charset val="238"/>
    </font>
    <font>
      <sz val="8"/>
      <name val="Times New Roman"/>
      <family val="1"/>
    </font>
    <font>
      <b/>
      <i/>
      <sz val="9"/>
      <name val="Arial CE"/>
      <family val="2"/>
      <charset val="238"/>
    </font>
    <font>
      <b/>
      <sz val="7"/>
      <name val="Times New Roman"/>
      <family val="1"/>
    </font>
    <font>
      <b/>
      <sz val="11"/>
      <name val="Times New Roman"/>
      <family val="1"/>
    </font>
    <font>
      <b/>
      <sz val="7"/>
      <name val="Times New Roman"/>
      <family val="1"/>
      <charset val="238"/>
    </font>
    <font>
      <sz val="9"/>
      <name val="Arial CE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7"/>
      <name val="Arial"/>
      <family val="2"/>
      <charset val="238"/>
    </font>
    <font>
      <sz val="9"/>
      <color indexed="10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b/>
      <i/>
      <sz val="10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i/>
      <sz val="10"/>
      <color indexed="8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i/>
      <sz val="14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0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222222"/>
      <name val="Tahoma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11" fillId="0" borderId="0" applyFont="0" applyFill="0" applyBorder="0" applyAlignment="0" applyProtection="0"/>
    <xf numFmtId="172" fontId="45" fillId="0" borderId="0" applyFill="0" applyBorder="0" applyAlignment="0" applyProtection="0"/>
    <xf numFmtId="0" fontId="11" fillId="0" borderId="0"/>
    <xf numFmtId="0" fontId="11" fillId="0" borderId="0"/>
    <xf numFmtId="0" fontId="66" fillId="0" borderId="0"/>
    <xf numFmtId="0" fontId="48" fillId="0" borderId="0"/>
    <xf numFmtId="0" fontId="55" fillId="0" borderId="0"/>
    <xf numFmtId="0" fontId="5" fillId="0" borderId="0"/>
    <xf numFmtId="0" fontId="11" fillId="0" borderId="0"/>
    <xf numFmtId="9" fontId="11" fillId="0" borderId="0" applyFont="0" applyFill="0" applyBorder="0" applyAlignment="0" applyProtection="0"/>
  </cellStyleXfs>
  <cellXfs count="740">
    <xf numFmtId="0" fontId="0" fillId="0" borderId="0" xfId="0"/>
    <xf numFmtId="0" fontId="1" fillId="2" borderId="0" xfId="0" applyFont="1" applyFill="1"/>
    <xf numFmtId="0" fontId="1" fillId="0" borderId="0" xfId="0" applyFont="1"/>
    <xf numFmtId="0" fontId="1" fillId="0" borderId="0" xfId="0" applyFont="1" applyBorder="1"/>
    <xf numFmtId="0" fontId="0" fillId="0" borderId="0" xfId="0" applyBorder="1"/>
    <xf numFmtId="0" fontId="0" fillId="2" borderId="0" xfId="0" applyFill="1"/>
    <xf numFmtId="0" fontId="9" fillId="0" borderId="0" xfId="0" applyFont="1"/>
    <xf numFmtId="3" fontId="4" fillId="0" borderId="1" xfId="0" applyNumberFormat="1" applyFont="1" applyBorder="1" applyAlignment="1">
      <alignment horizontal="right"/>
    </xf>
    <xf numFmtId="3" fontId="4" fillId="0" borderId="1" xfId="0" applyNumberFormat="1" applyFont="1" applyBorder="1" applyAlignment="1"/>
    <xf numFmtId="3" fontId="1" fillId="0" borderId="0" xfId="0" applyNumberFormat="1" applyFont="1"/>
    <xf numFmtId="0" fontId="1" fillId="0" borderId="1" xfId="0" applyFont="1" applyBorder="1"/>
    <xf numFmtId="0" fontId="12" fillId="0" borderId="0" xfId="0" applyFont="1"/>
    <xf numFmtId="3" fontId="1" fillId="0" borderId="1" xfId="0" applyNumberFormat="1" applyFont="1" applyBorder="1"/>
    <xf numFmtId="0" fontId="1" fillId="0" borderId="2" xfId="0" applyFont="1" applyBorder="1"/>
    <xf numFmtId="3" fontId="4" fillId="0" borderId="1" xfId="0" applyNumberFormat="1" applyFont="1" applyBorder="1"/>
    <xf numFmtId="3" fontId="4" fillId="0" borderId="1" xfId="0" applyNumberFormat="1" applyFont="1" applyFill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0" fontId="4" fillId="0" borderId="1" xfId="0" applyFont="1" applyBorder="1"/>
    <xf numFmtId="3" fontId="1" fillId="0" borderId="1" xfId="0" applyNumberFormat="1" applyFont="1" applyFill="1" applyBorder="1"/>
    <xf numFmtId="0" fontId="1" fillId="2" borderId="0" xfId="0" applyFont="1" applyFill="1" applyAlignment="1">
      <alignment horizontal="center"/>
    </xf>
    <xf numFmtId="0" fontId="1" fillId="0" borderId="1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" fillId="2" borderId="1" xfId="0" applyFont="1" applyFill="1" applyBorder="1"/>
    <xf numFmtId="0" fontId="1" fillId="0" borderId="1" xfId="0" applyFont="1" applyFill="1" applyBorder="1"/>
    <xf numFmtId="0" fontId="1" fillId="0" borderId="1" xfId="0" applyFont="1" applyBorder="1" applyAlignment="1">
      <alignment wrapText="1"/>
    </xf>
    <xf numFmtId="3" fontId="1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/>
    <xf numFmtId="0" fontId="3" fillId="0" borderId="1" xfId="0" applyFont="1" applyBorder="1"/>
    <xf numFmtId="0" fontId="4" fillId="0" borderId="1" xfId="0" applyFont="1" applyBorder="1" applyAlignment="1">
      <alignment wrapText="1"/>
    </xf>
    <xf numFmtId="0" fontId="5" fillId="0" borderId="1" xfId="0" applyFont="1" applyBorder="1"/>
    <xf numFmtId="3" fontId="5" fillId="0" borderId="1" xfId="0" applyNumberFormat="1" applyFont="1" applyBorder="1"/>
    <xf numFmtId="0" fontId="5" fillId="0" borderId="0" xfId="0" applyFont="1" applyBorder="1"/>
    <xf numFmtId="0" fontId="2" fillId="0" borderId="4" xfId="0" applyFont="1" applyFill="1" applyBorder="1" applyAlignment="1">
      <alignment horizontal="left" vertical="center"/>
    </xf>
    <xf numFmtId="0" fontId="16" fillId="0" borderId="0" xfId="0" applyFont="1"/>
    <xf numFmtId="3" fontId="16" fillId="0" borderId="0" xfId="0" applyNumberFormat="1" applyFont="1"/>
    <xf numFmtId="0" fontId="12" fillId="0" borderId="3" xfId="0" applyFont="1" applyBorder="1"/>
    <xf numFmtId="3" fontId="12" fillId="0" borderId="1" xfId="0" applyNumberFormat="1" applyFont="1" applyBorder="1"/>
    <xf numFmtId="0" fontId="15" fillId="2" borderId="0" xfId="0" applyFont="1" applyFill="1" applyBorder="1"/>
    <xf numFmtId="3" fontId="20" fillId="0" borderId="1" xfId="0" applyNumberFormat="1" applyFont="1" applyBorder="1"/>
    <xf numFmtId="3" fontId="12" fillId="0" borderId="0" xfId="0" applyNumberFormat="1" applyFont="1"/>
    <xf numFmtId="3" fontId="3" fillId="0" borderId="1" xfId="0" applyNumberFormat="1" applyFont="1" applyBorder="1" applyAlignment="1"/>
    <xf numFmtId="3" fontId="1" fillId="0" borderId="1" xfId="0" applyNumberFormat="1" applyFont="1" applyFill="1" applyBorder="1" applyAlignment="1">
      <alignment horizontal="right" vertical="center" wrapText="1"/>
    </xf>
    <xf numFmtId="3" fontId="4" fillId="0" borderId="3" xfId="0" applyNumberFormat="1" applyFont="1" applyFill="1" applyBorder="1" applyAlignment="1">
      <alignment horizontal="right" vertical="center" wrapText="1"/>
    </xf>
    <xf numFmtId="0" fontId="2" fillId="2" borderId="4" xfId="0" applyFont="1" applyFill="1" applyBorder="1"/>
    <xf numFmtId="3" fontId="3" fillId="0" borderId="1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0" fontId="2" fillId="6" borderId="5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3" fontId="8" fillId="6" borderId="5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center"/>
    </xf>
    <xf numFmtId="0" fontId="16" fillId="0" borderId="0" xfId="0" applyFont="1" applyBorder="1"/>
    <xf numFmtId="0" fontId="11" fillId="0" borderId="0" xfId="0" applyFont="1"/>
    <xf numFmtId="0" fontId="8" fillId="6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1" fillId="8" borderId="0" xfId="0" applyFont="1" applyFill="1" applyAlignment="1">
      <alignment horizontal="center"/>
    </xf>
    <xf numFmtId="0" fontId="0" fillId="8" borderId="0" xfId="0" applyFill="1" applyBorder="1"/>
    <xf numFmtId="0" fontId="1" fillId="8" borderId="0" xfId="0" applyFont="1" applyFill="1"/>
    <xf numFmtId="3" fontId="1" fillId="0" borderId="0" xfId="0" applyNumberFormat="1" applyFont="1" applyAlignment="1">
      <alignment horizontal="right"/>
    </xf>
    <xf numFmtId="0" fontId="4" fillId="0" borderId="7" xfId="0" applyFont="1" applyBorder="1"/>
    <xf numFmtId="0" fontId="21" fillId="2" borderId="0" xfId="0" applyFont="1" applyFill="1" applyAlignment="1">
      <alignment horizontal="right"/>
    </xf>
    <xf numFmtId="3" fontId="0" fillId="0" borderId="1" xfId="0" applyNumberFormat="1" applyBorder="1"/>
    <xf numFmtId="3" fontId="0" fillId="2" borderId="1" xfId="0" applyNumberFormat="1" applyFill="1" applyBorder="1"/>
    <xf numFmtId="0" fontId="0" fillId="0" borderId="1" xfId="0" applyBorder="1"/>
    <xf numFmtId="0" fontId="5" fillId="2" borderId="1" xfId="0" applyFont="1" applyFill="1" applyBorder="1"/>
    <xf numFmtId="0" fontId="0" fillId="2" borderId="1" xfId="0" applyFill="1" applyBorder="1"/>
    <xf numFmtId="0" fontId="1" fillId="2" borderId="0" xfId="0" applyFont="1" applyFill="1" applyAlignment="1">
      <alignment horizontal="right" vertical="center"/>
    </xf>
    <xf numFmtId="0" fontId="4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3" fontId="25" fillId="2" borderId="0" xfId="0" applyNumberFormat="1" applyFont="1" applyFill="1" applyBorder="1" applyAlignment="1">
      <alignment vertical="center"/>
    </xf>
    <xf numFmtId="0" fontId="25" fillId="2" borderId="0" xfId="0" applyFont="1" applyFill="1" applyAlignment="1">
      <alignment vertical="center"/>
    </xf>
    <xf numFmtId="3" fontId="25" fillId="0" borderId="0" xfId="0" applyNumberFormat="1" applyFont="1" applyAlignment="1">
      <alignment vertical="center"/>
    </xf>
    <xf numFmtId="3" fontId="10" fillId="2" borderId="0" xfId="0" applyNumberFormat="1" applyFont="1" applyFill="1" applyAlignment="1">
      <alignment horizontal="right" vertical="center"/>
    </xf>
    <xf numFmtId="3" fontId="4" fillId="4" borderId="1" xfId="0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3" fontId="1" fillId="0" borderId="2" xfId="1" applyNumberFormat="1" applyFont="1" applyFill="1" applyBorder="1" applyAlignment="1">
      <alignment horizontal="right" vertical="center"/>
    </xf>
    <xf numFmtId="3" fontId="25" fillId="0" borderId="8" xfId="0" applyNumberFormat="1" applyFont="1" applyBorder="1" applyAlignment="1">
      <alignment vertical="center"/>
    </xf>
    <xf numFmtId="3" fontId="0" fillId="0" borderId="0" xfId="0" applyNumberFormat="1"/>
    <xf numFmtId="3" fontId="4" fillId="0" borderId="1" xfId="0" applyNumberFormat="1" applyFont="1" applyFill="1" applyBorder="1" applyAlignment="1"/>
    <xf numFmtId="0" fontId="23" fillId="0" borderId="3" xfId="0" applyFont="1" applyBorder="1" applyAlignment="1">
      <alignment horizontal="left"/>
    </xf>
    <xf numFmtId="3" fontId="1" fillId="0" borderId="2" xfId="0" applyNumberFormat="1" applyFont="1" applyBorder="1"/>
    <xf numFmtId="0" fontId="6" fillId="0" borderId="1" xfId="0" applyFont="1" applyBorder="1"/>
    <xf numFmtId="3" fontId="1" fillId="0" borderId="3" xfId="0" applyNumberFormat="1" applyFont="1" applyFill="1" applyBorder="1"/>
    <xf numFmtId="0" fontId="13" fillId="8" borderId="0" xfId="0" applyFont="1" applyFill="1" applyAlignment="1">
      <alignment vertical="center"/>
    </xf>
    <xf numFmtId="3" fontId="13" fillId="8" borderId="0" xfId="0" applyNumberFormat="1" applyFont="1" applyFill="1" applyAlignment="1">
      <alignment horizontal="center" vertical="center"/>
    </xf>
    <xf numFmtId="3" fontId="14" fillId="8" borderId="0" xfId="0" applyNumberFormat="1" applyFont="1" applyFill="1" applyAlignment="1">
      <alignment horizontal="center" vertical="center"/>
    </xf>
    <xf numFmtId="3" fontId="13" fillId="8" borderId="0" xfId="0" applyNumberFormat="1" applyFont="1" applyFill="1" applyAlignment="1">
      <alignment horizontal="right" vertical="center"/>
    </xf>
    <xf numFmtId="3" fontId="29" fillId="8" borderId="0" xfId="0" applyNumberFormat="1" applyFont="1" applyFill="1" applyBorder="1" applyAlignment="1">
      <alignment vertical="center"/>
    </xf>
    <xf numFmtId="3" fontId="1" fillId="0" borderId="0" xfId="0" applyNumberFormat="1" applyFont="1" applyBorder="1" applyAlignment="1">
      <alignment vertical="center"/>
    </xf>
    <xf numFmtId="0" fontId="29" fillId="8" borderId="0" xfId="0" applyFont="1" applyFill="1" applyBorder="1" applyAlignment="1">
      <alignment vertical="center"/>
    </xf>
    <xf numFmtId="3" fontId="1" fillId="0" borderId="1" xfId="0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0" fontId="21" fillId="8" borderId="0" xfId="0" applyFont="1" applyFill="1" applyAlignment="1">
      <alignment horizontal="right"/>
    </xf>
    <xf numFmtId="0" fontId="5" fillId="2" borderId="0" xfId="0" applyFont="1" applyFill="1"/>
    <xf numFmtId="0" fontId="30" fillId="2" borderId="0" xfId="0" applyFont="1" applyFill="1"/>
    <xf numFmtId="0" fontId="21" fillId="2" borderId="0" xfId="0" applyFont="1" applyFill="1"/>
    <xf numFmtId="0" fontId="30" fillId="2" borderId="0" xfId="0" applyFont="1" applyFill="1" applyAlignment="1">
      <alignment horizontal="right"/>
    </xf>
    <xf numFmtId="0" fontId="31" fillId="2" borderId="0" xfId="0" applyFont="1" applyFill="1"/>
    <xf numFmtId="0" fontId="21" fillId="0" borderId="0" xfId="0" applyFont="1" applyFill="1" applyBorder="1"/>
    <xf numFmtId="0" fontId="21" fillId="0" borderId="0" xfId="0" applyFont="1" applyFill="1" applyAlignment="1">
      <alignment horizontal="right"/>
    </xf>
    <xf numFmtId="0" fontId="33" fillId="4" borderId="4" xfId="0" applyFont="1" applyFill="1" applyBorder="1" applyAlignment="1">
      <alignment horizontal="center" vertical="center" wrapText="1"/>
    </xf>
    <xf numFmtId="3" fontId="33" fillId="4" borderId="9" xfId="0" applyNumberFormat="1" applyFont="1" applyFill="1" applyBorder="1" applyAlignment="1">
      <alignment horizontal="center" vertical="center" wrapText="1"/>
    </xf>
    <xf numFmtId="3" fontId="33" fillId="0" borderId="0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Border="1"/>
    <xf numFmtId="0" fontId="5" fillId="0" borderId="3" xfId="0" applyFont="1" applyBorder="1"/>
    <xf numFmtId="0" fontId="5" fillId="0" borderId="0" xfId="0" applyFont="1" applyFill="1" applyBorder="1"/>
    <xf numFmtId="3" fontId="5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wrapText="1"/>
    </xf>
    <xf numFmtId="0" fontId="7" fillId="0" borderId="4" xfId="0" applyFont="1" applyBorder="1"/>
    <xf numFmtId="3" fontId="7" fillId="0" borderId="9" xfId="0" applyNumberFormat="1" applyFont="1" applyBorder="1"/>
    <xf numFmtId="3" fontId="7" fillId="0" borderId="5" xfId="0" applyNumberFormat="1" applyFont="1" applyBorder="1"/>
    <xf numFmtId="3" fontId="7" fillId="0" borderId="0" xfId="0" applyNumberFormat="1" applyFont="1" applyBorder="1"/>
    <xf numFmtId="0" fontId="0" fillId="8" borderId="0" xfId="0" applyFill="1"/>
    <xf numFmtId="0" fontId="30" fillId="2" borderId="0" xfId="0" applyFont="1" applyFill="1" applyBorder="1"/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/>
    <xf numFmtId="3" fontId="30" fillId="0" borderId="0" xfId="0" applyNumberFormat="1" applyFont="1"/>
    <xf numFmtId="0" fontId="30" fillId="0" borderId="0" xfId="0" applyFont="1"/>
    <xf numFmtId="0" fontId="36" fillId="2" borderId="0" xfId="0" applyFont="1" applyFill="1"/>
    <xf numFmtId="0" fontId="7" fillId="4" borderId="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vertical="center" wrapText="1"/>
    </xf>
    <xf numFmtId="0" fontId="7" fillId="0" borderId="10" xfId="0" applyFont="1" applyBorder="1"/>
    <xf numFmtId="0" fontId="7" fillId="0" borderId="11" xfId="0" applyFont="1" applyBorder="1"/>
    <xf numFmtId="0" fontId="0" fillId="0" borderId="12" xfId="0" applyBorder="1"/>
    <xf numFmtId="3" fontId="7" fillId="0" borderId="13" xfId="0" applyNumberFormat="1" applyFont="1" applyBorder="1"/>
    <xf numFmtId="0" fontId="7" fillId="0" borderId="12" xfId="0" applyFont="1" applyBorder="1"/>
    <xf numFmtId="3" fontId="7" fillId="0" borderId="1" xfId="0" applyNumberFormat="1" applyFont="1" applyBorder="1"/>
    <xf numFmtId="0" fontId="12" fillId="0" borderId="12" xfId="0" applyFont="1" applyBorder="1" applyAlignment="1">
      <alignment wrapText="1"/>
    </xf>
    <xf numFmtId="0" fontId="7" fillId="0" borderId="14" xfId="0" applyFont="1" applyBorder="1"/>
    <xf numFmtId="3" fontId="7" fillId="2" borderId="15" xfId="0" applyNumberFormat="1" applyFont="1" applyFill="1" applyBorder="1"/>
    <xf numFmtId="3" fontId="7" fillId="2" borderId="16" xfId="0" applyNumberFormat="1" applyFont="1" applyFill="1" applyBorder="1"/>
    <xf numFmtId="0" fontId="7" fillId="2" borderId="0" xfId="0" applyFont="1" applyFill="1" applyBorder="1"/>
    <xf numFmtId="0" fontId="37" fillId="2" borderId="0" xfId="0" applyFont="1" applyFill="1" applyBorder="1"/>
    <xf numFmtId="0" fontId="8" fillId="7" borderId="4" xfId="0" applyFont="1" applyFill="1" applyBorder="1" applyAlignment="1">
      <alignment horizontal="center" wrapText="1"/>
    </xf>
    <xf numFmtId="0" fontId="2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17" fillId="2" borderId="0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right" vertical="center"/>
    </xf>
    <xf numFmtId="0" fontId="4" fillId="7" borderId="1" xfId="0" applyFont="1" applyFill="1" applyBorder="1"/>
    <xf numFmtId="3" fontId="4" fillId="7" borderId="2" xfId="0" applyNumberFormat="1" applyFont="1" applyFill="1" applyBorder="1" applyAlignment="1"/>
    <xf numFmtId="0" fontId="0" fillId="7" borderId="1" xfId="0" applyFill="1" applyBorder="1"/>
    <xf numFmtId="0" fontId="7" fillId="7" borderId="1" xfId="0" applyFont="1" applyFill="1" applyBorder="1" applyAlignment="1">
      <alignment horizontal="center" vertical="center" wrapText="1"/>
    </xf>
    <xf numFmtId="3" fontId="5" fillId="7" borderId="1" xfId="0" applyNumberFormat="1" applyFont="1" applyFill="1" applyBorder="1"/>
    <xf numFmtId="3" fontId="0" fillId="7" borderId="1" xfId="0" applyNumberFormat="1" applyFill="1" applyBorder="1"/>
    <xf numFmtId="0" fontId="0" fillId="0" borderId="12" xfId="0" applyBorder="1" applyAlignment="1">
      <alignment wrapText="1"/>
    </xf>
    <xf numFmtId="3" fontId="26" fillId="4" borderId="0" xfId="0" applyNumberFormat="1" applyFont="1" applyFill="1" applyBorder="1" applyAlignment="1">
      <alignment vertical="center"/>
    </xf>
    <xf numFmtId="3" fontId="24" fillId="0" borderId="4" xfId="0" applyNumberFormat="1" applyFont="1" applyFill="1" applyBorder="1" applyAlignment="1">
      <alignment horizontal="left" vertical="center" wrapText="1"/>
    </xf>
    <xf numFmtId="3" fontId="24" fillId="0" borderId="9" xfId="1" applyNumberFormat="1" applyFont="1" applyFill="1" applyBorder="1" applyAlignment="1">
      <alignment horizontal="right" vertical="center"/>
    </xf>
    <xf numFmtId="3" fontId="1" fillId="0" borderId="3" xfId="1" applyNumberFormat="1" applyFont="1" applyFill="1" applyBorder="1" applyAlignment="1">
      <alignment horizontal="right" vertical="center"/>
    </xf>
    <xf numFmtId="3" fontId="4" fillId="0" borderId="2" xfId="0" applyNumberFormat="1" applyFont="1" applyFill="1" applyBorder="1" applyAlignment="1">
      <alignment vertical="center"/>
    </xf>
    <xf numFmtId="3" fontId="24" fillId="9" borderId="4" xfId="0" applyNumberFormat="1" applyFont="1" applyFill="1" applyBorder="1" applyAlignment="1">
      <alignment horizontal="left" vertical="center" wrapText="1"/>
    </xf>
    <xf numFmtId="3" fontId="24" fillId="9" borderId="9" xfId="0" applyNumberFormat="1" applyFont="1" applyFill="1" applyBorder="1" applyAlignment="1">
      <alignment vertical="center"/>
    </xf>
    <xf numFmtId="3" fontId="1" fillId="0" borderId="2" xfId="0" applyNumberFormat="1" applyFont="1" applyFill="1" applyBorder="1" applyAlignment="1">
      <alignment horizontal="left" vertical="center"/>
    </xf>
    <xf numFmtId="3" fontId="13" fillId="8" borderId="0" xfId="0" applyNumberFormat="1" applyFont="1" applyFill="1" applyBorder="1" applyAlignment="1">
      <alignment vertical="center"/>
    </xf>
    <xf numFmtId="3" fontId="4" fillId="0" borderId="0" xfId="0" applyNumberFormat="1" applyFont="1" applyBorder="1" applyAlignment="1">
      <alignment vertical="center"/>
    </xf>
    <xf numFmtId="3" fontId="27" fillId="0" borderId="1" xfId="0" applyNumberFormat="1" applyFont="1" applyBorder="1" applyAlignment="1">
      <alignment vertical="center"/>
    </xf>
    <xf numFmtId="0" fontId="30" fillId="8" borderId="0" xfId="0" applyFont="1" applyFill="1"/>
    <xf numFmtId="0" fontId="31" fillId="2" borderId="0" xfId="0" applyFont="1" applyFill="1" applyAlignment="1"/>
    <xf numFmtId="0" fontId="35" fillId="4" borderId="2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18" fillId="2" borderId="4" xfId="0" applyFont="1" applyFill="1" applyBorder="1"/>
    <xf numFmtId="0" fontId="18" fillId="2" borderId="9" xfId="0" applyFont="1" applyFill="1" applyBorder="1"/>
    <xf numFmtId="3" fontId="18" fillId="2" borderId="9" xfId="0" applyNumberFormat="1" applyFont="1" applyFill="1" applyBorder="1"/>
    <xf numFmtId="3" fontId="18" fillId="2" borderId="5" xfId="0" applyNumberFormat="1" applyFont="1" applyFill="1" applyBorder="1"/>
    <xf numFmtId="49" fontId="1" fillId="0" borderId="2" xfId="0" applyNumberFormat="1" applyFont="1" applyBorder="1" applyAlignment="1">
      <alignment horizontal="right"/>
    </xf>
    <xf numFmtId="0" fontId="1" fillId="0" borderId="3" xfId="0" applyFont="1" applyBorder="1"/>
    <xf numFmtId="3" fontId="7" fillId="0" borderId="17" xfId="0" applyNumberFormat="1" applyFont="1" applyBorder="1"/>
    <xf numFmtId="0" fontId="7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/>
    <xf numFmtId="0" fontId="0" fillId="0" borderId="1" xfId="0" applyFill="1" applyBorder="1"/>
    <xf numFmtId="0" fontId="5" fillId="9" borderId="3" xfId="0" applyFont="1" applyFill="1" applyBorder="1"/>
    <xf numFmtId="3" fontId="5" fillId="9" borderId="1" xfId="0" applyNumberFormat="1" applyFont="1" applyFill="1" applyBorder="1"/>
    <xf numFmtId="0" fontId="0" fillId="9" borderId="1" xfId="0" applyFill="1" applyBorder="1"/>
    <xf numFmtId="3" fontId="7" fillId="9" borderId="9" xfId="0" applyNumberFormat="1" applyFont="1" applyFill="1" applyBorder="1"/>
    <xf numFmtId="0" fontId="2" fillId="6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4" fillId="0" borderId="20" xfId="0" applyFont="1" applyBorder="1"/>
    <xf numFmtId="0" fontId="1" fillId="0" borderId="20" xfId="0" applyFont="1" applyBorder="1"/>
    <xf numFmtId="0" fontId="1" fillId="0" borderId="20" xfId="0" applyFont="1" applyBorder="1" applyAlignment="1">
      <alignment wrapText="1"/>
    </xf>
    <xf numFmtId="0" fontId="3" fillId="0" borderId="19" xfId="0" applyFont="1" applyBorder="1" applyAlignment="1">
      <alignment horizontal="center" vertical="center"/>
    </xf>
    <xf numFmtId="0" fontId="1" fillId="0" borderId="20" xfId="0" applyFont="1" applyFill="1" applyBorder="1" applyAlignment="1">
      <alignment horizontal="left" vertical="center" wrapText="1"/>
    </xf>
    <xf numFmtId="0" fontId="3" fillId="6" borderId="4" xfId="0" applyFont="1" applyFill="1" applyBorder="1" applyAlignment="1">
      <alignment horizontal="center" vertical="center"/>
    </xf>
    <xf numFmtId="0" fontId="4" fillId="0" borderId="3" xfId="0" applyFont="1" applyBorder="1"/>
    <xf numFmtId="0" fontId="3" fillId="0" borderId="20" xfId="0" applyFont="1" applyFill="1" applyBorder="1"/>
    <xf numFmtId="3" fontId="18" fillId="0" borderId="1" xfId="0" applyNumberFormat="1" applyFont="1" applyBorder="1" applyAlignment="1"/>
    <xf numFmtId="0" fontId="1" fillId="0" borderId="2" xfId="0" applyFont="1" applyBorder="1" applyAlignment="1">
      <alignment wrapText="1"/>
    </xf>
    <xf numFmtId="3" fontId="3" fillId="0" borderId="2" xfId="0" applyNumberFormat="1" applyFont="1" applyBorder="1" applyAlignment="1">
      <alignment horizontal="right"/>
    </xf>
    <xf numFmtId="0" fontId="1" fillId="0" borderId="7" xfId="0" applyFont="1" applyBorder="1"/>
    <xf numFmtId="0" fontId="29" fillId="0" borderId="20" xfId="0" applyFont="1" applyBorder="1"/>
    <xf numFmtId="0" fontId="21" fillId="0" borderId="20" xfId="0" applyFont="1" applyBorder="1"/>
    <xf numFmtId="0" fontId="3" fillId="2" borderId="1" xfId="0" applyFont="1" applyFill="1" applyBorder="1"/>
    <xf numFmtId="3" fontId="4" fillId="7" borderId="1" xfId="0" applyNumberFormat="1" applyFont="1" applyFill="1" applyBorder="1" applyAlignment="1"/>
    <xf numFmtId="3" fontId="1" fillId="0" borderId="1" xfId="0" applyNumberFormat="1" applyFont="1" applyFill="1" applyBorder="1" applyAlignment="1"/>
    <xf numFmtId="0" fontId="0" fillId="0" borderId="7" xfId="0" applyBorder="1"/>
    <xf numFmtId="0" fontId="4" fillId="7" borderId="2" xfId="0" applyFont="1" applyFill="1" applyBorder="1"/>
    <xf numFmtId="0" fontId="6" fillId="0" borderId="7" xfId="0" applyFont="1" applyBorder="1"/>
    <xf numFmtId="3" fontId="1" fillId="0" borderId="3" xfId="0" applyNumberFormat="1" applyFont="1" applyBorder="1"/>
    <xf numFmtId="3" fontId="21" fillId="0" borderId="3" xfId="0" applyNumberFormat="1" applyFont="1" applyFill="1" applyBorder="1"/>
    <xf numFmtId="3" fontId="4" fillId="7" borderId="1" xfId="0" applyNumberFormat="1" applyFont="1" applyFill="1" applyBorder="1"/>
    <xf numFmtId="3" fontId="16" fillId="0" borderId="3" xfId="0" applyNumberFormat="1" applyFont="1" applyFill="1" applyBorder="1"/>
    <xf numFmtId="0" fontId="16" fillId="0" borderId="0" xfId="0" applyFont="1" applyFill="1"/>
    <xf numFmtId="0" fontId="1" fillId="0" borderId="0" xfId="0" applyFont="1" applyFill="1"/>
    <xf numFmtId="3" fontId="4" fillId="7" borderId="2" xfId="0" applyNumberFormat="1" applyFont="1" applyFill="1" applyBorder="1"/>
    <xf numFmtId="3" fontId="2" fillId="7" borderId="9" xfId="0" applyNumberFormat="1" applyFont="1" applyFill="1" applyBorder="1" applyAlignment="1"/>
    <xf numFmtId="0" fontId="6" fillId="0" borderId="3" xfId="0" applyFont="1" applyBorder="1"/>
    <xf numFmtId="0" fontId="2" fillId="8" borderId="0" xfId="0" applyFont="1" applyFill="1" applyBorder="1" applyAlignment="1">
      <alignment horizontal="center"/>
    </xf>
    <xf numFmtId="3" fontId="13" fillId="0" borderId="1" xfId="0" applyNumberFormat="1" applyFont="1" applyBorder="1" applyAlignment="1">
      <alignment horizontal="right"/>
    </xf>
    <xf numFmtId="3" fontId="1" fillId="0" borderId="3" xfId="0" applyNumberFormat="1" applyFont="1" applyFill="1" applyBorder="1" applyAlignment="1">
      <alignment horizontal="right" vertical="center" wrapText="1"/>
    </xf>
    <xf numFmtId="0" fontId="1" fillId="0" borderId="3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right"/>
    </xf>
    <xf numFmtId="3" fontId="1" fillId="8" borderId="0" xfId="0" applyNumberFormat="1" applyFont="1" applyFill="1" applyBorder="1" applyAlignment="1">
      <alignment horizontal="right" vertical="center"/>
    </xf>
    <xf numFmtId="3" fontId="25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2" borderId="0" xfId="0" applyFont="1" applyFill="1" applyBorder="1"/>
    <xf numFmtId="3" fontId="41" fillId="4" borderId="1" xfId="0" applyNumberFormat="1" applyFont="1" applyFill="1" applyBorder="1" applyAlignment="1">
      <alignment horizontal="center" vertical="center" wrapText="1"/>
    </xf>
    <xf numFmtId="3" fontId="4" fillId="7" borderId="3" xfId="1" applyNumberFormat="1" applyFont="1" applyFill="1" applyBorder="1" applyAlignment="1">
      <alignment horizontal="right" vertical="center"/>
    </xf>
    <xf numFmtId="3" fontId="1" fillId="7" borderId="2" xfId="1" applyNumberFormat="1" applyFont="1" applyFill="1" applyBorder="1" applyAlignment="1">
      <alignment horizontal="right" vertical="center"/>
    </xf>
    <xf numFmtId="3" fontId="24" fillId="7" borderId="9" xfId="1" applyNumberFormat="1" applyFont="1" applyFill="1" applyBorder="1" applyAlignment="1">
      <alignment horizontal="right" vertical="center"/>
    </xf>
    <xf numFmtId="0" fontId="1" fillId="2" borderId="20" xfId="0" applyFont="1" applyFill="1" applyBorder="1"/>
    <xf numFmtId="0" fontId="1" fillId="0" borderId="2" xfId="0" applyFont="1" applyFill="1" applyBorder="1" applyAlignment="1">
      <alignment horizontal="left" vertical="center"/>
    </xf>
    <xf numFmtId="0" fontId="2" fillId="0" borderId="1" xfId="0" applyFont="1" applyBorder="1"/>
    <xf numFmtId="0" fontId="1" fillId="0" borderId="21" xfId="0" applyFont="1" applyBorder="1"/>
    <xf numFmtId="0" fontId="1" fillId="0" borderId="1" xfId="0" applyFont="1" applyFill="1" applyBorder="1" applyAlignment="1">
      <alignment horizontal="left" vertical="center" wrapText="1"/>
    </xf>
    <xf numFmtId="0" fontId="8" fillId="6" borderId="18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22" xfId="0" applyFont="1" applyBorder="1"/>
    <xf numFmtId="3" fontId="2" fillId="0" borderId="3" xfId="0" applyNumberFormat="1" applyFont="1" applyBorder="1" applyAlignment="1">
      <alignment horizontal="right"/>
    </xf>
    <xf numFmtId="3" fontId="2" fillId="0" borderId="3" xfId="0" applyNumberFormat="1" applyFont="1" applyBorder="1"/>
    <xf numFmtId="3" fontId="2" fillId="0" borderId="3" xfId="0" applyNumberFormat="1" applyFont="1" applyBorder="1" applyAlignment="1">
      <alignment vertical="center"/>
    </xf>
    <xf numFmtId="3" fontId="2" fillId="0" borderId="1" xfId="0" applyNumberFormat="1" applyFont="1" applyBorder="1"/>
    <xf numFmtId="0" fontId="3" fillId="0" borderId="1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2" fillId="7" borderId="5" xfId="0" applyNumberFormat="1" applyFont="1" applyFill="1" applyBorder="1"/>
    <xf numFmtId="0" fontId="8" fillId="7" borderId="4" xfId="0" applyFont="1" applyFill="1" applyBorder="1" applyAlignment="1">
      <alignment horizontal="left"/>
    </xf>
    <xf numFmtId="0" fontId="13" fillId="7" borderId="23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0" fontId="3" fillId="7" borderId="23" xfId="0" applyFont="1" applyFill="1" applyBorder="1" applyAlignment="1">
      <alignment horizontal="center" vertical="center" wrapText="1"/>
    </xf>
    <xf numFmtId="3" fontId="1" fillId="8" borderId="1" xfId="0" applyNumberFormat="1" applyFont="1" applyFill="1" applyBorder="1" applyAlignment="1">
      <alignment horizontal="right"/>
    </xf>
    <xf numFmtId="3" fontId="18" fillId="8" borderId="1" xfId="0" applyNumberFormat="1" applyFont="1" applyFill="1" applyBorder="1" applyAlignment="1">
      <alignment horizontal="right"/>
    </xf>
    <xf numFmtId="0" fontId="3" fillId="6" borderId="24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right"/>
    </xf>
    <xf numFmtId="0" fontId="3" fillId="0" borderId="25" xfId="0" applyFont="1" applyBorder="1" applyAlignment="1">
      <alignment horizontal="center" vertical="center"/>
    </xf>
    <xf numFmtId="3" fontId="2" fillId="8" borderId="2" xfId="0" applyNumberFormat="1" applyFont="1" applyFill="1" applyBorder="1" applyAlignment="1">
      <alignment horizontal="right"/>
    </xf>
    <xf numFmtId="0" fontId="2" fillId="6" borderId="4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3" fontId="8" fillId="6" borderId="9" xfId="0" applyNumberFormat="1" applyFont="1" applyFill="1" applyBorder="1" applyAlignment="1">
      <alignment horizontal="right"/>
    </xf>
    <xf numFmtId="0" fontId="13" fillId="0" borderId="1" xfId="0" applyFont="1" applyBorder="1"/>
    <xf numFmtId="0" fontId="15" fillId="8" borderId="0" xfId="0" applyFont="1" applyFill="1" applyBorder="1"/>
    <xf numFmtId="3" fontId="12" fillId="8" borderId="0" xfId="0" applyNumberFormat="1" applyFont="1" applyFill="1"/>
    <xf numFmtId="3" fontId="1" fillId="8" borderId="0" xfId="0" applyNumberFormat="1" applyFont="1" applyFill="1" applyAlignment="1">
      <alignment horizontal="right"/>
    </xf>
    <xf numFmtId="0" fontId="8" fillId="7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3" fontId="1" fillId="0" borderId="3" xfId="0" applyNumberFormat="1" applyFont="1" applyFill="1" applyBorder="1" applyAlignment="1">
      <alignment horizontal="right" vertical="center"/>
    </xf>
    <xf numFmtId="3" fontId="24" fillId="0" borderId="5" xfId="1" applyNumberFormat="1" applyFont="1" applyFill="1" applyBorder="1" applyAlignment="1">
      <alignment horizontal="right" vertical="center"/>
    </xf>
    <xf numFmtId="3" fontId="25" fillId="0" borderId="0" xfId="0" applyNumberFormat="1" applyFont="1" applyFill="1" applyBorder="1" applyAlignment="1">
      <alignment vertical="center"/>
    </xf>
    <xf numFmtId="3" fontId="25" fillId="0" borderId="0" xfId="0" applyNumberFormat="1" applyFont="1" applyBorder="1" applyAlignment="1">
      <alignment vertical="center"/>
    </xf>
    <xf numFmtId="1" fontId="33" fillId="4" borderId="9" xfId="0" applyNumberFormat="1" applyFont="1" applyFill="1" applyBorder="1" applyAlignment="1">
      <alignment horizontal="center" vertical="center" wrapText="1"/>
    </xf>
    <xf numFmtId="1" fontId="33" fillId="4" borderId="5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3" fontId="1" fillId="0" borderId="3" xfId="0" applyNumberFormat="1" applyFont="1" applyFill="1" applyBorder="1" applyAlignment="1">
      <alignment vertical="center"/>
    </xf>
    <xf numFmtId="3" fontId="4" fillId="0" borderId="1" xfId="0" applyNumberFormat="1" applyFont="1" applyFill="1" applyBorder="1"/>
    <xf numFmtId="3" fontId="16" fillId="0" borderId="1" xfId="0" applyNumberFormat="1" applyFont="1" applyFill="1" applyBorder="1"/>
    <xf numFmtId="3" fontId="1" fillId="0" borderId="2" xfId="0" applyNumberFormat="1" applyFont="1" applyFill="1" applyBorder="1" applyAlignment="1">
      <alignment horizontal="right" vertical="center"/>
    </xf>
    <xf numFmtId="3" fontId="21" fillId="0" borderId="1" xfId="0" applyNumberFormat="1" applyFont="1" applyFill="1" applyBorder="1" applyAlignment="1">
      <alignment horizontal="right"/>
    </xf>
    <xf numFmtId="3" fontId="16" fillId="0" borderId="1" xfId="0" applyNumberFormat="1" applyFont="1" applyFill="1" applyBorder="1" applyAlignment="1">
      <alignment horizontal="right"/>
    </xf>
    <xf numFmtId="3" fontId="1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2" fillId="7" borderId="26" xfId="0" applyFont="1" applyFill="1" applyBorder="1" applyAlignment="1">
      <alignment horizontal="center" vertical="center" wrapText="1"/>
    </xf>
    <xf numFmtId="3" fontId="4" fillId="0" borderId="20" xfId="0" applyNumberFormat="1" applyFont="1" applyBorder="1" applyAlignment="1">
      <alignment horizontal="right"/>
    </xf>
    <xf numFmtId="3" fontId="1" fillId="0" borderId="20" xfId="0" applyNumberFormat="1" applyFont="1" applyBorder="1" applyAlignment="1">
      <alignment horizontal="right"/>
    </xf>
    <xf numFmtId="3" fontId="1" fillId="0" borderId="25" xfId="0" applyNumberFormat="1" applyFont="1" applyBorder="1" applyAlignment="1">
      <alignment horizontal="right"/>
    </xf>
    <xf numFmtId="3" fontId="3" fillId="0" borderId="9" xfId="0" applyNumberFormat="1" applyFont="1" applyBorder="1"/>
    <xf numFmtId="3" fontId="2" fillId="0" borderId="9" xfId="0" applyNumberFormat="1" applyFont="1" applyBorder="1" applyAlignment="1">
      <alignment horizontal="right"/>
    </xf>
    <xf numFmtId="0" fontId="2" fillId="6" borderId="27" xfId="0" applyFont="1" applyFill="1" applyBorder="1" applyAlignment="1">
      <alignment horizontal="center" vertical="center" wrapText="1"/>
    </xf>
    <xf numFmtId="3" fontId="2" fillId="0" borderId="19" xfId="0" applyNumberFormat="1" applyFont="1" applyBorder="1" applyAlignment="1">
      <alignment vertical="center"/>
    </xf>
    <xf numFmtId="3" fontId="1" fillId="0" borderId="20" xfId="0" applyNumberFormat="1" applyFont="1" applyBorder="1"/>
    <xf numFmtId="3" fontId="2" fillId="0" borderId="20" xfId="0" applyNumberFormat="1" applyFont="1" applyBorder="1" applyAlignment="1">
      <alignment horizontal="right"/>
    </xf>
    <xf numFmtId="3" fontId="1" fillId="0" borderId="20" xfId="0" applyNumberFormat="1" applyFont="1" applyFill="1" applyBorder="1" applyAlignment="1">
      <alignment horizontal="right"/>
    </xf>
    <xf numFmtId="3" fontId="3" fillId="0" borderId="20" xfId="0" applyNumberFormat="1" applyFont="1" applyBorder="1" applyAlignment="1">
      <alignment horizontal="right"/>
    </xf>
    <xf numFmtId="3" fontId="2" fillId="0" borderId="20" xfId="0" applyNumberFormat="1" applyFont="1" applyFill="1" applyBorder="1" applyAlignment="1">
      <alignment horizontal="right" wrapText="1"/>
    </xf>
    <xf numFmtId="3" fontId="18" fillId="0" borderId="20" xfId="0" applyNumberFormat="1" applyFont="1" applyBorder="1" applyAlignment="1">
      <alignment horizontal="right"/>
    </xf>
    <xf numFmtId="3" fontId="2" fillId="0" borderId="25" xfId="0" applyNumberFormat="1" applyFont="1" applyBorder="1" applyAlignment="1">
      <alignment horizontal="right"/>
    </xf>
    <xf numFmtId="3" fontId="8" fillId="7" borderId="9" xfId="0" applyNumberFormat="1" applyFont="1" applyFill="1" applyBorder="1" applyAlignment="1">
      <alignment vertical="center"/>
    </xf>
    <xf numFmtId="3" fontId="8" fillId="6" borderId="27" xfId="0" applyNumberFormat="1" applyFont="1" applyFill="1" applyBorder="1" applyAlignment="1">
      <alignment horizontal="right"/>
    </xf>
    <xf numFmtId="3" fontId="2" fillId="0" borderId="19" xfId="0" applyNumberFormat="1" applyFont="1" applyBorder="1"/>
    <xf numFmtId="3" fontId="18" fillId="0" borderId="20" xfId="0" applyNumberFormat="1" applyFont="1" applyBorder="1" applyAlignment="1"/>
    <xf numFmtId="3" fontId="1" fillId="0" borderId="0" xfId="0" applyNumberFormat="1" applyFont="1" applyAlignment="1">
      <alignment vertical="center"/>
    </xf>
    <xf numFmtId="3" fontId="18" fillId="8" borderId="20" xfId="0" applyNumberFormat="1" applyFont="1" applyFill="1" applyBorder="1" applyAlignment="1">
      <alignment horizontal="right"/>
    </xf>
    <xf numFmtId="3" fontId="1" fillId="8" borderId="20" xfId="0" applyNumberFormat="1" applyFont="1" applyFill="1" applyBorder="1" applyAlignment="1">
      <alignment horizontal="right"/>
    </xf>
    <xf numFmtId="0" fontId="2" fillId="0" borderId="4" xfId="0" applyFont="1" applyFill="1" applyBorder="1" applyAlignment="1">
      <alignment horizontal="left" vertical="center" wrapText="1"/>
    </xf>
    <xf numFmtId="3" fontId="2" fillId="0" borderId="9" xfId="0" applyNumberFormat="1" applyFont="1" applyBorder="1" applyAlignment="1">
      <alignment horizontal="right" vertical="center"/>
    </xf>
    <xf numFmtId="3" fontId="4" fillId="0" borderId="3" xfId="1" applyNumberFormat="1" applyFont="1" applyFill="1" applyBorder="1" applyAlignment="1">
      <alignment horizontal="right" vertical="center"/>
    </xf>
    <xf numFmtId="3" fontId="4" fillId="4" borderId="0" xfId="0" applyNumberFormat="1" applyFont="1" applyFill="1" applyBorder="1" applyAlignment="1">
      <alignment vertical="center"/>
    </xf>
    <xf numFmtId="3" fontId="43" fillId="0" borderId="1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" fillId="7" borderId="9" xfId="0" applyFont="1" applyFill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right"/>
    </xf>
    <xf numFmtId="3" fontId="8" fillId="7" borderId="5" xfId="0" applyNumberFormat="1" applyFont="1" applyFill="1" applyBorder="1" applyAlignment="1">
      <alignment vertical="center"/>
    </xf>
    <xf numFmtId="0" fontId="21" fillId="0" borderId="20" xfId="0" applyFont="1" applyFill="1" applyBorder="1"/>
    <xf numFmtId="3" fontId="29" fillId="0" borderId="20" xfId="0" applyNumberFormat="1" applyFont="1" applyFill="1" applyBorder="1" applyAlignment="1">
      <alignment horizontal="right"/>
    </xf>
    <xf numFmtId="3" fontId="29" fillId="8" borderId="1" xfId="0" applyNumberFormat="1" applyFont="1" applyFill="1" applyBorder="1" applyAlignment="1">
      <alignment horizontal="right"/>
    </xf>
    <xf numFmtId="0" fontId="1" fillId="0" borderId="20" xfId="0" applyFont="1" applyFill="1" applyBorder="1"/>
    <xf numFmtId="3" fontId="4" fillId="0" borderId="1" xfId="0" applyNumberFormat="1" applyFont="1" applyFill="1" applyBorder="1" applyAlignment="1">
      <alignment horizontal="right" vertical="center" wrapText="1"/>
    </xf>
    <xf numFmtId="0" fontId="0" fillId="0" borderId="0" xfId="0" applyFont="1"/>
    <xf numFmtId="0" fontId="4" fillId="0" borderId="10" xfId="0" applyFont="1" applyBorder="1"/>
    <xf numFmtId="3" fontId="2" fillId="0" borderId="11" xfId="0" applyNumberFormat="1" applyFont="1" applyBorder="1" applyAlignment="1">
      <alignment vertical="center"/>
    </xf>
    <xf numFmtId="0" fontId="4" fillId="0" borderId="12" xfId="0" applyFont="1" applyBorder="1"/>
    <xf numFmtId="3" fontId="3" fillId="0" borderId="13" xfId="0" applyNumberFormat="1" applyFont="1" applyBorder="1" applyAlignment="1"/>
    <xf numFmtId="0" fontId="1" fillId="0" borderId="12" xfId="0" applyFont="1" applyBorder="1"/>
    <xf numFmtId="3" fontId="1" fillId="0" borderId="13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/>
    </xf>
    <xf numFmtId="3" fontId="1" fillId="0" borderId="13" xfId="0" applyNumberFormat="1" applyFont="1" applyFill="1" applyBorder="1" applyAlignment="1">
      <alignment horizontal="right" vertical="center" wrapText="1"/>
    </xf>
    <xf numFmtId="3" fontId="1" fillId="0" borderId="13" xfId="0" applyNumberFormat="1" applyFont="1" applyFill="1" applyBorder="1"/>
    <xf numFmtId="3" fontId="1" fillId="0" borderId="13" xfId="0" applyNumberFormat="1" applyFont="1" applyBorder="1" applyAlignment="1">
      <alignment horizontal="right"/>
    </xf>
    <xf numFmtId="0" fontId="1" fillId="0" borderId="10" xfId="0" applyFont="1" applyBorder="1"/>
    <xf numFmtId="3" fontId="3" fillId="0" borderId="13" xfId="0" applyNumberFormat="1" applyFont="1" applyBorder="1" applyAlignment="1">
      <alignment horizontal="right"/>
    </xf>
    <xf numFmtId="0" fontId="1" fillId="0" borderId="28" xfId="0" applyFont="1" applyBorder="1"/>
    <xf numFmtId="0" fontId="29" fillId="0" borderId="0" xfId="0" applyFont="1"/>
    <xf numFmtId="0" fontId="38" fillId="0" borderId="0" xfId="0" applyFont="1"/>
    <xf numFmtId="3" fontId="2" fillId="0" borderId="11" xfId="0" applyNumberFormat="1" applyFont="1" applyBorder="1"/>
    <xf numFmtId="3" fontId="29" fillId="0" borderId="13" xfId="0" applyNumberFormat="1" applyFont="1" applyFill="1" applyBorder="1" applyAlignment="1">
      <alignment horizontal="right"/>
    </xf>
    <xf numFmtId="3" fontId="2" fillId="0" borderId="13" xfId="0" applyNumberFormat="1" applyFont="1" applyFill="1" applyBorder="1" applyAlignment="1">
      <alignment horizontal="right"/>
    </xf>
    <xf numFmtId="0" fontId="1" fillId="0" borderId="29" xfId="0" applyFont="1" applyBorder="1"/>
    <xf numFmtId="0" fontId="0" fillId="0" borderId="0" xfId="0" applyFont="1" applyBorder="1"/>
    <xf numFmtId="3" fontId="1" fillId="0" borderId="0" xfId="0" applyNumberFormat="1" applyFont="1" applyBorder="1"/>
    <xf numFmtId="3" fontId="4" fillId="0" borderId="3" xfId="0" applyNumberFormat="1" applyFont="1" applyBorder="1"/>
    <xf numFmtId="3" fontId="67" fillId="0" borderId="0" xfId="0" applyNumberFormat="1" applyFont="1" applyBorder="1"/>
    <xf numFmtId="3" fontId="1" fillId="0" borderId="2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wrapText="1"/>
    </xf>
    <xf numFmtId="3" fontId="1" fillId="0" borderId="1" xfId="0" applyNumberFormat="1" applyFont="1" applyFill="1" applyBorder="1" applyAlignment="1">
      <alignment horizontal="left" vertical="center" wrapText="1"/>
    </xf>
    <xf numFmtId="3" fontId="0" fillId="0" borderId="0" xfId="0" applyNumberFormat="1" applyFont="1"/>
    <xf numFmtId="0" fontId="21" fillId="2" borderId="20" xfId="0" applyFont="1" applyFill="1" applyBorder="1"/>
    <xf numFmtId="3" fontId="21" fillId="0" borderId="20" xfId="0" applyNumberFormat="1" applyFont="1" applyBorder="1" applyAlignment="1">
      <alignment horizontal="right"/>
    </xf>
    <xf numFmtId="3" fontId="21" fillId="0" borderId="20" xfId="0" applyNumberFormat="1" applyFont="1" applyFill="1" applyBorder="1" applyAlignment="1">
      <alignment horizontal="right"/>
    </xf>
    <xf numFmtId="0" fontId="21" fillId="2" borderId="20" xfId="0" applyFont="1" applyFill="1" applyBorder="1" applyAlignment="1">
      <alignment wrapText="1"/>
    </xf>
    <xf numFmtId="3" fontId="21" fillId="0" borderId="20" xfId="0" applyNumberFormat="1" applyFont="1" applyFill="1" applyBorder="1" applyAlignment="1">
      <alignment horizontal="right" vertical="center"/>
    </xf>
    <xf numFmtId="0" fontId="21" fillId="2" borderId="1" xfId="0" applyFont="1" applyFill="1" applyBorder="1"/>
    <xf numFmtId="0" fontId="2" fillId="7" borderId="1" xfId="0" applyFont="1" applyFill="1" applyBorder="1" applyAlignment="1">
      <alignment horizontal="left"/>
    </xf>
    <xf numFmtId="3" fontId="0" fillId="0" borderId="1" xfId="0" applyNumberFormat="1" applyFill="1" applyBorder="1"/>
    <xf numFmtId="166" fontId="1" fillId="0" borderId="1" xfId="10" applyNumberFormat="1" applyFont="1" applyBorder="1"/>
    <xf numFmtId="0" fontId="0" fillId="0" borderId="1" xfId="0" applyFont="1" applyBorder="1"/>
    <xf numFmtId="0" fontId="0" fillId="0" borderId="3" xfId="0" applyFont="1" applyBorder="1"/>
    <xf numFmtId="0" fontId="3" fillId="7" borderId="4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left" wrapText="1"/>
    </xf>
    <xf numFmtId="0" fontId="4" fillId="7" borderId="1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 wrapText="1"/>
    </xf>
    <xf numFmtId="3" fontId="45" fillId="0" borderId="1" xfId="0" applyNumberFormat="1" applyFont="1" applyBorder="1" applyAlignment="1">
      <alignment horizontal="right"/>
    </xf>
    <xf numFmtId="0" fontId="45" fillId="0" borderId="0" xfId="0" applyFont="1"/>
    <xf numFmtId="3" fontId="47" fillId="0" borderId="0" xfId="0" applyNumberFormat="1" applyFont="1"/>
    <xf numFmtId="3" fontId="45" fillId="0" borderId="2" xfId="0" applyNumberFormat="1" applyFont="1" applyBorder="1" applyAlignment="1">
      <alignment horizontal="right"/>
    </xf>
    <xf numFmtId="3" fontId="46" fillId="7" borderId="9" xfId="0" applyNumberFormat="1" applyFont="1" applyFill="1" applyBorder="1" applyAlignment="1">
      <alignment horizontal="right"/>
    </xf>
    <xf numFmtId="0" fontId="18" fillId="7" borderId="4" xfId="0" applyFont="1" applyFill="1" applyBorder="1" applyAlignment="1">
      <alignment horizontal="left" wrapText="1"/>
    </xf>
    <xf numFmtId="0" fontId="3" fillId="7" borderId="17" xfId="0" applyFont="1" applyFill="1" applyBorder="1" applyAlignment="1">
      <alignment horizontal="center" vertical="center" wrapText="1"/>
    </xf>
    <xf numFmtId="3" fontId="46" fillId="7" borderId="17" xfId="0" applyNumberFormat="1" applyFont="1" applyFill="1" applyBorder="1" applyAlignment="1">
      <alignment horizontal="right" wrapText="1"/>
    </xf>
    <xf numFmtId="3" fontId="45" fillId="0" borderId="22" xfId="0" applyNumberFormat="1" applyFont="1" applyBorder="1" applyAlignment="1">
      <alignment horizontal="right"/>
    </xf>
    <xf numFmtId="3" fontId="68" fillId="0" borderId="21" xfId="0" applyNumberFormat="1" applyFont="1" applyBorder="1" applyAlignment="1">
      <alignment horizontal="right"/>
    </xf>
    <xf numFmtId="3" fontId="46" fillId="7" borderId="17" xfId="0" applyNumberFormat="1" applyFont="1" applyFill="1" applyBorder="1" applyAlignment="1">
      <alignment horizontal="right"/>
    </xf>
    <xf numFmtId="3" fontId="45" fillId="0" borderId="3" xfId="0" applyNumberFormat="1" applyFont="1" applyFill="1" applyBorder="1" applyAlignment="1">
      <alignment horizontal="right" wrapText="1"/>
    </xf>
    <xf numFmtId="3" fontId="45" fillId="0" borderId="22" xfId="0" applyNumberFormat="1" applyFont="1" applyFill="1" applyBorder="1" applyAlignment="1">
      <alignment horizontal="right" wrapText="1"/>
    </xf>
    <xf numFmtId="9" fontId="45" fillId="0" borderId="1" xfId="0" applyNumberFormat="1" applyFont="1" applyFill="1" applyBorder="1" applyAlignment="1">
      <alignment horizontal="right" wrapText="1"/>
    </xf>
    <xf numFmtId="3" fontId="45" fillId="0" borderId="21" xfId="0" applyNumberFormat="1" applyFont="1" applyFill="1" applyBorder="1" applyAlignment="1">
      <alignment horizontal="right" wrapText="1"/>
    </xf>
    <xf numFmtId="9" fontId="45" fillId="0" borderId="2" xfId="0" applyNumberFormat="1" applyFont="1" applyFill="1" applyBorder="1" applyAlignment="1">
      <alignment horizontal="right" wrapText="1"/>
    </xf>
    <xf numFmtId="9" fontId="46" fillId="7" borderId="5" xfId="0" applyNumberFormat="1" applyFont="1" applyFill="1" applyBorder="1" applyAlignment="1">
      <alignment horizontal="right" wrapText="1"/>
    </xf>
    <xf numFmtId="0" fontId="0" fillId="8" borderId="0" xfId="0" applyFill="1" applyAlignment="1">
      <alignment horizontal="right"/>
    </xf>
    <xf numFmtId="0" fontId="4" fillId="7" borderId="0" xfId="0" applyFont="1" applyFill="1" applyBorder="1" applyAlignment="1">
      <alignment horizontal="left" wrapText="1"/>
    </xf>
    <xf numFmtId="0" fontId="6" fillId="0" borderId="24" xfId="0" applyFont="1" applyBorder="1"/>
    <xf numFmtId="0" fontId="6" fillId="0" borderId="30" xfId="0" applyFont="1" applyBorder="1"/>
    <xf numFmtId="0" fontId="0" fillId="7" borderId="0" xfId="0" applyFill="1"/>
    <xf numFmtId="3" fontId="6" fillId="10" borderId="27" xfId="0" applyNumberFormat="1" applyFont="1" applyFill="1" applyBorder="1"/>
    <xf numFmtId="3" fontId="6" fillId="7" borderId="0" xfId="0" applyNumberFormat="1" applyFont="1" applyFill="1"/>
    <xf numFmtId="3" fontId="21" fillId="0" borderId="2" xfId="0" applyNumberFormat="1" applyFont="1" applyFill="1" applyBorder="1" applyAlignment="1">
      <alignment horizontal="right" vertical="center"/>
    </xf>
    <xf numFmtId="3" fontId="1" fillId="0" borderId="1" xfId="0" applyNumberFormat="1" applyFont="1" applyFill="1" applyBorder="1" applyAlignment="1">
      <alignment horizontal="right" vertical="center"/>
    </xf>
    <xf numFmtId="3" fontId="0" fillId="0" borderId="0" xfId="0" applyNumberFormat="1" applyBorder="1"/>
    <xf numFmtId="3" fontId="12" fillId="0" borderId="31" xfId="0" applyNumberFormat="1" applyFont="1" applyFill="1" applyBorder="1"/>
    <xf numFmtId="0" fontId="1" fillId="8" borderId="0" xfId="0" applyFont="1" applyFill="1" applyAlignment="1">
      <alignment horizontal="right" vertical="center"/>
    </xf>
    <xf numFmtId="0" fontId="21" fillId="0" borderId="1" xfId="0" applyFont="1" applyBorder="1"/>
    <xf numFmtId="3" fontId="21" fillId="0" borderId="1" xfId="0" applyNumberFormat="1" applyFont="1" applyBorder="1" applyAlignment="1">
      <alignment horizontal="right"/>
    </xf>
    <xf numFmtId="3" fontId="16" fillId="0" borderId="1" xfId="0" applyNumberFormat="1" applyFont="1" applyBorder="1" applyAlignment="1">
      <alignment horizontal="right"/>
    </xf>
    <xf numFmtId="0" fontId="54" fillId="0" borderId="1" xfId="0" applyFont="1" applyBorder="1"/>
    <xf numFmtId="0" fontId="1" fillId="0" borderId="32" xfId="0" applyFont="1" applyBorder="1"/>
    <xf numFmtId="3" fontId="3" fillId="0" borderId="1" xfId="0" applyNumberFormat="1" applyFont="1" applyBorder="1"/>
    <xf numFmtId="3" fontId="1" fillId="8" borderId="0" xfId="0" applyNumberFormat="1" applyFont="1" applyFill="1" applyAlignment="1">
      <alignment horizontal="right" vertical="center"/>
    </xf>
    <xf numFmtId="0" fontId="6" fillId="0" borderId="0" xfId="0" applyFont="1" applyFill="1"/>
    <xf numFmtId="0" fontId="0" fillId="0" borderId="0" xfId="0" applyFill="1"/>
    <xf numFmtId="0" fontId="1" fillId="0" borderId="7" xfId="0" applyFont="1" applyFill="1" applyBorder="1" applyAlignment="1">
      <alignment horizontal="left" vertical="center"/>
    </xf>
    <xf numFmtId="3" fontId="1" fillId="0" borderId="7" xfId="0" applyNumberFormat="1" applyFont="1" applyFill="1" applyBorder="1" applyAlignment="1">
      <alignment horizontal="left" vertical="center"/>
    </xf>
    <xf numFmtId="3" fontId="1" fillId="0" borderId="7" xfId="0" applyNumberFormat="1" applyFont="1" applyFill="1" applyBorder="1"/>
    <xf numFmtId="3" fontId="4" fillId="0" borderId="8" xfId="0" applyNumberFormat="1" applyFont="1" applyBorder="1" applyAlignment="1">
      <alignment horizontal="right"/>
    </xf>
    <xf numFmtId="0" fontId="4" fillId="0" borderId="3" xfId="0" applyFont="1" applyFill="1" applyBorder="1" applyAlignment="1">
      <alignment horizontal="left" vertical="center" wrapText="1"/>
    </xf>
    <xf numFmtId="3" fontId="4" fillId="0" borderId="3" xfId="0" applyNumberFormat="1" applyFont="1" applyFill="1" applyBorder="1" applyAlignment="1">
      <alignment horizontal="right" vertical="center"/>
    </xf>
    <xf numFmtId="3" fontId="1" fillId="0" borderId="1" xfId="0" applyNumberFormat="1" applyFont="1" applyFill="1" applyBorder="1" applyAlignment="1">
      <alignment vertical="center" wrapText="1"/>
    </xf>
    <xf numFmtId="0" fontId="55" fillId="8" borderId="0" xfId="7" applyFill="1"/>
    <xf numFmtId="0" fontId="49" fillId="8" borderId="0" xfId="7" applyFont="1" applyFill="1"/>
    <xf numFmtId="3" fontId="55" fillId="0" borderId="0" xfId="7" applyNumberFormat="1"/>
    <xf numFmtId="0" fontId="55" fillId="0" borderId="0" xfId="7"/>
    <xf numFmtId="0" fontId="45" fillId="8" borderId="0" xfId="7" applyFont="1" applyFill="1" applyAlignment="1">
      <alignment horizontal="right"/>
    </xf>
    <xf numFmtId="0" fontId="50" fillId="9" borderId="33" xfId="7" applyFont="1" applyFill="1" applyBorder="1" applyAlignment="1">
      <alignment horizontal="center" vertical="center" wrapText="1"/>
    </xf>
    <xf numFmtId="0" fontId="50" fillId="9" borderId="34" xfId="7" applyFont="1" applyFill="1" applyBorder="1" applyAlignment="1">
      <alignment horizontal="center" vertical="center" wrapText="1"/>
    </xf>
    <xf numFmtId="0" fontId="50" fillId="9" borderId="35" xfId="7" applyFont="1" applyFill="1" applyBorder="1" applyAlignment="1">
      <alignment horizontal="center" vertical="center" wrapText="1"/>
    </xf>
    <xf numFmtId="0" fontId="50" fillId="9" borderId="23" xfId="7" applyFont="1" applyFill="1" applyBorder="1" applyAlignment="1">
      <alignment horizontal="center" vertical="center" wrapText="1"/>
    </xf>
    <xf numFmtId="0" fontId="55" fillId="0" borderId="0" xfId="7" applyAlignment="1">
      <alignment horizontal="center" vertical="center"/>
    </xf>
    <xf numFmtId="3" fontId="51" fillId="0" borderId="0" xfId="7" applyNumberFormat="1" applyFont="1" applyAlignment="1">
      <alignment horizontal="center" vertical="center" wrapText="1"/>
    </xf>
    <xf numFmtId="0" fontId="49" fillId="9" borderId="36" xfId="7" applyFont="1" applyFill="1" applyBorder="1"/>
    <xf numFmtId="3" fontId="55" fillId="0" borderId="37" xfId="7" applyNumberFormat="1" applyBorder="1"/>
    <xf numFmtId="3" fontId="45" fillId="0" borderId="20" xfId="7" applyNumberFormat="1" applyFont="1" applyBorder="1"/>
    <xf numFmtId="3" fontId="45" fillId="0" borderId="3" xfId="7" applyNumberFormat="1" applyFont="1" applyBorder="1"/>
    <xf numFmtId="3" fontId="55" fillId="0" borderId="3" xfId="7" applyNumberFormat="1" applyBorder="1"/>
    <xf numFmtId="3" fontId="55" fillId="0" borderId="38" xfId="7" applyNumberFormat="1" applyBorder="1"/>
    <xf numFmtId="3" fontId="49" fillId="0" borderId="37" xfId="7" applyNumberFormat="1" applyFont="1" applyBorder="1"/>
    <xf numFmtId="0" fontId="49" fillId="0" borderId="39" xfId="7" applyFont="1" applyBorder="1"/>
    <xf numFmtId="3" fontId="55" fillId="0" borderId="19" xfId="7" applyNumberFormat="1" applyBorder="1"/>
    <xf numFmtId="3" fontId="55" fillId="0" borderId="22" xfId="7" applyNumberFormat="1" applyBorder="1"/>
    <xf numFmtId="3" fontId="49" fillId="9" borderId="37" xfId="7" applyNumberFormat="1" applyFont="1" applyFill="1" applyBorder="1"/>
    <xf numFmtId="3" fontId="47" fillId="0" borderId="39" xfId="7" applyNumberFormat="1" applyFont="1" applyBorder="1"/>
    <xf numFmtId="3" fontId="47" fillId="0" borderId="0" xfId="7" applyNumberFormat="1" applyFont="1"/>
    <xf numFmtId="3" fontId="55" fillId="9" borderId="39" xfId="7" applyNumberFormat="1" applyFill="1" applyBorder="1"/>
    <xf numFmtId="0" fontId="49" fillId="9" borderId="40" xfId="7" applyFont="1" applyFill="1" applyBorder="1"/>
    <xf numFmtId="0" fontId="49" fillId="0" borderId="41" xfId="7" applyFont="1" applyBorder="1"/>
    <xf numFmtId="3" fontId="55" fillId="0" borderId="1" xfId="7" applyNumberFormat="1" applyBorder="1"/>
    <xf numFmtId="3" fontId="47" fillId="0" borderId="41" xfId="7" applyNumberFormat="1" applyFont="1" applyBorder="1"/>
    <xf numFmtId="3" fontId="55" fillId="9" borderId="41" xfId="7" applyNumberFormat="1" applyFill="1" applyBorder="1"/>
    <xf numFmtId="6" fontId="55" fillId="0" borderId="0" xfId="7" applyNumberFormat="1"/>
    <xf numFmtId="0" fontId="52" fillId="0" borderId="0" xfId="7" applyFont="1"/>
    <xf numFmtId="3" fontId="45" fillId="0" borderId="1" xfId="7" applyNumberFormat="1" applyFont="1" applyBorder="1"/>
    <xf numFmtId="3" fontId="49" fillId="0" borderId="41" xfId="7" applyNumberFormat="1" applyFont="1" applyBorder="1"/>
    <xf numFmtId="3" fontId="55" fillId="0" borderId="20" xfId="7" applyNumberFormat="1" applyBorder="1"/>
    <xf numFmtId="3" fontId="49" fillId="9" borderId="41" xfId="7" applyNumberFormat="1" applyFont="1" applyFill="1" applyBorder="1"/>
    <xf numFmtId="0" fontId="49" fillId="9" borderId="7" xfId="7" applyFont="1" applyFill="1" applyBorder="1"/>
    <xf numFmtId="3" fontId="55" fillId="0" borderId="41" xfId="7" applyNumberFormat="1" applyBorder="1"/>
    <xf numFmtId="3" fontId="55" fillId="0" borderId="7" xfId="7" applyNumberFormat="1" applyBorder="1"/>
    <xf numFmtId="0" fontId="49" fillId="9" borderId="41" xfId="7" applyFont="1" applyFill="1" applyBorder="1"/>
    <xf numFmtId="0" fontId="49" fillId="9" borderId="42" xfId="7" applyFont="1" applyFill="1" applyBorder="1"/>
    <xf numFmtId="3" fontId="49" fillId="9" borderId="43" xfId="7" applyNumberFormat="1" applyFont="1" applyFill="1" applyBorder="1"/>
    <xf numFmtId="3" fontId="49" fillId="9" borderId="33" xfId="7" applyNumberFormat="1" applyFont="1" applyFill="1" applyBorder="1"/>
    <xf numFmtId="3" fontId="49" fillId="9" borderId="34" xfId="7" applyNumberFormat="1" applyFont="1" applyFill="1" applyBorder="1"/>
    <xf numFmtId="3" fontId="49" fillId="9" borderId="44" xfId="7" applyNumberFormat="1" applyFont="1" applyFill="1" applyBorder="1"/>
    <xf numFmtId="0" fontId="49" fillId="9" borderId="43" xfId="7" applyFont="1" applyFill="1" applyBorder="1"/>
    <xf numFmtId="3" fontId="49" fillId="9" borderId="35" xfId="7" applyNumberFormat="1" applyFont="1" applyFill="1" applyBorder="1"/>
    <xf numFmtId="3" fontId="51" fillId="9" borderId="43" xfId="7" applyNumberFormat="1" applyFont="1" applyFill="1" applyBorder="1"/>
    <xf numFmtId="3" fontId="49" fillId="9" borderId="45" xfId="7" applyNumberFormat="1" applyFont="1" applyFill="1" applyBorder="1"/>
    <xf numFmtId="0" fontId="49" fillId="0" borderId="0" xfId="7" applyFont="1"/>
    <xf numFmtId="3" fontId="49" fillId="0" borderId="0" xfId="7" applyNumberFormat="1" applyFont="1"/>
    <xf numFmtId="3" fontId="47" fillId="8" borderId="0" xfId="7" applyNumberFormat="1" applyFont="1" applyFill="1"/>
    <xf numFmtId="3" fontId="51" fillId="0" borderId="0" xfId="7" applyNumberFormat="1" applyFont="1"/>
    <xf numFmtId="1" fontId="55" fillId="0" borderId="0" xfId="7" applyNumberFormat="1"/>
    <xf numFmtId="3" fontId="45" fillId="0" borderId="11" xfId="7" applyNumberFormat="1" applyFont="1" applyBorder="1"/>
    <xf numFmtId="3" fontId="45" fillId="0" borderId="13" xfId="7" applyNumberFormat="1" applyFont="1" applyBorder="1"/>
    <xf numFmtId="3" fontId="49" fillId="9" borderId="46" xfId="7" applyNumberFormat="1" applyFont="1" applyFill="1" applyBorder="1"/>
    <xf numFmtId="3" fontId="45" fillId="0" borderId="0" xfId="0" applyNumberFormat="1" applyFont="1"/>
    <xf numFmtId="9" fontId="45" fillId="0" borderId="3" xfId="0" applyNumberFormat="1" applyFont="1" applyFill="1" applyBorder="1" applyAlignment="1">
      <alignment horizontal="right" wrapText="1"/>
    </xf>
    <xf numFmtId="0" fontId="44" fillId="0" borderId="31" xfId="0" applyFont="1" applyBorder="1" applyAlignment="1">
      <alignment wrapText="1"/>
    </xf>
    <xf numFmtId="0" fontId="49" fillId="10" borderId="40" xfId="7" applyFont="1" applyFill="1" applyBorder="1"/>
    <xf numFmtId="3" fontId="55" fillId="10" borderId="37" xfId="7" applyNumberFormat="1" applyFill="1" applyBorder="1"/>
    <xf numFmtId="3" fontId="45" fillId="10" borderId="20" xfId="7" applyNumberFormat="1" applyFont="1" applyFill="1" applyBorder="1"/>
    <xf numFmtId="3" fontId="45" fillId="10" borderId="1" xfId="7" applyNumberFormat="1" applyFont="1" applyFill="1" applyBorder="1"/>
    <xf numFmtId="3" fontId="55" fillId="10" borderId="1" xfId="7" applyNumberFormat="1" applyFill="1" applyBorder="1"/>
    <xf numFmtId="3" fontId="55" fillId="10" borderId="38" xfId="7" applyNumberFormat="1" applyFill="1" applyBorder="1"/>
    <xf numFmtId="3" fontId="49" fillId="10" borderId="41" xfId="7" applyNumberFormat="1" applyFont="1" applyFill="1" applyBorder="1"/>
    <xf numFmtId="0" fontId="49" fillId="10" borderId="41" xfId="7" applyFont="1" applyFill="1" applyBorder="1"/>
    <xf numFmtId="3" fontId="55" fillId="10" borderId="20" xfId="7" applyNumberFormat="1" applyFill="1" applyBorder="1"/>
    <xf numFmtId="0" fontId="55" fillId="10" borderId="0" xfId="7" applyFill="1"/>
    <xf numFmtId="3" fontId="55" fillId="10" borderId="22" xfId="7" applyNumberFormat="1" applyFill="1" applyBorder="1"/>
    <xf numFmtId="3" fontId="49" fillId="10" borderId="37" xfId="7" applyNumberFormat="1" applyFont="1" applyFill="1" applyBorder="1"/>
    <xf numFmtId="3" fontId="47" fillId="10" borderId="41" xfId="7" applyNumberFormat="1" applyFont="1" applyFill="1" applyBorder="1"/>
    <xf numFmtId="3" fontId="45" fillId="10" borderId="13" xfId="7" applyNumberFormat="1" applyFont="1" applyFill="1" applyBorder="1"/>
    <xf numFmtId="167" fontId="5" fillId="7" borderId="1" xfId="0" applyNumberFormat="1" applyFont="1" applyFill="1" applyBorder="1"/>
    <xf numFmtId="3" fontId="1" fillId="0" borderId="2" xfId="0" applyNumberFormat="1" applyFont="1" applyFill="1" applyBorder="1" applyAlignment="1">
      <alignment horizontal="right"/>
    </xf>
    <xf numFmtId="0" fontId="1" fillId="0" borderId="12" xfId="0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right" vertical="center"/>
    </xf>
    <xf numFmtId="0" fontId="1" fillId="0" borderId="13" xfId="0" applyFont="1" applyFill="1" applyBorder="1"/>
    <xf numFmtId="3" fontId="3" fillId="0" borderId="47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 vertical="center"/>
    </xf>
    <xf numFmtId="3" fontId="13" fillId="0" borderId="1" xfId="0" applyNumberFormat="1" applyFont="1" applyFill="1" applyBorder="1" applyAlignment="1">
      <alignment horizontal="right"/>
    </xf>
    <xf numFmtId="3" fontId="2" fillId="0" borderId="9" xfId="0" applyNumberFormat="1" applyFont="1" applyFill="1" applyBorder="1" applyAlignment="1">
      <alignment horizontal="right" vertical="center"/>
    </xf>
    <xf numFmtId="0" fontId="8" fillId="8" borderId="0" xfId="0" applyFont="1" applyFill="1" applyAlignment="1">
      <alignment horizontal="center"/>
    </xf>
    <xf numFmtId="0" fontId="69" fillId="0" borderId="0" xfId="0" applyFont="1"/>
    <xf numFmtId="3" fontId="1" fillId="0" borderId="48" xfId="0" applyNumberFormat="1" applyFont="1" applyFill="1" applyBorder="1" applyAlignment="1">
      <alignment horizontal="right"/>
    </xf>
    <xf numFmtId="0" fontId="19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3" fontId="16" fillId="0" borderId="0" xfId="0" applyNumberFormat="1" applyFont="1" applyAlignment="1">
      <alignment horizontal="center"/>
    </xf>
    <xf numFmtId="0" fontId="1" fillId="0" borderId="0" xfId="4" applyFont="1"/>
    <xf numFmtId="0" fontId="1" fillId="0" borderId="0" xfId="4" applyFont="1" applyAlignment="1">
      <alignment horizontal="right"/>
    </xf>
    <xf numFmtId="3" fontId="1" fillId="0" borderId="0" xfId="4" applyNumberFormat="1" applyFont="1" applyAlignment="1">
      <alignment horizontal="right"/>
    </xf>
    <xf numFmtId="0" fontId="24" fillId="7" borderId="4" xfId="4" applyFont="1" applyFill="1" applyBorder="1" applyAlignment="1">
      <alignment horizontal="center" vertical="top" wrapText="1"/>
    </xf>
    <xf numFmtId="0" fontId="24" fillId="7" borderId="9" xfId="4" applyFont="1" applyFill="1" applyBorder="1" applyAlignment="1">
      <alignment horizontal="center" vertical="top" wrapText="1"/>
    </xf>
    <xf numFmtId="0" fontId="4" fillId="0" borderId="0" xfId="4" applyFont="1"/>
    <xf numFmtId="0" fontId="1" fillId="0" borderId="10" xfId="4" applyFont="1" applyBorder="1" applyAlignment="1">
      <alignment horizontal="center" vertical="top" wrapText="1"/>
    </xf>
    <xf numFmtId="0" fontId="1" fillId="0" borderId="3" xfId="4" applyFont="1" applyBorder="1" applyAlignment="1">
      <alignment horizontal="left" vertical="top" wrapText="1"/>
    </xf>
    <xf numFmtId="0" fontId="1" fillId="0" borderId="12" xfId="4" applyFont="1" applyBorder="1" applyAlignment="1">
      <alignment horizontal="center" vertical="top" wrapText="1"/>
    </xf>
    <xf numFmtId="0" fontId="1" fillId="0" borderId="1" xfId="4" applyFont="1" applyBorder="1" applyAlignment="1">
      <alignment horizontal="left" vertical="top" wrapText="1"/>
    </xf>
    <xf numFmtId="3" fontId="1" fillId="0" borderId="1" xfId="4" applyNumberFormat="1" applyFont="1" applyBorder="1" applyAlignment="1">
      <alignment horizontal="right" vertical="top" wrapText="1"/>
    </xf>
    <xf numFmtId="0" fontId="4" fillId="0" borderId="12" xfId="4" applyFont="1" applyBorder="1" applyAlignment="1">
      <alignment horizontal="center" vertical="top" wrapText="1"/>
    </xf>
    <xf numFmtId="0" fontId="4" fillId="0" borderId="1" xfId="4" applyFont="1" applyBorder="1" applyAlignment="1">
      <alignment horizontal="left" vertical="top" wrapText="1"/>
    </xf>
    <xf numFmtId="3" fontId="4" fillId="0" borderId="1" xfId="4" applyNumberFormat="1" applyFont="1" applyBorder="1" applyAlignment="1">
      <alignment horizontal="right" vertical="top" wrapText="1"/>
    </xf>
    <xf numFmtId="0" fontId="4" fillId="0" borderId="12" xfId="4" applyFont="1" applyBorder="1" applyAlignment="1">
      <alignment horizontal="center" vertical="center" wrapText="1"/>
    </xf>
    <xf numFmtId="3" fontId="1" fillId="0" borderId="1" xfId="4" applyNumberFormat="1" applyFont="1" applyBorder="1" applyAlignment="1">
      <alignment horizontal="right" vertical="center" wrapText="1"/>
    </xf>
    <xf numFmtId="0" fontId="4" fillId="0" borderId="14" xfId="4" applyFont="1" applyBorder="1" applyAlignment="1">
      <alignment horizontal="center" vertical="top" wrapText="1"/>
    </xf>
    <xf numFmtId="0" fontId="4" fillId="0" borderId="15" xfId="4" applyFont="1" applyBorder="1" applyAlignment="1">
      <alignment horizontal="left" vertical="top" wrapText="1"/>
    </xf>
    <xf numFmtId="0" fontId="24" fillId="7" borderId="1" xfId="4" applyFont="1" applyFill="1" applyBorder="1" applyAlignment="1">
      <alignment horizontal="center" vertical="top" wrapText="1"/>
    </xf>
    <xf numFmtId="0" fontId="24" fillId="7" borderId="1" xfId="4" applyFont="1" applyFill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top" wrapText="1"/>
    </xf>
    <xf numFmtId="0" fontId="4" fillId="0" borderId="1" xfId="4" applyFont="1" applyBorder="1" applyAlignment="1">
      <alignment horizontal="center" vertical="top" wrapText="1"/>
    </xf>
    <xf numFmtId="0" fontId="1" fillId="0" borderId="1" xfId="4" applyFont="1" applyBorder="1" applyAlignment="1">
      <alignment horizontal="center" vertical="center" wrapText="1"/>
    </xf>
    <xf numFmtId="0" fontId="4" fillId="9" borderId="1" xfId="4" applyFont="1" applyFill="1" applyBorder="1" applyAlignment="1">
      <alignment horizontal="center" vertical="top" wrapText="1"/>
    </xf>
    <xf numFmtId="0" fontId="4" fillId="9" borderId="1" xfId="4" applyFont="1" applyFill="1" applyBorder="1" applyAlignment="1">
      <alignment horizontal="left" vertical="top" wrapText="1"/>
    </xf>
    <xf numFmtId="3" fontId="4" fillId="9" borderId="1" xfId="4" applyNumberFormat="1" applyFont="1" applyFill="1" applyBorder="1" applyAlignment="1">
      <alignment horizontal="right" vertical="top" wrapText="1"/>
    </xf>
    <xf numFmtId="0" fontId="24" fillId="7" borderId="1" xfId="0" applyFont="1" applyFill="1" applyBorder="1" applyAlignment="1">
      <alignment horizontal="center" vertical="top" wrapText="1"/>
    </xf>
    <xf numFmtId="0" fontId="24" fillId="7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3" fontId="4" fillId="0" borderId="1" xfId="0" applyNumberFormat="1" applyFont="1" applyBorder="1" applyAlignment="1">
      <alignment horizontal="right" vertical="top" wrapText="1"/>
    </xf>
    <xf numFmtId="0" fontId="48" fillId="0" borderId="0" xfId="6" applyAlignment="1">
      <alignment vertical="center"/>
    </xf>
    <xf numFmtId="0" fontId="1" fillId="0" borderId="0" xfId="6" applyFont="1" applyAlignment="1">
      <alignment horizontal="right" vertical="center"/>
    </xf>
    <xf numFmtId="3" fontId="48" fillId="0" borderId="0" xfId="6" applyNumberFormat="1" applyAlignment="1">
      <alignment vertical="center"/>
    </xf>
    <xf numFmtId="3" fontId="1" fillId="0" borderId="0" xfId="6" applyNumberFormat="1" applyFont="1" applyAlignment="1">
      <alignment horizontal="right" vertical="center"/>
    </xf>
    <xf numFmtId="3" fontId="19" fillId="0" borderId="0" xfId="0" applyNumberFormat="1" applyFont="1"/>
    <xf numFmtId="0" fontId="47" fillId="0" borderId="0" xfId="6" applyFont="1" applyAlignment="1">
      <alignment horizontal="right" vertical="center"/>
    </xf>
    <xf numFmtId="0" fontId="1" fillId="0" borderId="14" xfId="6" applyFont="1" applyBorder="1" applyAlignment="1">
      <alignment horizontal="center" vertical="center" wrapText="1"/>
    </xf>
    <xf numFmtId="0" fontId="1" fillId="0" borderId="15" xfId="6" applyFont="1" applyBorder="1" applyAlignment="1">
      <alignment horizontal="center" vertical="center" wrapText="1"/>
    </xf>
    <xf numFmtId="0" fontId="4" fillId="0" borderId="15" xfId="6" applyFont="1" applyBorder="1" applyAlignment="1">
      <alignment horizontal="center" vertical="center" wrapText="1"/>
    </xf>
    <xf numFmtId="0" fontId="4" fillId="0" borderId="16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left" vertical="center" wrapText="1"/>
    </xf>
    <xf numFmtId="3" fontId="4" fillId="0" borderId="3" xfId="6" applyNumberFormat="1" applyFont="1" applyBorder="1" applyAlignment="1">
      <alignment horizontal="right" vertical="center" wrapText="1"/>
    </xf>
    <xf numFmtId="0" fontId="1" fillId="0" borderId="1" xfId="6" applyFont="1" applyBorder="1" applyAlignment="1">
      <alignment horizontal="left" vertical="center" wrapText="1"/>
    </xf>
    <xf numFmtId="0" fontId="4" fillId="0" borderId="1" xfId="6" applyFont="1" applyBorder="1" applyAlignment="1">
      <alignment horizontal="left" vertical="center" wrapText="1"/>
    </xf>
    <xf numFmtId="3" fontId="4" fillId="0" borderId="1" xfId="6" applyNumberFormat="1" applyFont="1" applyBorder="1" applyAlignment="1">
      <alignment horizontal="right" vertical="center" wrapText="1"/>
    </xf>
    <xf numFmtId="3" fontId="1" fillId="0" borderId="1" xfId="6" applyNumberFormat="1" applyFont="1" applyBorder="1" applyAlignment="1">
      <alignment horizontal="right" vertical="center" wrapText="1"/>
    </xf>
    <xf numFmtId="0" fontId="29" fillId="0" borderId="1" xfId="6" applyFont="1" applyBorder="1" applyAlignment="1">
      <alignment horizontal="left" vertical="center" wrapText="1"/>
    </xf>
    <xf numFmtId="0" fontId="29" fillId="0" borderId="1" xfId="6" applyFont="1" applyBorder="1" applyAlignment="1">
      <alignment vertical="center" wrapText="1"/>
    </xf>
    <xf numFmtId="0" fontId="57" fillId="0" borderId="1" xfId="6" applyFont="1" applyBorder="1" applyAlignment="1">
      <alignment horizontal="left" vertical="center" wrapText="1"/>
    </xf>
    <xf numFmtId="3" fontId="58" fillId="0" borderId="0" xfId="6" applyNumberFormat="1" applyFont="1" applyAlignment="1">
      <alignment vertical="center"/>
    </xf>
    <xf numFmtId="3" fontId="16" fillId="0" borderId="1" xfId="6" applyNumberFormat="1" applyFont="1" applyBorder="1" applyAlignment="1">
      <alignment horizontal="right" vertical="center" wrapText="1"/>
    </xf>
    <xf numFmtId="3" fontId="17" fillId="0" borderId="1" xfId="6" applyNumberFormat="1" applyFont="1" applyBorder="1" applyAlignment="1">
      <alignment horizontal="right" vertical="center" wrapText="1"/>
    </xf>
    <xf numFmtId="0" fontId="59" fillId="0" borderId="1" xfId="6" applyFont="1" applyBorder="1" applyAlignment="1">
      <alignment horizontal="left" vertical="center" wrapText="1"/>
    </xf>
    <xf numFmtId="3" fontId="60" fillId="0" borderId="1" xfId="6" applyNumberFormat="1" applyFont="1" applyBorder="1" applyAlignment="1">
      <alignment horizontal="right" vertical="center" wrapText="1"/>
    </xf>
    <xf numFmtId="3" fontId="4" fillId="0" borderId="1" xfId="6" applyNumberFormat="1" applyFont="1" applyBorder="1" applyAlignment="1">
      <alignment horizontal="right" vertical="top" wrapText="1"/>
    </xf>
    <xf numFmtId="0" fontId="4" fillId="0" borderId="1" xfId="6" applyFont="1" applyBorder="1" applyAlignment="1">
      <alignment horizontal="justify" vertical="center" wrapText="1"/>
    </xf>
    <xf numFmtId="3" fontId="59" fillId="0" borderId="1" xfId="6" applyNumberFormat="1" applyFont="1" applyBorder="1" applyAlignment="1">
      <alignment horizontal="right" vertical="center" wrapText="1"/>
    </xf>
    <xf numFmtId="0" fontId="1" fillId="0" borderId="1" xfId="6" applyFont="1" applyBorder="1" applyAlignment="1">
      <alignment horizontal="justify" vertical="center" wrapText="1"/>
    </xf>
    <xf numFmtId="3" fontId="60" fillId="0" borderId="0" xfId="6" applyNumberFormat="1" applyFont="1" applyAlignment="1">
      <alignment vertical="center" wrapText="1"/>
    </xf>
    <xf numFmtId="0" fontId="13" fillId="0" borderId="1" xfId="6" applyFont="1" applyBorder="1" applyAlignment="1">
      <alignment horizontal="left" vertical="center" wrapText="1"/>
    </xf>
    <xf numFmtId="0" fontId="61" fillId="0" borderId="1" xfId="6" applyFont="1" applyBorder="1" applyAlignment="1">
      <alignment horizontal="left" vertical="center" wrapText="1"/>
    </xf>
    <xf numFmtId="0" fontId="62" fillId="0" borderId="1" xfId="6" applyFont="1" applyBorder="1" applyAlignment="1">
      <alignment horizontal="left" vertical="center" wrapText="1"/>
    </xf>
    <xf numFmtId="3" fontId="4" fillId="5" borderId="1" xfId="6" applyNumberFormat="1" applyFont="1" applyFill="1" applyBorder="1" applyAlignment="1">
      <alignment horizontal="right" vertical="center" wrapText="1"/>
    </xf>
    <xf numFmtId="0" fontId="1" fillId="0" borderId="0" xfId="6" applyFont="1" applyAlignment="1">
      <alignment horizontal="justify" vertical="center"/>
    </xf>
    <xf numFmtId="3" fontId="49" fillId="0" borderId="0" xfId="6" applyNumberFormat="1" applyFont="1" applyAlignment="1">
      <alignment horizontal="right" vertical="center"/>
    </xf>
    <xf numFmtId="0" fontId="59" fillId="0" borderId="0" xfId="6" applyFont="1" applyAlignment="1">
      <alignment vertical="center"/>
    </xf>
    <xf numFmtId="0" fontId="59" fillId="0" borderId="0" xfId="6" applyFont="1" applyAlignment="1">
      <alignment horizontal="right" vertical="center"/>
    </xf>
    <xf numFmtId="0" fontId="4" fillId="0" borderId="5" xfId="6" applyFont="1" applyBorder="1" applyAlignment="1">
      <alignment horizontal="center" vertical="center" wrapText="1"/>
    </xf>
    <xf numFmtId="0" fontId="1" fillId="0" borderId="3" xfId="6" applyFont="1" applyBorder="1" applyAlignment="1">
      <alignment vertical="center"/>
    </xf>
    <xf numFmtId="0" fontId="59" fillId="0" borderId="3" xfId="6" applyFont="1" applyBorder="1" applyAlignment="1">
      <alignment horizontal="left" vertical="center" wrapText="1"/>
    </xf>
    <xf numFmtId="3" fontId="1" fillId="0" borderId="3" xfId="6" applyNumberFormat="1" applyFont="1" applyBorder="1" applyAlignment="1">
      <alignment horizontal="right" vertical="center" wrapText="1"/>
    </xf>
    <xf numFmtId="0" fontId="1" fillId="0" borderId="1" xfId="6" applyFont="1" applyBorder="1" applyAlignment="1">
      <alignment vertical="center"/>
    </xf>
    <xf numFmtId="0" fontId="60" fillId="0" borderId="1" xfId="6" applyFont="1" applyBorder="1" applyAlignment="1">
      <alignment horizontal="left" vertical="center" wrapText="1"/>
    </xf>
    <xf numFmtId="0" fontId="64" fillId="0" borderId="0" xfId="6" applyFont="1" applyAlignment="1">
      <alignment horizontal="left" vertical="center"/>
    </xf>
    <xf numFmtId="0" fontId="63" fillId="0" borderId="0" xfId="6" applyFont="1" applyAlignment="1">
      <alignment horizontal="center" vertical="center"/>
    </xf>
    <xf numFmtId="0" fontId="59" fillId="0" borderId="0" xfId="6" applyFont="1" applyAlignment="1">
      <alignment horizontal="center" vertical="center"/>
    </xf>
    <xf numFmtId="0" fontId="1" fillId="0" borderId="1" xfId="6" applyFont="1" applyBorder="1" applyAlignment="1">
      <alignment horizontal="center" vertical="center"/>
    </xf>
    <xf numFmtId="0" fontId="4" fillId="0" borderId="1" xfId="6" applyFont="1" applyBorder="1" applyAlignment="1">
      <alignment horizontal="left" vertical="center"/>
    </xf>
    <xf numFmtId="3" fontId="1" fillId="0" borderId="1" xfId="2" applyNumberFormat="1" applyFont="1" applyFill="1" applyBorder="1" applyAlignment="1" applyProtection="1">
      <alignment horizontal="center" vertical="center"/>
    </xf>
    <xf numFmtId="0" fontId="1" fillId="0" borderId="20" xfId="6" applyFont="1" applyBorder="1" applyAlignment="1">
      <alignment vertical="center"/>
    </xf>
    <xf numFmtId="0" fontId="1" fillId="0" borderId="49" xfId="6" applyFont="1" applyBorder="1" applyAlignment="1">
      <alignment horizontal="center" vertical="center"/>
    </xf>
    <xf numFmtId="0" fontId="1" fillId="0" borderId="0" xfId="6" applyFont="1" applyAlignment="1">
      <alignment horizontal="center" vertical="center"/>
    </xf>
    <xf numFmtId="0" fontId="1" fillId="0" borderId="0" xfId="6" applyFont="1" applyAlignment="1">
      <alignment vertical="center"/>
    </xf>
    <xf numFmtId="3" fontId="1" fillId="0" borderId="0" xfId="2" applyNumberFormat="1" applyFont="1" applyFill="1" applyBorder="1" applyAlignment="1" applyProtection="1">
      <alignment horizontal="center" vertical="center"/>
    </xf>
    <xf numFmtId="0" fontId="1" fillId="0" borderId="0" xfId="6" applyFont="1" applyAlignment="1">
      <alignment horizontal="left" vertical="center"/>
    </xf>
    <xf numFmtId="0" fontId="1" fillId="0" borderId="1" xfId="6" applyFont="1" applyBorder="1" applyAlignment="1">
      <alignment horizontal="left" vertical="center"/>
    </xf>
    <xf numFmtId="0" fontId="1" fillId="0" borderId="1" xfId="6" applyFont="1" applyBorder="1" applyAlignment="1">
      <alignment vertical="center" wrapText="1"/>
    </xf>
    <xf numFmtId="3" fontId="21" fillId="8" borderId="0" xfId="0" applyNumberFormat="1" applyFont="1" applyFill="1" applyAlignment="1">
      <alignment horizontal="right"/>
    </xf>
    <xf numFmtId="0" fontId="7" fillId="4" borderId="5" xfId="0" applyFont="1" applyFill="1" applyBorder="1" applyAlignment="1">
      <alignment horizontal="center" vertical="center" wrapText="1"/>
    </xf>
    <xf numFmtId="3" fontId="7" fillId="0" borderId="11" xfId="0" applyNumberFormat="1" applyFont="1" applyBorder="1"/>
    <xf numFmtId="0" fontId="6" fillId="0" borderId="12" xfId="0" applyFont="1" applyBorder="1"/>
    <xf numFmtId="0" fontId="6" fillId="0" borderId="14" xfId="0" applyFont="1" applyBorder="1"/>
    <xf numFmtId="0" fontId="7" fillId="0" borderId="10" xfId="0" applyFont="1" applyBorder="1" applyAlignment="1">
      <alignment horizontal="left" wrapText="1"/>
    </xf>
    <xf numFmtId="3" fontId="0" fillId="0" borderId="13" xfId="0" applyNumberFormat="1" applyBorder="1"/>
    <xf numFmtId="0" fontId="7" fillId="0" borderId="12" xfId="0" applyFont="1" applyBorder="1" applyAlignment="1">
      <alignment wrapText="1"/>
    </xf>
    <xf numFmtId="0" fontId="7" fillId="0" borderId="12" xfId="0" applyFont="1" applyBorder="1" applyAlignment="1">
      <alignment vertical="center" wrapText="1"/>
    </xf>
    <xf numFmtId="3" fontId="7" fillId="0" borderId="13" xfId="0" applyNumberFormat="1" applyFont="1" applyBorder="1" applyAlignment="1">
      <alignment vertical="center"/>
    </xf>
    <xf numFmtId="3" fontId="12" fillId="0" borderId="0" xfId="0" applyNumberFormat="1" applyFont="1" applyAlignment="1">
      <alignment vertical="center"/>
    </xf>
    <xf numFmtId="0" fontId="0" fillId="0" borderId="14" xfId="0" applyBorder="1"/>
    <xf numFmtId="0" fontId="7" fillId="2" borderId="0" xfId="0" applyFont="1" applyFill="1"/>
    <xf numFmtId="3" fontId="1" fillId="0" borderId="3" xfId="4" applyNumberFormat="1" applyFont="1" applyFill="1" applyBorder="1" applyAlignment="1">
      <alignment horizontal="right" vertical="top" wrapText="1"/>
    </xf>
    <xf numFmtId="3" fontId="1" fillId="0" borderId="1" xfId="4" applyNumberFormat="1" applyFont="1" applyFill="1" applyBorder="1" applyAlignment="1">
      <alignment horizontal="right" vertical="top" wrapText="1"/>
    </xf>
    <xf numFmtId="3" fontId="4" fillId="0" borderId="1" xfId="4" applyNumberFormat="1" applyFont="1" applyFill="1" applyBorder="1" applyAlignment="1">
      <alignment horizontal="right" vertical="top" wrapText="1"/>
    </xf>
    <xf numFmtId="3" fontId="1" fillId="0" borderId="1" xfId="4" applyNumberFormat="1" applyFont="1" applyFill="1" applyBorder="1" applyAlignment="1">
      <alignment horizontal="right" vertical="center" wrapText="1"/>
    </xf>
    <xf numFmtId="3" fontId="4" fillId="0" borderId="15" xfId="4" applyNumberFormat="1" applyFont="1" applyFill="1" applyBorder="1" applyAlignment="1">
      <alignment horizontal="right" vertical="top" wrapText="1"/>
    </xf>
    <xf numFmtId="3" fontId="1" fillId="0" borderId="1" xfId="0" applyNumberFormat="1" applyFont="1" applyFill="1" applyBorder="1" applyAlignment="1">
      <alignment horizontal="right"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3" fontId="7" fillId="0" borderId="11" xfId="0" applyNumberFormat="1" applyFont="1" applyFill="1" applyBorder="1"/>
    <xf numFmtId="3" fontId="7" fillId="0" borderId="13" xfId="0" applyNumberFormat="1" applyFont="1" applyFill="1" applyBorder="1"/>
    <xf numFmtId="3" fontId="6" fillId="0" borderId="13" xfId="0" applyNumberFormat="1" applyFont="1" applyFill="1" applyBorder="1"/>
    <xf numFmtId="3" fontId="6" fillId="0" borderId="16" xfId="0" applyNumberFormat="1" applyFont="1" applyFill="1" applyBorder="1"/>
    <xf numFmtId="3" fontId="0" fillId="0" borderId="16" xfId="0" applyNumberFormat="1" applyFill="1" applyBorder="1"/>
    <xf numFmtId="3" fontId="4" fillId="0" borderId="3" xfId="6" applyNumberFormat="1" applyFont="1" applyFill="1" applyBorder="1" applyAlignment="1">
      <alignment horizontal="right" vertical="center" wrapText="1"/>
    </xf>
    <xf numFmtId="3" fontId="4" fillId="0" borderId="1" xfId="6" applyNumberFormat="1" applyFont="1" applyFill="1" applyBorder="1" applyAlignment="1">
      <alignment horizontal="right" vertical="center" wrapText="1"/>
    </xf>
    <xf numFmtId="3" fontId="1" fillId="0" borderId="1" xfId="6" applyNumberFormat="1" applyFont="1" applyFill="1" applyBorder="1" applyAlignment="1">
      <alignment horizontal="right" vertical="center" wrapText="1"/>
    </xf>
    <xf numFmtId="0" fontId="19" fillId="2" borderId="0" xfId="0" applyFont="1" applyFill="1" applyAlignment="1">
      <alignment horizontal="center"/>
    </xf>
    <xf numFmtId="0" fontId="8" fillId="8" borderId="0" xfId="0" applyFont="1" applyFill="1" applyAlignment="1">
      <alignment horizontal="center"/>
    </xf>
    <xf numFmtId="3" fontId="45" fillId="0" borderId="2" xfId="0" applyNumberFormat="1" applyFont="1" applyBorder="1" applyAlignment="1">
      <alignment horizontal="right" vertical="center"/>
    </xf>
    <xf numFmtId="3" fontId="45" fillId="0" borderId="3" xfId="0" applyNumberFormat="1" applyFont="1" applyBorder="1" applyAlignment="1">
      <alignment horizontal="right" vertical="center"/>
    </xf>
    <xf numFmtId="3" fontId="45" fillId="0" borderId="21" xfId="0" applyNumberFormat="1" applyFont="1" applyFill="1" applyBorder="1" applyAlignment="1">
      <alignment horizontal="right" vertical="center" wrapText="1"/>
    </xf>
    <xf numFmtId="3" fontId="45" fillId="0" borderId="22" xfId="0" applyNumberFormat="1" applyFont="1" applyFill="1" applyBorder="1" applyAlignment="1">
      <alignment horizontal="right" vertical="center" wrapText="1"/>
    </xf>
    <xf numFmtId="0" fontId="24" fillId="8" borderId="0" xfId="0" applyFont="1" applyFill="1" applyAlignment="1">
      <alignment horizontal="center"/>
    </xf>
    <xf numFmtId="9" fontId="45" fillId="0" borderId="2" xfId="0" applyNumberFormat="1" applyFont="1" applyFill="1" applyBorder="1" applyAlignment="1">
      <alignment horizontal="right" vertical="center" wrapText="1"/>
    </xf>
    <xf numFmtId="9" fontId="45" fillId="0" borderId="3" xfId="0" applyNumberFormat="1" applyFont="1" applyFill="1" applyBorder="1" applyAlignment="1">
      <alignment horizontal="right" vertical="center" wrapText="1"/>
    </xf>
    <xf numFmtId="3" fontId="45" fillId="0" borderId="2" xfId="0" applyNumberFormat="1" applyFont="1" applyBorder="1" applyAlignment="1">
      <alignment horizontal="center" vertical="center"/>
    </xf>
    <xf numFmtId="3" fontId="45" fillId="0" borderId="3" xfId="0" applyNumberFormat="1" applyFont="1" applyBorder="1" applyAlignment="1">
      <alignment horizontal="center" vertical="center"/>
    </xf>
    <xf numFmtId="3" fontId="1" fillId="0" borderId="50" xfId="0" applyNumberFormat="1" applyFont="1" applyFill="1" applyBorder="1" applyAlignment="1">
      <alignment horizontal="right" vertical="center"/>
    </xf>
    <xf numFmtId="3" fontId="1" fillId="0" borderId="51" xfId="0" applyNumberFormat="1" applyFont="1" applyFill="1" applyBorder="1" applyAlignment="1">
      <alignment horizontal="right" vertical="center"/>
    </xf>
    <xf numFmtId="3" fontId="1" fillId="0" borderId="43" xfId="0" applyNumberFormat="1" applyFont="1" applyFill="1" applyBorder="1" applyAlignment="1">
      <alignment horizontal="right" vertical="center"/>
    </xf>
    <xf numFmtId="0" fontId="19" fillId="8" borderId="0" xfId="0" applyFont="1" applyFill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right" vertical="center"/>
    </xf>
    <xf numFmtId="0" fontId="19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4" borderId="7" xfId="0" applyNumberFormat="1" applyFont="1" applyFill="1" applyBorder="1" applyAlignment="1">
      <alignment horizontal="center" vertical="center"/>
    </xf>
    <xf numFmtId="3" fontId="4" fillId="4" borderId="52" xfId="0" applyNumberFormat="1" applyFont="1" applyFill="1" applyBorder="1" applyAlignment="1">
      <alignment horizontal="center" vertical="center"/>
    </xf>
    <xf numFmtId="3" fontId="4" fillId="4" borderId="20" xfId="0" applyNumberFormat="1" applyFont="1" applyFill="1" applyBorder="1" applyAlignment="1">
      <alignment horizontal="center"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0" fontId="39" fillId="7" borderId="2" xfId="0" applyFont="1" applyFill="1" applyBorder="1" applyAlignment="1">
      <alignment horizontal="center" vertical="center" wrapText="1"/>
    </xf>
    <xf numFmtId="0" fontId="39" fillId="7" borderId="8" xfId="0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/>
    </xf>
    <xf numFmtId="3" fontId="26" fillId="7" borderId="1" xfId="0" applyNumberFormat="1" applyFont="1" applyFill="1" applyBorder="1" applyAlignment="1">
      <alignment horizontal="center" vertical="center" wrapText="1"/>
    </xf>
    <xf numFmtId="3" fontId="26" fillId="4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3" fontId="26" fillId="4" borderId="1" xfId="0" applyNumberFormat="1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/>
    </xf>
    <xf numFmtId="3" fontId="4" fillId="7" borderId="1" xfId="0" applyNumberFormat="1" applyFont="1" applyFill="1" applyBorder="1" applyAlignment="1">
      <alignment horizontal="center" vertical="center" wrapText="1"/>
    </xf>
    <xf numFmtId="3" fontId="26" fillId="4" borderId="1" xfId="0" applyNumberFormat="1" applyFont="1" applyFill="1" applyBorder="1" applyAlignment="1">
      <alignment horizontal="center" vertical="center" wrapText="1"/>
    </xf>
    <xf numFmtId="3" fontId="42" fillId="7" borderId="1" xfId="0" applyNumberFormat="1" applyFont="1" applyFill="1" applyBorder="1" applyAlignment="1">
      <alignment horizontal="center" vertical="center" wrapText="1"/>
    </xf>
    <xf numFmtId="3" fontId="26" fillId="4" borderId="7" xfId="0" applyNumberFormat="1" applyFont="1" applyFill="1" applyBorder="1" applyAlignment="1">
      <alignment horizontal="center" vertical="center" wrapText="1"/>
    </xf>
    <xf numFmtId="3" fontId="26" fillId="4" borderId="20" xfId="0" applyNumberFormat="1" applyFont="1" applyFill="1" applyBorder="1" applyAlignment="1">
      <alignment horizontal="center" vertical="center" wrapText="1"/>
    </xf>
    <xf numFmtId="3" fontId="26" fillId="4" borderId="52" xfId="0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2" fillId="8" borderId="44" xfId="0" applyFont="1" applyFill="1" applyBorder="1" applyAlignment="1">
      <alignment horizontal="center"/>
    </xf>
    <xf numFmtId="0" fontId="3" fillId="7" borderId="50" xfId="0" applyFont="1" applyFill="1" applyBorder="1" applyAlignment="1">
      <alignment horizontal="center" vertical="center"/>
    </xf>
    <xf numFmtId="0" fontId="3" fillId="7" borderId="43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7" borderId="5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2" fillId="7" borderId="27" xfId="0" applyFont="1" applyFill="1" applyBorder="1" applyAlignment="1">
      <alignment horizontal="center" vertical="center" wrapText="1"/>
    </xf>
    <xf numFmtId="0" fontId="22" fillId="8" borderId="0" xfId="0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0" fontId="34" fillId="2" borderId="0" xfId="0" applyFont="1" applyFill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3" fillId="4" borderId="21" xfId="0" applyFont="1" applyFill="1" applyBorder="1" applyAlignment="1">
      <alignment horizontal="center" vertical="center" wrapText="1"/>
    </xf>
    <xf numFmtId="0" fontId="33" fillId="4" borderId="55" xfId="0" applyFont="1" applyFill="1" applyBorder="1" applyAlignment="1">
      <alignment horizontal="center" vertical="center" wrapText="1"/>
    </xf>
    <xf numFmtId="0" fontId="33" fillId="4" borderId="25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 vertical="center" wrapText="1"/>
    </xf>
    <xf numFmtId="0" fontId="33" fillId="4" borderId="32" xfId="0" applyFont="1" applyFill="1" applyBorder="1" applyAlignment="1">
      <alignment horizontal="center" vertical="center" wrapText="1"/>
    </xf>
    <xf numFmtId="0" fontId="33" fillId="4" borderId="22" xfId="0" applyFont="1" applyFill="1" applyBorder="1" applyAlignment="1">
      <alignment horizontal="center" vertical="center" wrapText="1"/>
    </xf>
    <xf numFmtId="0" fontId="33" fillId="4" borderId="38" xfId="0" applyFont="1" applyFill="1" applyBorder="1" applyAlignment="1">
      <alignment horizontal="center" vertical="center" wrapText="1"/>
    </xf>
    <xf numFmtId="0" fontId="33" fillId="4" borderId="19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3" fillId="4" borderId="1" xfId="0" applyFont="1" applyFill="1" applyBorder="1" applyAlignment="1">
      <alignment horizontal="center" vertical="center" wrapText="1"/>
    </xf>
    <xf numFmtId="0" fontId="0" fillId="0" borderId="1" xfId="0" applyBorder="1" applyAlignment="1"/>
    <xf numFmtId="3" fontId="33" fillId="7" borderId="7" xfId="0" applyNumberFormat="1" applyFont="1" applyFill="1" applyBorder="1" applyAlignment="1">
      <alignment horizontal="center" vertical="center" wrapText="1"/>
    </xf>
    <xf numFmtId="3" fontId="33" fillId="7" borderId="52" xfId="0" applyNumberFormat="1" applyFont="1" applyFill="1" applyBorder="1" applyAlignment="1">
      <alignment horizontal="center" vertical="center" wrapText="1"/>
    </xf>
    <xf numFmtId="3" fontId="33" fillId="7" borderId="20" xfId="0" applyNumberFormat="1" applyFont="1" applyFill="1" applyBorder="1" applyAlignment="1">
      <alignment horizontal="center" vertical="center" wrapText="1"/>
    </xf>
    <xf numFmtId="3" fontId="33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35" fillId="4" borderId="8" xfId="0" applyFont="1" applyFill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0" fontId="35" fillId="4" borderId="7" xfId="0" applyFont="1" applyFill="1" applyBorder="1" applyAlignment="1">
      <alignment horizontal="center" vertical="center" wrapText="1"/>
    </xf>
    <xf numFmtId="0" fontId="35" fillId="4" borderId="52" xfId="0" applyFont="1" applyFill="1" applyBorder="1" applyAlignment="1">
      <alignment horizontal="center" vertical="center" wrapText="1"/>
    </xf>
    <xf numFmtId="0" fontId="35" fillId="4" borderId="20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wrapText="1"/>
    </xf>
    <xf numFmtId="0" fontId="35" fillId="4" borderId="22" xfId="0" applyFont="1" applyFill="1" applyBorder="1" applyAlignment="1">
      <alignment horizontal="center" vertical="center" wrapText="1"/>
    </xf>
    <xf numFmtId="0" fontId="35" fillId="4" borderId="19" xfId="0" applyFont="1" applyFill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center" wrapText="1"/>
    </xf>
    <xf numFmtId="0" fontId="40" fillId="4" borderId="8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0" fontId="0" fillId="0" borderId="0" xfId="0"/>
    <xf numFmtId="0" fontId="4" fillId="0" borderId="1" xfId="6" applyFont="1" applyBorder="1" applyAlignment="1">
      <alignment horizontal="left" vertical="center"/>
    </xf>
    <xf numFmtId="0" fontId="4" fillId="0" borderId="1" xfId="6" applyFont="1" applyBorder="1" applyAlignment="1">
      <alignment horizontal="left" vertical="center" wrapText="1"/>
    </xf>
    <xf numFmtId="0" fontId="59" fillId="0" borderId="1" xfId="6" applyFont="1" applyBorder="1" applyAlignment="1">
      <alignment horizontal="left" vertical="center" wrapText="1"/>
    </xf>
    <xf numFmtId="0" fontId="60" fillId="0" borderId="1" xfId="6" applyFont="1" applyBorder="1" applyAlignment="1">
      <alignment horizontal="left" vertical="center" wrapText="1"/>
    </xf>
    <xf numFmtId="0" fontId="63" fillId="0" borderId="0" xfId="6" applyFont="1" applyAlignment="1">
      <alignment horizontal="center" vertical="center"/>
    </xf>
    <xf numFmtId="0" fontId="4" fillId="5" borderId="1" xfId="6" applyFont="1" applyFill="1" applyBorder="1" applyAlignment="1">
      <alignment horizontal="left" vertical="center" wrapText="1"/>
    </xf>
    <xf numFmtId="0" fontId="63" fillId="0" borderId="0" xfId="6" applyFont="1" applyAlignment="1">
      <alignment horizontal="center" vertical="center" wrapText="1"/>
    </xf>
    <xf numFmtId="0" fontId="60" fillId="0" borderId="24" xfId="6" applyFont="1" applyBorder="1" applyAlignment="1">
      <alignment horizontal="center" vertical="center" wrapText="1"/>
    </xf>
    <xf numFmtId="0" fontId="60" fillId="0" borderId="30" xfId="6" applyFont="1" applyBorder="1" applyAlignment="1">
      <alignment horizontal="center" vertical="center" wrapText="1"/>
    </xf>
    <xf numFmtId="0" fontId="60" fillId="0" borderId="18" xfId="6" applyFont="1" applyBorder="1" applyAlignment="1">
      <alignment horizontal="center" vertical="center" wrapText="1"/>
    </xf>
    <xf numFmtId="0" fontId="59" fillId="0" borderId="3" xfId="6" applyFont="1" applyBorder="1" applyAlignment="1">
      <alignment horizontal="left" vertical="center" wrapText="1"/>
    </xf>
    <xf numFmtId="0" fontId="19" fillId="0" borderId="0" xfId="0" applyFont="1" applyAlignment="1">
      <alignment horizontal="center"/>
    </xf>
    <xf numFmtId="0" fontId="1" fillId="0" borderId="56" xfId="6" applyFont="1" applyBorder="1" applyAlignment="1">
      <alignment horizontal="center" vertical="center" wrapText="1"/>
    </xf>
    <xf numFmtId="0" fontId="1" fillId="0" borderId="57" xfId="6" applyFont="1" applyBorder="1" applyAlignment="1">
      <alignment horizontal="center" vertical="center" wrapText="1"/>
    </xf>
    <xf numFmtId="0" fontId="4" fillId="0" borderId="57" xfId="6" applyFont="1" applyBorder="1" applyAlignment="1">
      <alignment horizontal="center" vertical="center" wrapText="1"/>
    </xf>
    <xf numFmtId="0" fontId="4" fillId="0" borderId="58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left" vertical="center" wrapText="1"/>
    </xf>
    <xf numFmtId="3" fontId="61" fillId="0" borderId="0" xfId="6" applyNumberFormat="1" applyFont="1" applyAlignment="1">
      <alignment horizontal="left" vertical="center" wrapText="1"/>
    </xf>
    <xf numFmtId="0" fontId="19" fillId="8" borderId="0" xfId="0" applyFont="1" applyFill="1" applyAlignment="1">
      <alignment horizontal="center" wrapText="1"/>
    </xf>
    <xf numFmtId="0" fontId="65" fillId="2" borderId="0" xfId="0" applyFont="1" applyFill="1" applyAlignment="1">
      <alignment horizontal="center" wrapText="1"/>
    </xf>
    <xf numFmtId="0" fontId="19" fillId="8" borderId="0" xfId="0" applyFont="1" applyFill="1" applyAlignment="1">
      <alignment horizontal="center"/>
    </xf>
    <xf numFmtId="0" fontId="51" fillId="9" borderId="59" xfId="7" applyFont="1" applyFill="1" applyBorder="1" applyAlignment="1">
      <alignment horizontal="center" vertical="center" wrapText="1"/>
    </xf>
    <xf numFmtId="0" fontId="51" fillId="9" borderId="60" xfId="7" applyFont="1" applyFill="1" applyBorder="1" applyAlignment="1">
      <alignment horizontal="center" vertical="center" wrapText="1"/>
    </xf>
    <xf numFmtId="0" fontId="51" fillId="9" borderId="39" xfId="7" applyFont="1" applyFill="1" applyBorder="1" applyAlignment="1">
      <alignment horizontal="center" vertical="center" wrapText="1"/>
    </xf>
    <xf numFmtId="0" fontId="51" fillId="9" borderId="45" xfId="7" applyFont="1" applyFill="1" applyBorder="1" applyAlignment="1">
      <alignment horizontal="center" vertical="center" wrapText="1"/>
    </xf>
    <xf numFmtId="0" fontId="49" fillId="9" borderId="61" xfId="7" applyFont="1" applyFill="1" applyBorder="1" applyAlignment="1">
      <alignment horizontal="center" vertical="center"/>
    </xf>
    <xf numFmtId="0" fontId="49" fillId="9" borderId="29" xfId="7" applyFont="1" applyFill="1" applyBorder="1" applyAlignment="1">
      <alignment horizontal="center" vertical="center"/>
    </xf>
    <xf numFmtId="0" fontId="49" fillId="9" borderId="50" xfId="7" applyFont="1" applyFill="1" applyBorder="1" applyAlignment="1">
      <alignment horizontal="center" vertical="center" wrapText="1"/>
    </xf>
    <xf numFmtId="0" fontId="49" fillId="9" borderId="43" xfId="7" applyFont="1" applyFill="1" applyBorder="1" applyAlignment="1">
      <alignment horizontal="center" vertical="center" wrapText="1"/>
    </xf>
    <xf numFmtId="0" fontId="50" fillId="9" borderId="39" xfId="7" applyFont="1" applyFill="1" applyBorder="1" applyAlignment="1">
      <alignment horizontal="center" vertical="center" wrapText="1"/>
    </xf>
    <xf numFmtId="0" fontId="50" fillId="9" borderId="45" xfId="7" applyFont="1" applyFill="1" applyBorder="1" applyAlignment="1">
      <alignment horizontal="center" vertical="center" wrapText="1"/>
    </xf>
    <xf numFmtId="0" fontId="49" fillId="9" borderId="30" xfId="7" applyFont="1" applyFill="1" applyBorder="1" applyAlignment="1">
      <alignment horizontal="center"/>
    </xf>
    <xf numFmtId="0" fontId="49" fillId="9" borderId="60" xfId="7" applyFont="1" applyFill="1" applyBorder="1" applyAlignment="1">
      <alignment horizontal="center" vertical="center"/>
    </xf>
    <xf numFmtId="0" fontId="49" fillId="9" borderId="4" xfId="7" applyFont="1" applyFill="1" applyBorder="1" applyAlignment="1">
      <alignment horizontal="center"/>
    </xf>
    <xf numFmtId="0" fontId="49" fillId="9" borderId="9" xfId="7" applyFont="1" applyFill="1" applyBorder="1" applyAlignment="1">
      <alignment horizontal="center"/>
    </xf>
    <xf numFmtId="0" fontId="49" fillId="9" borderId="17" xfId="7" applyFont="1" applyFill="1" applyBorder="1" applyAlignment="1">
      <alignment horizontal="center"/>
    </xf>
    <xf numFmtId="0" fontId="49" fillId="9" borderId="39" xfId="7" applyFont="1" applyFill="1" applyBorder="1" applyAlignment="1">
      <alignment horizontal="center" vertical="center" wrapText="1"/>
    </xf>
    <xf numFmtId="0" fontId="49" fillId="9" borderId="45" xfId="7" applyFont="1" applyFill="1" applyBorder="1" applyAlignment="1">
      <alignment horizontal="center" vertical="center" wrapText="1"/>
    </xf>
  </cellXfs>
  <cellStyles count="11">
    <cellStyle name="Ezres 2" xfId="1"/>
    <cellStyle name="Ezres 3" xfId="2"/>
    <cellStyle name="Normál" xfId="0" builtinId="0"/>
    <cellStyle name="Normál 2" xfId="3"/>
    <cellStyle name="Normál 2 2" xfId="4"/>
    <cellStyle name="Normál 3" xfId="5"/>
    <cellStyle name="Normál 4" xfId="6"/>
    <cellStyle name="Normál 5" xfId="7"/>
    <cellStyle name="Normál 8" xfId="8"/>
    <cellStyle name="Normal_KARSZJ3" xfId="9"/>
    <cellStyle name="Százalék" xfId="10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0</xdr:row>
      <xdr:rowOff>0</xdr:rowOff>
    </xdr:from>
    <xdr:to>
      <xdr:col>17</xdr:col>
      <xdr:colOff>571500</xdr:colOff>
      <xdr:row>58</xdr:row>
      <xdr:rowOff>9525</xdr:rowOff>
    </xdr:to>
    <xdr:pic>
      <xdr:nvPicPr>
        <xdr:cNvPr id="1032" name="Kép 3">
          <a:extLst>
            <a:ext uri="{FF2B5EF4-FFF2-40B4-BE49-F238E27FC236}">
              <a16:creationId xmlns:a16="http://schemas.microsoft.com/office/drawing/2014/main" id="{96C45B08-8AE0-4798-AC80-D3490AB61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0"/>
          <a:ext cx="5381625" cy="940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19050</xdr:rowOff>
    </xdr:from>
    <xdr:to>
      <xdr:col>8</xdr:col>
      <xdr:colOff>555625</xdr:colOff>
      <xdr:row>58</xdr:row>
      <xdr:rowOff>3176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559ED79C-6A6E-477E-9B24-A0504426C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5432425" cy="905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5.%20&#233;vi%20k&#246;lt&#233;sgvet&#233;s\Mell&#233;kletek\&#214;sszes%20t&#225;bla%20egyb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5.%20&#233;vi%20k&#246;lt&#233;sgvet&#233;s/Mell&#233;kletek/&#214;sszes%20t&#225;bla%20egyb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nyes/Documents/TKT%20&#252;l&#233;s_2020.01.30/02%20Ktgfeloszt&#225;s_2020_T&#225;rsul&#225;s_I.fordul&#24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Z&#225;rsz&#225;mad&#225;s_2019_Telek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Óvoda"/>
      <sheetName val="szoc. egyenkénti feladatok"/>
      <sheetName val="Házi segítségnyújtás"/>
      <sheetName val="Püg.,TV, étkeztetés "/>
      <sheetName val="Társulási hozzájár."/>
      <sheetName val="Ügyelet"/>
      <sheetName val="Labor"/>
      <sheetName val="TKT feladatok"/>
      <sheetName val="TKT műk."/>
      <sheetName val="Családsegítés, gyerm.jólét"/>
      <sheetName val="Összesítő"/>
      <sheetName val="munka"/>
      <sheetName val="házi segítségnyújtás bér"/>
      <sheetName val="CSS GYJ"/>
    </sheetNames>
    <sheetDataSet>
      <sheetData sheetId="0">
        <row r="18">
          <cell r="H18">
            <v>3571.6000000000004</v>
          </cell>
        </row>
        <row r="19">
          <cell r="H19">
            <v>934.80000000000007</v>
          </cell>
        </row>
        <row r="20">
          <cell r="H20">
            <v>623.20000000000005</v>
          </cell>
        </row>
        <row r="21">
          <cell r="H21">
            <v>623.20000000000005</v>
          </cell>
        </row>
        <row r="22">
          <cell r="H22">
            <v>5920.4000000000005</v>
          </cell>
        </row>
        <row r="30">
          <cell r="C30">
            <v>2648.6000000000004</v>
          </cell>
          <cell r="E30">
            <v>659.2</v>
          </cell>
        </row>
      </sheetData>
      <sheetData sheetId="1"/>
      <sheetData sheetId="2">
        <row r="36">
          <cell r="E36">
            <v>3592.0256410256416</v>
          </cell>
        </row>
        <row r="37">
          <cell r="E37">
            <v>861.84615384615404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861.84615384615404</v>
          </cell>
        </row>
        <row r="41">
          <cell r="E41">
            <v>1005.4871794871796</v>
          </cell>
        </row>
        <row r="42">
          <cell r="E42">
            <v>1292.7692307692309</v>
          </cell>
        </row>
        <row r="43">
          <cell r="E43">
            <v>1005.4871794871796</v>
          </cell>
        </row>
        <row r="44">
          <cell r="E44">
            <v>1005.4871794871796</v>
          </cell>
        </row>
        <row r="45">
          <cell r="E45">
            <v>0</v>
          </cell>
        </row>
        <row r="46">
          <cell r="E46">
            <v>574.56410256410265</v>
          </cell>
        </row>
        <row r="47">
          <cell r="E47">
            <v>1005.4871794871796</v>
          </cell>
        </row>
        <row r="48">
          <cell r="E48">
            <v>0</v>
          </cell>
        </row>
      </sheetData>
      <sheetData sheetId="3">
        <row r="20">
          <cell r="D20">
            <v>620</v>
          </cell>
          <cell r="E20">
            <v>3540</v>
          </cell>
        </row>
        <row r="21">
          <cell r="D21">
            <v>0</v>
          </cell>
          <cell r="E21">
            <v>165</v>
          </cell>
        </row>
        <row r="22">
          <cell r="D22">
            <v>0</v>
          </cell>
          <cell r="E22">
            <v>0</v>
          </cell>
        </row>
        <row r="23">
          <cell r="D23">
            <v>0</v>
          </cell>
          <cell r="E23">
            <v>0</v>
          </cell>
        </row>
        <row r="24">
          <cell r="D24">
            <v>1510</v>
          </cell>
          <cell r="E24">
            <v>165</v>
          </cell>
        </row>
        <row r="25">
          <cell r="D25">
            <v>0</v>
          </cell>
          <cell r="E25">
            <v>165</v>
          </cell>
        </row>
        <row r="26">
          <cell r="D26">
            <v>470</v>
          </cell>
          <cell r="E26">
            <v>0</v>
          </cell>
        </row>
        <row r="27">
          <cell r="D27">
            <v>0</v>
          </cell>
          <cell r="E27">
            <v>165</v>
          </cell>
        </row>
        <row r="28">
          <cell r="D28">
            <v>0</v>
          </cell>
          <cell r="E28">
            <v>165</v>
          </cell>
        </row>
        <row r="29">
          <cell r="D29">
            <v>0</v>
          </cell>
          <cell r="E29">
            <v>0</v>
          </cell>
        </row>
        <row r="30">
          <cell r="D30">
            <v>0</v>
          </cell>
          <cell r="E30">
            <v>165</v>
          </cell>
        </row>
        <row r="31">
          <cell r="D31">
            <v>0</v>
          </cell>
          <cell r="E31">
            <v>0</v>
          </cell>
        </row>
        <row r="32">
          <cell r="D32">
            <v>0</v>
          </cell>
          <cell r="E32">
            <v>0</v>
          </cell>
        </row>
        <row r="33">
          <cell r="D33">
            <v>2600</v>
          </cell>
        </row>
      </sheetData>
      <sheetData sheetId="4">
        <row r="9">
          <cell r="F9">
            <v>1151</v>
          </cell>
        </row>
        <row r="10">
          <cell r="F10">
            <v>280</v>
          </cell>
        </row>
        <row r="11">
          <cell r="F11">
            <v>1116</v>
          </cell>
        </row>
        <row r="12">
          <cell r="F12">
            <v>914</v>
          </cell>
        </row>
        <row r="13">
          <cell r="F13">
            <v>298</v>
          </cell>
        </row>
        <row r="14">
          <cell r="F14">
            <v>276</v>
          </cell>
        </row>
        <row r="15">
          <cell r="F15">
            <v>715</v>
          </cell>
        </row>
        <row r="16">
          <cell r="F16">
            <v>270</v>
          </cell>
        </row>
        <row r="17">
          <cell r="F17">
            <v>194</v>
          </cell>
        </row>
        <row r="18">
          <cell r="F18">
            <v>194</v>
          </cell>
        </row>
        <row r="19">
          <cell r="F19">
            <v>345</v>
          </cell>
        </row>
        <row r="20">
          <cell r="F20">
            <v>293</v>
          </cell>
        </row>
        <row r="21">
          <cell r="F21">
            <v>116</v>
          </cell>
        </row>
      </sheetData>
      <sheetData sheetId="5">
        <row r="26">
          <cell r="E26">
            <v>6348.2028381188675</v>
          </cell>
        </row>
        <row r="27">
          <cell r="E27">
            <v>1590.9801682365705</v>
          </cell>
        </row>
        <row r="28">
          <cell r="E28">
            <v>5955.6223800546923</v>
          </cell>
        </row>
        <row r="29">
          <cell r="E29">
            <v>4339.6918885325267</v>
          </cell>
        </row>
        <row r="30">
          <cell r="E30">
            <v>264.43775855584806</v>
          </cell>
        </row>
        <row r="31">
          <cell r="E31">
            <v>264.43775855584806</v>
          </cell>
        </row>
        <row r="32">
          <cell r="E32">
            <v>1242.857465212486</v>
          </cell>
        </row>
        <row r="33">
          <cell r="E33">
            <v>520.0609251598346</v>
          </cell>
        </row>
        <row r="34">
          <cell r="E34">
            <v>185.10643098909367</v>
          </cell>
        </row>
        <row r="35">
          <cell r="E35">
            <v>132.21887927792403</v>
          </cell>
        </row>
        <row r="36">
          <cell r="E36">
            <v>1774.626455783183</v>
          </cell>
        </row>
        <row r="37">
          <cell r="E37">
            <v>484.80255735238813</v>
          </cell>
        </row>
        <row r="38">
          <cell r="E38">
            <v>334.95449417074093</v>
          </cell>
        </row>
      </sheetData>
      <sheetData sheetId="6">
        <row r="27">
          <cell r="H27">
            <v>4459</v>
          </cell>
        </row>
        <row r="28">
          <cell r="H28">
            <v>1087</v>
          </cell>
        </row>
        <row r="29">
          <cell r="H29">
            <v>4324</v>
          </cell>
        </row>
        <row r="30">
          <cell r="H30">
            <v>3539</v>
          </cell>
        </row>
        <row r="31">
          <cell r="H31">
            <v>770</v>
          </cell>
        </row>
        <row r="32">
          <cell r="H32">
            <v>711</v>
          </cell>
        </row>
        <row r="33">
          <cell r="H33">
            <v>1847</v>
          </cell>
        </row>
        <row r="34">
          <cell r="H34">
            <v>699</v>
          </cell>
        </row>
        <row r="35">
          <cell r="H35">
            <v>502</v>
          </cell>
        </row>
        <row r="36">
          <cell r="H36">
            <v>500</v>
          </cell>
        </row>
        <row r="37">
          <cell r="H37">
            <v>1337</v>
          </cell>
        </row>
        <row r="38">
          <cell r="H38">
            <v>757</v>
          </cell>
        </row>
        <row r="39">
          <cell r="H39">
            <v>299</v>
          </cell>
        </row>
      </sheetData>
      <sheetData sheetId="7"/>
      <sheetData sheetId="8">
        <row r="39">
          <cell r="B39">
            <v>2302</v>
          </cell>
          <cell r="E39">
            <v>217.42356377799416</v>
          </cell>
        </row>
        <row r="40">
          <cell r="B40">
            <v>561</v>
          </cell>
          <cell r="E40">
            <v>52.986368062317432</v>
          </cell>
        </row>
        <row r="41">
          <cell r="B41">
            <v>2232</v>
          </cell>
          <cell r="E41">
            <v>210.81207400194742</v>
          </cell>
        </row>
        <row r="42">
          <cell r="B42">
            <v>1827</v>
          </cell>
          <cell r="E42">
            <v>172.55988315481986</v>
          </cell>
        </row>
        <row r="43">
          <cell r="B43">
            <v>596</v>
          </cell>
          <cell r="E43">
            <v>56.292112950340794</v>
          </cell>
        </row>
        <row r="44">
          <cell r="B44">
            <v>551</v>
          </cell>
          <cell r="E44">
            <v>52.04186952288218</v>
          </cell>
        </row>
        <row r="45">
          <cell r="B45">
            <v>1430</v>
          </cell>
          <cell r="E45">
            <v>135.0632911392405</v>
          </cell>
        </row>
        <row r="46">
          <cell r="B46">
            <v>541</v>
          </cell>
          <cell r="E46">
            <v>51.097370983446929</v>
          </cell>
        </row>
        <row r="47">
          <cell r="B47">
            <v>389</v>
          </cell>
          <cell r="E47">
            <v>36.740993184031161</v>
          </cell>
        </row>
        <row r="48">
          <cell r="B48">
            <v>387</v>
          </cell>
          <cell r="E48">
            <v>36.552093476144108</v>
          </cell>
        </row>
        <row r="49">
          <cell r="B49">
            <v>690</v>
          </cell>
          <cell r="E49">
            <v>65.170399221032142</v>
          </cell>
        </row>
        <row r="50">
          <cell r="B50">
            <v>586</v>
          </cell>
          <cell r="E50">
            <v>55.34761441090555</v>
          </cell>
        </row>
        <row r="51">
          <cell r="B51">
            <v>232</v>
          </cell>
          <cell r="E51">
            <v>21.912366114897761</v>
          </cell>
        </row>
      </sheetData>
      <sheetData sheetId="9">
        <row r="41">
          <cell r="V41">
            <v>208.01317563247162</v>
          </cell>
        </row>
        <row r="42">
          <cell r="V42">
            <v>146.83282985821532</v>
          </cell>
        </row>
        <row r="43">
          <cell r="V43">
            <v>281.42959056157918</v>
          </cell>
        </row>
        <row r="44">
          <cell r="V44">
            <v>147.36572440366982</v>
          </cell>
        </row>
        <row r="45">
          <cell r="V45">
            <v>172.30496816791779</v>
          </cell>
        </row>
        <row r="46">
          <cell r="V46">
            <v>429.81669617737009</v>
          </cell>
        </row>
        <row r="47">
          <cell r="V47">
            <v>740.93394809270967</v>
          </cell>
        </row>
        <row r="49">
          <cell r="V49">
            <v>1003.0215740812282</v>
          </cell>
        </row>
        <row r="50">
          <cell r="V50">
            <v>378.18846235849571</v>
          </cell>
        </row>
        <row r="51">
          <cell r="V51">
            <v>690.60501821986236</v>
          </cell>
        </row>
        <row r="53">
          <cell r="V53">
            <v>392.9752650764529</v>
          </cell>
        </row>
        <row r="54">
          <cell r="V54">
            <v>135.0852473700306</v>
          </cell>
        </row>
        <row r="56">
          <cell r="V56">
            <v>0</v>
          </cell>
        </row>
        <row r="57">
          <cell r="V57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finansz. feladatonként"/>
      <sheetName val="1.Bev-kiad."/>
      <sheetName val="2.működés"/>
      <sheetName val="3.felh"/>
      <sheetName val="4. Átadott p.eszk."/>
      <sheetName val="5.Bev.össz."/>
      <sheetName val="6.Kiad.össz."/>
      <sheetName val="7.Önk."/>
      <sheetName val="8-9.Többéves,adósság"/>
      <sheetName val="10.Likviditás"/>
      <sheetName val="10.Maradványkimutatás"/>
      <sheetName val="11.Mérleg"/>
      <sheetName val="12.Eredménykimutatás"/>
      <sheetName val="13.Vagyonkimutatás"/>
      <sheetName val="14.Előirányzat felh.terv"/>
      <sheetName val="15.Részesedések"/>
      <sheetName val="16.Gördülő tervezés"/>
      <sheetName val="17.Vezetői nyilatkozat"/>
      <sheetName val="11.Eu projekt"/>
      <sheetName val="TKT költségek tájékoztatásu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3">
          <cell r="F1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79"/>
  <sheetViews>
    <sheetView zoomScale="170" zoomScaleNormal="170" workbookViewId="0">
      <selection activeCell="B5" sqref="B5"/>
    </sheetView>
  </sheetViews>
  <sheetFormatPr defaultRowHeight="12.75" x14ac:dyDescent="0.2"/>
  <cols>
    <col min="1" max="1" width="6.28515625" style="2" customWidth="1"/>
    <col min="2" max="2" width="84.5703125" style="316" customWidth="1"/>
    <col min="3" max="3" width="18.7109375" style="41" customWidth="1"/>
    <col min="4" max="4" width="5.42578125" style="316" hidden="1" customWidth="1"/>
    <col min="5" max="5" width="18.7109375" style="316" hidden="1" customWidth="1"/>
    <col min="6" max="16384" width="9.140625" style="316"/>
  </cols>
  <sheetData>
    <row r="1" spans="1:44" ht="6.75" customHeight="1" x14ac:dyDescent="0.3">
      <c r="A1" s="59"/>
      <c r="B1" s="39"/>
      <c r="C1" s="6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ht="19.5" x14ac:dyDescent="0.35">
      <c r="A2" s="59"/>
      <c r="B2" s="614" t="s">
        <v>369</v>
      </c>
      <c r="C2" s="615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18.75" customHeight="1" x14ac:dyDescent="0.35">
      <c r="A3" s="59"/>
      <c r="B3" s="614" t="s">
        <v>628</v>
      </c>
      <c r="C3" s="61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13.5" thickBot="1" x14ac:dyDescent="0.25">
      <c r="A4" s="59"/>
      <c r="B4" s="1"/>
      <c r="C4" s="60" t="s">
        <v>0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ht="32.25" customHeight="1" thickBot="1" x14ac:dyDescent="0.25">
      <c r="A5" s="189" t="s">
        <v>99</v>
      </c>
      <c r="B5" s="181" t="s">
        <v>413</v>
      </c>
      <c r="C5" s="48" t="s">
        <v>414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ht="15.75" x14ac:dyDescent="0.2">
      <c r="A6" s="317" t="s">
        <v>100</v>
      </c>
      <c r="B6" s="182" t="s">
        <v>350</v>
      </c>
      <c r="C6" s="318">
        <f>SUM(C7+C18+C21+C30+C35+C41+C44)</f>
        <v>11186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4" ht="18" customHeight="1" x14ac:dyDescent="0.25">
      <c r="A7" s="319" t="s">
        <v>101</v>
      </c>
      <c r="B7" s="183" t="s">
        <v>201</v>
      </c>
      <c r="C7" s="320">
        <f>SUM(C8:C17)</f>
        <v>1630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4" ht="13.5" customHeight="1" x14ac:dyDescent="0.2">
      <c r="A8" s="321" t="s">
        <v>190</v>
      </c>
      <c r="B8" s="185" t="s">
        <v>684</v>
      </c>
      <c r="C8" s="322">
        <v>-44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4" ht="13.5" customHeight="1" x14ac:dyDescent="0.2">
      <c r="A9" s="321" t="s">
        <v>192</v>
      </c>
      <c r="B9" s="185" t="s">
        <v>686</v>
      </c>
      <c r="C9" s="322">
        <v>65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4" ht="13.5" customHeight="1" x14ac:dyDescent="0.2">
      <c r="A10" s="321" t="s">
        <v>192</v>
      </c>
      <c r="B10" s="185" t="s">
        <v>685</v>
      </c>
      <c r="C10" s="322">
        <v>101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4" ht="13.5" hidden="1" customHeight="1" x14ac:dyDescent="0.2">
      <c r="A11" s="321" t="s">
        <v>192</v>
      </c>
      <c r="B11" s="185" t="s">
        <v>681</v>
      </c>
      <c r="C11" s="32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spans="1:44" ht="13.5" customHeight="1" x14ac:dyDescent="0.2">
      <c r="A12" s="321" t="s">
        <v>194</v>
      </c>
      <c r="B12" s="185" t="s">
        <v>689</v>
      </c>
      <c r="C12" s="322">
        <v>656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</row>
    <row r="13" spans="1:44" ht="13.5" customHeight="1" x14ac:dyDescent="0.2">
      <c r="A13" s="321" t="s">
        <v>194</v>
      </c>
      <c r="B13" s="185" t="s">
        <v>693</v>
      </c>
      <c r="C13" s="322">
        <v>69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</row>
    <row r="14" spans="1:44" ht="13.5" customHeight="1" x14ac:dyDescent="0.2">
      <c r="A14" s="321" t="s">
        <v>194</v>
      </c>
      <c r="B14" s="185" t="s">
        <v>694</v>
      </c>
      <c r="C14" s="322">
        <v>670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</row>
    <row r="15" spans="1:44" ht="13.5" customHeight="1" x14ac:dyDescent="0.2">
      <c r="A15" s="321" t="s">
        <v>106</v>
      </c>
      <c r="B15" s="185" t="s">
        <v>636</v>
      </c>
      <c r="C15" s="322">
        <v>113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</row>
    <row r="16" spans="1:44" ht="13.5" hidden="1" customHeight="1" x14ac:dyDescent="0.2">
      <c r="A16" s="321" t="s">
        <v>106</v>
      </c>
      <c r="B16" s="185" t="s">
        <v>675</v>
      </c>
      <c r="C16" s="32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</row>
    <row r="17" spans="1:44" ht="13.5" hidden="1" customHeight="1" x14ac:dyDescent="0.2">
      <c r="A17" s="321"/>
      <c r="B17" s="185"/>
      <c r="C17" s="32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spans="1:44" ht="15" x14ac:dyDescent="0.25">
      <c r="A18" s="319" t="s">
        <v>112</v>
      </c>
      <c r="B18" s="183" t="s">
        <v>202</v>
      </c>
      <c r="C18" s="323">
        <f>C19+C20</f>
        <v>9105</v>
      </c>
      <c r="D18" s="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spans="1:44" ht="13.5" customHeight="1" x14ac:dyDescent="0.2">
      <c r="A19" s="321" t="s">
        <v>116</v>
      </c>
      <c r="B19" s="185" t="s">
        <v>701</v>
      </c>
      <c r="C19" s="322">
        <v>9105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spans="1:44" ht="13.5" hidden="1" customHeight="1" x14ac:dyDescent="0.2">
      <c r="A20" s="321" t="s">
        <v>116</v>
      </c>
      <c r="B20" s="186" t="s">
        <v>668</v>
      </c>
      <c r="C20" s="3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spans="1:44" ht="15" x14ac:dyDescent="0.25">
      <c r="A21" s="319" t="s">
        <v>121</v>
      </c>
      <c r="B21" s="183" t="s">
        <v>81</v>
      </c>
      <c r="C21" s="323">
        <f>SUM(C22:C29)</f>
        <v>90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44" ht="13.5" hidden="1" customHeight="1" x14ac:dyDescent="0.2">
      <c r="A22" s="321" t="s">
        <v>125</v>
      </c>
      <c r="B22" s="185" t="s">
        <v>415</v>
      </c>
      <c r="C22" s="3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ht="13.5" hidden="1" customHeight="1" x14ac:dyDescent="0.2">
      <c r="A23" s="321" t="s">
        <v>125</v>
      </c>
      <c r="B23" s="185" t="s">
        <v>416</v>
      </c>
      <c r="C23" s="32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ht="13.5" hidden="1" customHeight="1" x14ac:dyDescent="0.2">
      <c r="A24" s="321" t="s">
        <v>125</v>
      </c>
      <c r="B24" s="185" t="s">
        <v>445</v>
      </c>
      <c r="C24" s="32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ht="13.5" hidden="1" customHeight="1" x14ac:dyDescent="0.2">
      <c r="A25" s="321" t="s">
        <v>417</v>
      </c>
      <c r="B25" s="185" t="s">
        <v>418</v>
      </c>
      <c r="C25" s="32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ht="13.5" hidden="1" customHeight="1" x14ac:dyDescent="0.2">
      <c r="A26" s="321" t="s">
        <v>419</v>
      </c>
      <c r="B26" s="197" t="s">
        <v>648</v>
      </c>
      <c r="C26" s="324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ht="13.5" hidden="1" customHeight="1" x14ac:dyDescent="0.2">
      <c r="A27" s="321" t="s">
        <v>451</v>
      </c>
      <c r="B27" s="185" t="s">
        <v>649</v>
      </c>
      <c r="C27" s="324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ht="13.5" customHeight="1" x14ac:dyDescent="0.2">
      <c r="A28" s="321" t="s">
        <v>127</v>
      </c>
      <c r="B28" s="185" t="s">
        <v>420</v>
      </c>
      <c r="C28" s="322">
        <v>90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ht="13.5" hidden="1" customHeight="1" x14ac:dyDescent="0.2">
      <c r="A29" s="321"/>
      <c r="B29" s="185"/>
      <c r="C29" s="32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ht="15" x14ac:dyDescent="0.25">
      <c r="A30" s="319" t="s">
        <v>132</v>
      </c>
      <c r="B30" s="183" t="s">
        <v>203</v>
      </c>
      <c r="C30" s="323">
        <f>SUM(C31:C34)</f>
        <v>211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13.5" hidden="1" customHeight="1" x14ac:dyDescent="0.2">
      <c r="A31" s="321" t="s">
        <v>136</v>
      </c>
      <c r="B31" s="185" t="s">
        <v>472</v>
      </c>
      <c r="C31" s="325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13.5" customHeight="1" x14ac:dyDescent="0.2">
      <c r="A32" s="321" t="s">
        <v>139</v>
      </c>
      <c r="B32" s="185" t="s">
        <v>470</v>
      </c>
      <c r="C32" s="325">
        <v>211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13.5" hidden="1" customHeight="1" x14ac:dyDescent="0.2">
      <c r="A33" s="321" t="s">
        <v>155</v>
      </c>
      <c r="B33" s="185" t="s">
        <v>474</v>
      </c>
      <c r="C33" s="325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hidden="1" x14ac:dyDescent="0.2">
      <c r="A34" s="321" t="s">
        <v>386</v>
      </c>
      <c r="B34" s="26" t="s">
        <v>473</v>
      </c>
      <c r="C34" s="325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15" x14ac:dyDescent="0.25">
      <c r="A35" s="319" t="s">
        <v>159</v>
      </c>
      <c r="B35" s="183" t="s">
        <v>204</v>
      </c>
      <c r="C35" s="323">
        <f>SUM(C36:C40)</f>
        <v>0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13.5" hidden="1" customHeight="1" x14ac:dyDescent="0.2">
      <c r="A36" s="321" t="s">
        <v>160</v>
      </c>
      <c r="B36" s="26" t="s">
        <v>165</v>
      </c>
      <c r="C36" s="484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13.5" hidden="1" customHeight="1" x14ac:dyDescent="0.2">
      <c r="A37" s="321"/>
      <c r="B37" s="26"/>
      <c r="C37" s="325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13.5" hidden="1" customHeight="1" x14ac:dyDescent="0.2">
      <c r="A38" s="321" t="s">
        <v>162</v>
      </c>
      <c r="B38" s="26"/>
      <c r="C38" s="32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ht="13.5" hidden="1" customHeight="1" x14ac:dyDescent="0.2">
      <c r="A39" s="321" t="s">
        <v>163</v>
      </c>
      <c r="B39" s="26" t="s">
        <v>168</v>
      </c>
      <c r="C39" s="484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ht="13.5" hidden="1" customHeight="1" x14ac:dyDescent="0.2">
      <c r="A40" s="327" t="s">
        <v>164</v>
      </c>
      <c r="B40" s="26" t="s">
        <v>169</v>
      </c>
      <c r="C40" s="484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ht="15" x14ac:dyDescent="0.25">
      <c r="A41" s="319" t="s">
        <v>170</v>
      </c>
      <c r="B41" s="183" t="s">
        <v>205</v>
      </c>
      <c r="C41" s="323">
        <f>SUM(C42:C43)</f>
        <v>150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ht="13.5" customHeight="1" x14ac:dyDescent="0.2">
      <c r="A42" s="327" t="s">
        <v>702</v>
      </c>
      <c r="B42" s="186" t="s">
        <v>712</v>
      </c>
      <c r="C42" s="322">
        <v>60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ht="13.5" customHeight="1" x14ac:dyDescent="0.2">
      <c r="A43" s="327" t="s">
        <v>421</v>
      </c>
      <c r="B43" s="186" t="s">
        <v>715</v>
      </c>
      <c r="C43" s="322">
        <v>90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ht="15" x14ac:dyDescent="0.25">
      <c r="A44" s="319" t="s">
        <v>171</v>
      </c>
      <c r="B44" s="183" t="s">
        <v>206</v>
      </c>
      <c r="C44" s="323">
        <f>SUM(C45:C47)</f>
        <v>0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ht="13.5" hidden="1" customHeight="1" x14ac:dyDescent="0.2">
      <c r="A45" s="321"/>
      <c r="B45" s="26"/>
      <c r="C45" s="325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ht="13.5" hidden="1" customHeight="1" x14ac:dyDescent="0.25">
      <c r="A46" s="321" t="s">
        <v>179</v>
      </c>
      <c r="B46" s="26" t="s">
        <v>182</v>
      </c>
      <c r="C46" s="32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ht="13.5" hidden="1" customHeight="1" x14ac:dyDescent="0.25">
      <c r="A47" s="329" t="s">
        <v>180</v>
      </c>
      <c r="B47" s="193" t="s">
        <v>183</v>
      </c>
      <c r="C47" s="485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ht="15" x14ac:dyDescent="0.2">
      <c r="A48" s="319" t="s">
        <v>344</v>
      </c>
      <c r="B48" s="240" t="s">
        <v>346</v>
      </c>
      <c r="C48" s="486">
        <f>SUM(C49+C54)</f>
        <v>-2342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ht="15" x14ac:dyDescent="0.25">
      <c r="A49" s="319"/>
      <c r="B49" s="29" t="s">
        <v>353</v>
      </c>
      <c r="C49" s="486">
        <f>SUM(C50+C53)</f>
        <v>880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ht="13.5" customHeight="1" x14ac:dyDescent="0.2">
      <c r="A50" s="319"/>
      <c r="B50" s="188" t="s">
        <v>401</v>
      </c>
      <c r="C50" s="491">
        <f>SUM(C51:C52)</f>
        <v>0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s="331" customFormat="1" ht="13.5" hidden="1" customHeight="1" x14ac:dyDescent="0.2">
      <c r="A51" s="319"/>
      <c r="B51" s="188" t="s">
        <v>399</v>
      </c>
      <c r="C51" s="322">
        <v>0</v>
      </c>
      <c r="D51" s="330"/>
      <c r="E51" s="2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</row>
    <row r="52" spans="1:44" s="331" customFormat="1" ht="13.5" hidden="1" customHeight="1" x14ac:dyDescent="0.2">
      <c r="A52" s="319"/>
      <c r="B52" s="188" t="s">
        <v>400</v>
      </c>
      <c r="C52" s="326">
        <v>0</v>
      </c>
      <c r="D52" s="330"/>
      <c r="E52" s="2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</row>
    <row r="53" spans="1:44" s="331" customFormat="1" ht="13.5" customHeight="1" x14ac:dyDescent="0.2">
      <c r="A53" s="319"/>
      <c r="B53" s="188" t="s">
        <v>422</v>
      </c>
      <c r="C53" s="322">
        <v>880</v>
      </c>
      <c r="D53" s="330"/>
      <c r="E53" s="2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</row>
    <row r="54" spans="1:44" ht="18" customHeight="1" x14ac:dyDescent="0.25">
      <c r="A54" s="319"/>
      <c r="B54" s="29" t="s">
        <v>354</v>
      </c>
      <c r="C54" s="328">
        <f>SUM(C55:C56)</f>
        <v>-3222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3.5" customHeight="1" x14ac:dyDescent="0.2">
      <c r="A55" s="319"/>
      <c r="B55" s="185" t="s">
        <v>356</v>
      </c>
      <c r="C55" s="326">
        <v>-3222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3.5" thickBot="1" x14ac:dyDescent="0.25">
      <c r="A56" s="319"/>
      <c r="B56" s="10" t="s">
        <v>357</v>
      </c>
      <c r="C56" s="326">
        <v>0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20.25" thickBot="1" x14ac:dyDescent="0.4">
      <c r="A57" s="319"/>
      <c r="B57" s="49" t="s">
        <v>3</v>
      </c>
      <c r="C57" s="50">
        <f>SUM(C6+C48)</f>
        <v>8844</v>
      </c>
      <c r="D57" s="9">
        <f>C57-C118</f>
        <v>0</v>
      </c>
      <c r="E57" s="9" t="e">
        <f>'1.Bev-kiad.'!#REF!</f>
        <v>#REF!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15.75" x14ac:dyDescent="0.25">
      <c r="A58" s="317" t="s">
        <v>187</v>
      </c>
      <c r="B58" s="187" t="s">
        <v>349</v>
      </c>
      <c r="C58" s="332">
        <f>SUM(C59+C105)</f>
        <v>8844</v>
      </c>
      <c r="D58" s="9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15" x14ac:dyDescent="0.25">
      <c r="A59" s="319" t="s">
        <v>184</v>
      </c>
      <c r="B59" s="191" t="s">
        <v>7</v>
      </c>
      <c r="C59" s="320">
        <f>SUM(C61:C104)</f>
        <v>-261</v>
      </c>
      <c r="D59" s="9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idden="1" x14ac:dyDescent="0.2">
      <c r="A60" s="321"/>
      <c r="B60" s="184" t="s">
        <v>423</v>
      </c>
      <c r="C60" s="326"/>
      <c r="D60" s="9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idden="1" x14ac:dyDescent="0.2">
      <c r="A61" s="321" t="s">
        <v>463</v>
      </c>
      <c r="B61" s="185" t="s">
        <v>633</v>
      </c>
      <c r="C61" s="322"/>
      <c r="D61" s="9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idden="1" x14ac:dyDescent="0.2">
      <c r="A62" s="321" t="s">
        <v>463</v>
      </c>
      <c r="B62" s="185" t="s">
        <v>637</v>
      </c>
      <c r="C62" s="322"/>
      <c r="D62" s="9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idden="1" x14ac:dyDescent="0.2">
      <c r="A63" s="321" t="s">
        <v>463</v>
      </c>
      <c r="B63" s="185" t="s">
        <v>651</v>
      </c>
      <c r="C63" s="322"/>
      <c r="D63" s="9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idden="1" x14ac:dyDescent="0.2">
      <c r="A64" s="321" t="s">
        <v>475</v>
      </c>
      <c r="B64" s="185" t="s">
        <v>476</v>
      </c>
      <c r="C64" s="322"/>
      <c r="D64" s="9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idden="1" x14ac:dyDescent="0.2">
      <c r="A65" s="321" t="s">
        <v>665</v>
      </c>
      <c r="B65" s="185" t="s">
        <v>666</v>
      </c>
      <c r="C65" s="322"/>
      <c r="D65" s="9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idden="1" x14ac:dyDescent="0.2">
      <c r="A66" s="321" t="s">
        <v>661</v>
      </c>
      <c r="B66" s="185" t="s">
        <v>662</v>
      </c>
      <c r="C66" s="322"/>
      <c r="D66" s="9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x14ac:dyDescent="0.2">
      <c r="A67" s="321" t="s">
        <v>720</v>
      </c>
      <c r="B67" s="25" t="s">
        <v>721</v>
      </c>
      <c r="C67" s="322">
        <v>-46</v>
      </c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idden="1" x14ac:dyDescent="0.2">
      <c r="A68" s="321" t="s">
        <v>644</v>
      </c>
      <c r="B68" s="185" t="s">
        <v>653</v>
      </c>
      <c r="C68" s="3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idden="1" x14ac:dyDescent="0.2">
      <c r="A69" s="321" t="s">
        <v>197</v>
      </c>
      <c r="B69" s="185" t="s">
        <v>464</v>
      </c>
      <c r="C69" s="322"/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idden="1" x14ac:dyDescent="0.2">
      <c r="A70" s="321" t="s">
        <v>197</v>
      </c>
      <c r="B70" s="185" t="s">
        <v>638</v>
      </c>
      <c r="C70" s="322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idden="1" x14ac:dyDescent="0.2">
      <c r="A71" s="321" t="s">
        <v>197</v>
      </c>
      <c r="B71" s="185" t="s">
        <v>647</v>
      </c>
      <c r="C71" s="322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x14ac:dyDescent="0.2">
      <c r="A72" s="321" t="s">
        <v>727</v>
      </c>
      <c r="B72" s="185" t="s">
        <v>728</v>
      </c>
      <c r="C72" s="322">
        <v>-38</v>
      </c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x14ac:dyDescent="0.2">
      <c r="A73" s="321" t="s">
        <v>436</v>
      </c>
      <c r="B73" s="185" t="s">
        <v>695</v>
      </c>
      <c r="C73" s="322">
        <v>522</v>
      </c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x14ac:dyDescent="0.2">
      <c r="A74" s="321" t="s">
        <v>436</v>
      </c>
      <c r="B74" s="185" t="s">
        <v>722</v>
      </c>
      <c r="C74" s="322">
        <f>94+187</f>
        <v>281</v>
      </c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idden="1" x14ac:dyDescent="0.2">
      <c r="A75" s="321" t="s">
        <v>436</v>
      </c>
      <c r="B75" s="185" t="s">
        <v>656</v>
      </c>
      <c r="C75" s="322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idden="1" x14ac:dyDescent="0.2">
      <c r="A76" s="321" t="s">
        <v>436</v>
      </c>
      <c r="B76" s="185" t="s">
        <v>477</v>
      </c>
      <c r="C76" s="322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idden="1" x14ac:dyDescent="0.2">
      <c r="A77" s="321" t="s">
        <v>448</v>
      </c>
      <c r="B77" s="185" t="s">
        <v>657</v>
      </c>
      <c r="C77" s="322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idden="1" x14ac:dyDescent="0.2">
      <c r="A78" s="321" t="s">
        <v>449</v>
      </c>
      <c r="B78" s="185" t="s">
        <v>478</v>
      </c>
      <c r="C78" s="322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x14ac:dyDescent="0.2">
      <c r="A79" s="321" t="s">
        <v>443</v>
      </c>
      <c r="B79" s="185" t="s">
        <v>724</v>
      </c>
      <c r="C79" s="322">
        <f>-107-150-101</f>
        <v>-358</v>
      </c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x14ac:dyDescent="0.2">
      <c r="A80" s="321" t="s">
        <v>450</v>
      </c>
      <c r="B80" s="185" t="s">
        <v>471</v>
      </c>
      <c r="C80" s="322">
        <f>65+101+169</f>
        <v>335</v>
      </c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hidden="1" x14ac:dyDescent="0.2">
      <c r="A81" s="321" t="s">
        <v>446</v>
      </c>
      <c r="B81" s="185" t="s">
        <v>655</v>
      </c>
      <c r="C81" s="322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x14ac:dyDescent="0.2">
      <c r="A82" s="321" t="s">
        <v>446</v>
      </c>
      <c r="B82" s="185" t="s">
        <v>723</v>
      </c>
      <c r="C82" s="322">
        <v>155</v>
      </c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hidden="1" x14ac:dyDescent="0.2">
      <c r="A83" s="321" t="s">
        <v>437</v>
      </c>
      <c r="B83" s="185" t="s">
        <v>640</v>
      </c>
      <c r="C83" s="32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hidden="1" x14ac:dyDescent="0.2">
      <c r="A84" s="321" t="s">
        <v>437</v>
      </c>
      <c r="B84" s="185" t="s">
        <v>641</v>
      </c>
      <c r="C84" s="32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x14ac:dyDescent="0.2">
      <c r="A85" s="321" t="s">
        <v>432</v>
      </c>
      <c r="B85" s="10" t="s">
        <v>725</v>
      </c>
      <c r="C85" s="322">
        <f>150+101</f>
        <v>251</v>
      </c>
      <c r="D85" s="9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hidden="1" x14ac:dyDescent="0.2">
      <c r="A86" s="321" t="s">
        <v>432</v>
      </c>
      <c r="B86" s="185" t="s">
        <v>650</v>
      </c>
      <c r="C86" s="322"/>
      <c r="D86" s="9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hidden="1" x14ac:dyDescent="0.2">
      <c r="A87" s="321" t="s">
        <v>432</v>
      </c>
      <c r="B87" s="185" t="s">
        <v>654</v>
      </c>
      <c r="C87" s="322"/>
      <c r="D87" s="9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hidden="1" x14ac:dyDescent="0.2">
      <c r="A88" s="321" t="s">
        <v>663</v>
      </c>
      <c r="B88" s="185" t="s">
        <v>664</v>
      </c>
      <c r="C88" s="322"/>
      <c r="D88" s="9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x14ac:dyDescent="0.2">
      <c r="A89" s="321" t="s">
        <v>433</v>
      </c>
      <c r="B89" s="185" t="s">
        <v>434</v>
      </c>
      <c r="C89" s="322">
        <f>141+2</f>
        <v>143</v>
      </c>
      <c r="D89" s="9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hidden="1" x14ac:dyDescent="0.2">
      <c r="A90" s="321" t="s">
        <v>671</v>
      </c>
      <c r="B90" s="185" t="s">
        <v>672</v>
      </c>
      <c r="C90" s="322"/>
      <c r="D90" s="9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x14ac:dyDescent="0.2">
      <c r="A91" s="321" t="s">
        <v>435</v>
      </c>
      <c r="B91" s="185" t="s">
        <v>726</v>
      </c>
      <c r="C91" s="322">
        <f>22+38+73</f>
        <v>133</v>
      </c>
      <c r="D91" s="9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hidden="1" x14ac:dyDescent="0.2">
      <c r="A92" s="321" t="s">
        <v>435</v>
      </c>
      <c r="B92" s="185" t="s">
        <v>643</v>
      </c>
      <c r="C92" s="322"/>
      <c r="D92" s="9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hidden="1" x14ac:dyDescent="0.2">
      <c r="A93" s="321" t="s">
        <v>435</v>
      </c>
      <c r="B93" s="185" t="s">
        <v>646</v>
      </c>
      <c r="C93" s="322"/>
      <c r="D93" s="9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hidden="1" x14ac:dyDescent="0.2">
      <c r="A94" s="321" t="s">
        <v>642</v>
      </c>
      <c r="B94" s="185" t="s">
        <v>673</v>
      </c>
      <c r="C94" s="322"/>
      <c r="D94" s="9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hidden="1" x14ac:dyDescent="0.2">
      <c r="A95" s="321" t="s">
        <v>444</v>
      </c>
      <c r="B95" s="185" t="s">
        <v>468</v>
      </c>
      <c r="C95" s="322"/>
      <c r="D95" s="9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idden="1" x14ac:dyDescent="0.2">
      <c r="A96" s="321" t="s">
        <v>444</v>
      </c>
      <c r="B96" s="185" t="s">
        <v>469</v>
      </c>
      <c r="C96" s="322"/>
      <c r="D96" s="9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x14ac:dyDescent="0.2">
      <c r="A97" s="321" t="s">
        <v>467</v>
      </c>
      <c r="B97" s="186" t="s">
        <v>729</v>
      </c>
      <c r="C97" s="322">
        <v>149</v>
      </c>
      <c r="D97" s="9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x14ac:dyDescent="0.2">
      <c r="A98" s="321" t="s">
        <v>467</v>
      </c>
      <c r="B98" s="21" t="s">
        <v>717</v>
      </c>
      <c r="C98" s="322">
        <v>-1401</v>
      </c>
      <c r="D98" s="9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x14ac:dyDescent="0.2">
      <c r="A99" s="321" t="s">
        <v>467</v>
      </c>
      <c r="B99" s="21" t="s">
        <v>718</v>
      </c>
      <c r="C99" s="322">
        <v>-620</v>
      </c>
      <c r="D99" s="9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x14ac:dyDescent="0.2">
      <c r="A100" s="321" t="s">
        <v>467</v>
      </c>
      <c r="B100" s="229" t="s">
        <v>719</v>
      </c>
      <c r="C100" s="322">
        <v>-1201</v>
      </c>
      <c r="D100" s="9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x14ac:dyDescent="0.2">
      <c r="A101" s="321" t="s">
        <v>467</v>
      </c>
      <c r="B101" s="399" t="s">
        <v>635</v>
      </c>
      <c r="C101" s="322">
        <v>-179</v>
      </c>
      <c r="D101" s="9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x14ac:dyDescent="0.2">
      <c r="A102" s="321" t="s">
        <v>709</v>
      </c>
      <c r="B102" s="21" t="s">
        <v>711</v>
      </c>
      <c r="C102" s="322">
        <v>60</v>
      </c>
      <c r="D102" s="9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x14ac:dyDescent="0.2">
      <c r="A103" s="321" t="s">
        <v>690</v>
      </c>
      <c r="B103" s="10" t="s">
        <v>691</v>
      </c>
      <c r="C103" s="322">
        <v>656</v>
      </c>
      <c r="D103" s="9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13.5" customHeight="1" x14ac:dyDescent="0.2">
      <c r="A104" s="321" t="s">
        <v>424</v>
      </c>
      <c r="B104" s="185" t="s">
        <v>639</v>
      </c>
      <c r="C104" s="322">
        <f>-44+69+7+113+90+42+90+880+46-94-80-155-2-22-73+179-149</f>
        <v>897</v>
      </c>
      <c r="D104" s="9"/>
      <c r="E104" s="9">
        <f>'2.működés'!H102</f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ht="15" x14ac:dyDescent="0.25">
      <c r="A105" s="319" t="s">
        <v>185</v>
      </c>
      <c r="B105" s="183" t="s">
        <v>207</v>
      </c>
      <c r="C105" s="323">
        <f>SUM(C106:C112)</f>
        <v>9105</v>
      </c>
      <c r="D105" s="9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ht="13.5" hidden="1" customHeight="1" x14ac:dyDescent="0.2">
      <c r="A106" s="321" t="s">
        <v>234</v>
      </c>
      <c r="B106" s="228" t="s">
        <v>645</v>
      </c>
      <c r="C106" s="322"/>
      <c r="D106" s="9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ht="13.5" hidden="1" customHeight="1" x14ac:dyDescent="0.2">
      <c r="A107" s="321" t="s">
        <v>234</v>
      </c>
      <c r="B107" s="228" t="s">
        <v>660</v>
      </c>
      <c r="C107" s="322"/>
      <c r="D107" s="9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ht="13.5" hidden="1" customHeight="1" x14ac:dyDescent="0.2">
      <c r="A108" s="321" t="s">
        <v>234</v>
      </c>
      <c r="B108" s="228" t="s">
        <v>669</v>
      </c>
      <c r="C108" s="322"/>
      <c r="D108" s="9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ht="13.5" hidden="1" customHeight="1" x14ac:dyDescent="0.2">
      <c r="A109" s="321"/>
      <c r="B109" s="228"/>
      <c r="C109" s="322"/>
      <c r="D109" s="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ht="13.5" hidden="1" customHeight="1" x14ac:dyDescent="0.2">
      <c r="A110" s="321"/>
      <c r="B110" s="228"/>
      <c r="C110" s="322"/>
      <c r="D110" s="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ht="13.5" hidden="1" customHeight="1" x14ac:dyDescent="0.2">
      <c r="A111" s="321" t="s">
        <v>380</v>
      </c>
      <c r="B111" s="24" t="s">
        <v>447</v>
      </c>
      <c r="C111" s="322"/>
      <c r="D111" s="9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ht="13.5" customHeight="1" x14ac:dyDescent="0.2">
      <c r="A112" s="321"/>
      <c r="B112" s="185" t="s">
        <v>425</v>
      </c>
      <c r="C112" s="322">
        <f>SUM(C113:C114)</f>
        <v>9105</v>
      </c>
      <c r="D112" s="9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ht="13.5" customHeight="1" x14ac:dyDescent="0.2">
      <c r="A113" s="321"/>
      <c r="B113" s="196" t="s">
        <v>426</v>
      </c>
      <c r="C113" s="333">
        <v>0</v>
      </c>
      <c r="D113" s="9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ht="13.5" customHeight="1" x14ac:dyDescent="0.2">
      <c r="A114" s="321"/>
      <c r="B114" s="196" t="s">
        <v>427</v>
      </c>
      <c r="C114" s="333">
        <v>9105</v>
      </c>
      <c r="D114" s="9"/>
      <c r="E114" s="9">
        <f>'3.felh'!G54</f>
        <v>0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ht="18" customHeight="1" thickBot="1" x14ac:dyDescent="0.3">
      <c r="A115" s="319" t="s">
        <v>186</v>
      </c>
      <c r="B115" s="241" t="s">
        <v>358</v>
      </c>
      <c r="C115" s="334">
        <f>SUM(C116:C117)</f>
        <v>0</v>
      </c>
      <c r="D115" s="9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13.5" hidden="1" customHeight="1" x14ac:dyDescent="0.2">
      <c r="A116" s="321" t="s">
        <v>428</v>
      </c>
      <c r="B116" s="185" t="s">
        <v>429</v>
      </c>
      <c r="C116" s="322"/>
      <c r="D116" s="9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ht="13.5" hidden="1" customHeight="1" thickBot="1" x14ac:dyDescent="0.25">
      <c r="A117" s="321" t="s">
        <v>391</v>
      </c>
      <c r="B117" s="185" t="s">
        <v>430</v>
      </c>
      <c r="C117" s="322"/>
      <c r="D117" s="9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s="336" customFormat="1" ht="20.25" thickBot="1" x14ac:dyDescent="0.4">
      <c r="A118" s="335"/>
      <c r="B118" s="54" t="s">
        <v>6</v>
      </c>
      <c r="C118" s="50">
        <f>SUM(C58+C115)</f>
        <v>8844</v>
      </c>
      <c r="D118" s="9">
        <f>C57-C118</f>
        <v>0</v>
      </c>
      <c r="E118" s="337" t="e">
        <f>'1.Bev-kiad.'!#REF!</f>
        <v>#REF!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</row>
    <row r="119" spans="1:44" ht="15.75" customHeight="1" x14ac:dyDescent="0.2">
      <c r="C119" s="9"/>
      <c r="D119" s="9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ht="15.75" customHeight="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ht="15.75" customHeight="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ht="15.75" customHeight="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ht="15.75" customHeight="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ht="15.75" customHeight="1" x14ac:dyDescent="0.2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ht="15.75" customHeight="1" x14ac:dyDescent="0.2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ht="15.75" customHeight="1" x14ac:dyDescent="0.2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ht="15.75" customHeight="1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5.75" customHeight="1" x14ac:dyDescent="0.2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2:44" ht="15.75" customHeight="1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2:44" ht="15.75" customHeight="1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2:44" ht="15.75" customHeight="1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2:44" ht="15.75" customHeight="1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2:44" ht="15.75" customHeight="1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2:44" ht="15.75" customHeight="1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2:44" ht="15.75" customHeight="1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2:44" ht="15.7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2:44" ht="15.75" customHeight="1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2:44" ht="15.75" customHeight="1" x14ac:dyDescent="0.2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2:44" ht="15.75" customHeight="1" x14ac:dyDescent="0.2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2:44" ht="15.75" customHeight="1" x14ac:dyDescent="0.2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2:44" ht="15.75" customHeight="1" x14ac:dyDescent="0.2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2:44" ht="15.75" customHeight="1" x14ac:dyDescent="0.2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2:44" ht="15.75" customHeight="1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2:44" ht="15.75" customHeight="1" x14ac:dyDescent="0.2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2:44" ht="15.75" customHeight="1" x14ac:dyDescent="0.2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2:44" ht="15.75" customHeight="1" x14ac:dyDescent="0.2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2:44" ht="15.75" customHeight="1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2:44" ht="15.75" customHeight="1" x14ac:dyDescent="0.2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2:44" ht="15.75" customHeight="1" x14ac:dyDescent="0.2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2:44" ht="15.75" customHeight="1" x14ac:dyDescent="0.2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2:44" ht="15.75" customHeight="1" x14ac:dyDescent="0.2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2:44" ht="15.75" customHeight="1" x14ac:dyDescent="0.2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2:44" ht="15.75" customHeight="1" x14ac:dyDescent="0.2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2:44" ht="15.75" customHeight="1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2:44" ht="15.75" customHeight="1" x14ac:dyDescent="0.2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2:44" ht="15.75" customHeight="1" x14ac:dyDescent="0.2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2:44" ht="15.75" customHeight="1" x14ac:dyDescent="0.2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2:44" ht="15.75" customHeight="1" x14ac:dyDescent="0.2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2:44" ht="15.75" customHeight="1" x14ac:dyDescent="0.2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2:44" ht="15.75" customHeight="1" x14ac:dyDescent="0.2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2:44" ht="15.75" customHeight="1" x14ac:dyDescent="0.2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2:44" ht="15.75" customHeight="1" x14ac:dyDescent="0.2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2:44" ht="15.75" customHeight="1" x14ac:dyDescent="0.2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2:44" ht="15.75" customHeight="1" x14ac:dyDescent="0.2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2:44" ht="15.75" customHeight="1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2:44" ht="15.75" customHeight="1" x14ac:dyDescent="0.2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2:44" ht="15.75" customHeight="1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2:44" ht="15.75" customHeight="1" x14ac:dyDescent="0.2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2:44" ht="15.75" customHeight="1" x14ac:dyDescent="0.2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2:44" ht="15.75" customHeight="1" x14ac:dyDescent="0.2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2:44" ht="15.75" customHeight="1" x14ac:dyDescent="0.2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2:44" ht="15.75" customHeight="1" x14ac:dyDescent="0.2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2:44" ht="15.75" customHeight="1" x14ac:dyDescent="0.2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2:44" ht="15.75" customHeight="1" x14ac:dyDescent="0.2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2:44" ht="15.75" customHeight="1" x14ac:dyDescent="0.2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2:44" ht="15.75" customHeight="1" x14ac:dyDescent="0.2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2:44" ht="15.75" customHeight="1" x14ac:dyDescent="0.2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2:44" ht="15.75" customHeight="1" x14ac:dyDescent="0.2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2:44" ht="15.75" customHeight="1" x14ac:dyDescent="0.2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2:44" ht="15.75" customHeight="1" x14ac:dyDescent="0.2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2:44" ht="15.75" customHeight="1" x14ac:dyDescent="0.2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2:44" ht="15.75" customHeight="1" x14ac:dyDescent="0.2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2:44" ht="15.75" customHeight="1" x14ac:dyDescent="0.2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2:44" ht="15.75" customHeight="1" x14ac:dyDescent="0.2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2:44" ht="15.75" customHeight="1" x14ac:dyDescent="0.2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2:44" ht="15.75" customHeight="1" x14ac:dyDescent="0.2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2:44" ht="15.75" customHeight="1" x14ac:dyDescent="0.2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2:44" ht="15.75" customHeight="1" x14ac:dyDescent="0.2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2:44" ht="15.75" customHeight="1" x14ac:dyDescent="0.2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2:44" ht="15.75" customHeight="1" x14ac:dyDescent="0.2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2:44" ht="15.75" customHeight="1" x14ac:dyDescent="0.2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2:44" ht="15.75" customHeight="1" x14ac:dyDescent="0.2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2:44" ht="15.75" customHeight="1" x14ac:dyDescent="0.2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2:44" ht="15.75" customHeight="1" x14ac:dyDescent="0.2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2:44" ht="15.75" customHeight="1" x14ac:dyDescent="0.2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2:44" ht="15.75" customHeight="1" x14ac:dyDescent="0.2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2:44" ht="15.75" customHeight="1" x14ac:dyDescent="0.2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2:44" ht="15.75" customHeight="1" x14ac:dyDescent="0.2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2:44" ht="15.75" customHeight="1" x14ac:dyDescent="0.2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2:44" ht="15.75" customHeight="1" x14ac:dyDescent="0.2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2:44" ht="15.75" customHeight="1" x14ac:dyDescent="0.2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2:44" ht="15.75" customHeight="1" x14ac:dyDescent="0.2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2:44" ht="15.75" customHeight="1" x14ac:dyDescent="0.2">
      <c r="B203" s="2"/>
      <c r="C203" s="36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2:44" ht="15.75" customHeight="1" x14ac:dyDescent="0.2">
      <c r="B204" s="2"/>
      <c r="C204" s="36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2:44" ht="15.75" customHeight="1" x14ac:dyDescent="0.2">
      <c r="B205" s="2"/>
      <c r="C205" s="36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2:44" ht="15.75" customHeight="1" x14ac:dyDescent="0.2">
      <c r="B206" s="2"/>
      <c r="C206" s="36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2:44" ht="15.75" customHeight="1" x14ac:dyDescent="0.2">
      <c r="B207" s="2"/>
      <c r="C207" s="36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2:44" ht="15.75" customHeight="1" x14ac:dyDescent="0.2">
      <c r="B208" s="2"/>
      <c r="C208" s="36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2:44" ht="15.75" customHeight="1" x14ac:dyDescent="0.2">
      <c r="B209" s="2"/>
      <c r="C209" s="36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2:44" ht="15.75" customHeight="1" x14ac:dyDescent="0.2">
      <c r="B210" s="2"/>
      <c r="C210" s="36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2:44" ht="15.75" customHeight="1" x14ac:dyDescent="0.2">
      <c r="B211" s="2"/>
      <c r="C211" s="36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2:44" ht="15.75" customHeight="1" x14ac:dyDescent="0.2">
      <c r="B212" s="2"/>
      <c r="C212" s="36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2:44" ht="15.75" customHeight="1" x14ac:dyDescent="0.2">
      <c r="B213" s="2"/>
      <c r="C213" s="36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2:44" ht="15.75" customHeight="1" x14ac:dyDescent="0.2">
      <c r="B214" s="2"/>
      <c r="C214" s="36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2:44" ht="15.75" customHeight="1" x14ac:dyDescent="0.2">
      <c r="B215" s="2"/>
      <c r="C215" s="36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2:44" ht="15.75" customHeight="1" x14ac:dyDescent="0.2">
      <c r="B216" s="2"/>
      <c r="C216" s="36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2:44" ht="15.75" customHeight="1" x14ac:dyDescent="0.2">
      <c r="B217" s="2"/>
      <c r="C217" s="36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2:44" ht="15.75" customHeight="1" x14ac:dyDescent="0.2">
      <c r="B218" s="2"/>
      <c r="C218" s="36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2:44" ht="15.75" customHeight="1" x14ac:dyDescent="0.2">
      <c r="B219" s="2"/>
      <c r="C219" s="36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2:44" ht="15.75" customHeight="1" x14ac:dyDescent="0.2">
      <c r="B220" s="2"/>
      <c r="C220" s="36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2:44" ht="15.75" customHeight="1" x14ac:dyDescent="0.2">
      <c r="B221" s="2"/>
      <c r="C221" s="36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2:44" ht="15.75" customHeight="1" x14ac:dyDescent="0.2">
      <c r="B222" s="2"/>
      <c r="C222" s="36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2:44" ht="15.75" customHeight="1" x14ac:dyDescent="0.2">
      <c r="B223" s="2"/>
      <c r="C223" s="36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2:44" ht="15.75" customHeight="1" x14ac:dyDescent="0.2">
      <c r="B224" s="2"/>
      <c r="C224" s="36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2:44" ht="15.75" customHeight="1" x14ac:dyDescent="0.2">
      <c r="B225" s="2"/>
      <c r="C225" s="36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2:44" ht="15.75" customHeight="1" x14ac:dyDescent="0.2">
      <c r="B226" s="2"/>
      <c r="C226" s="36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2:44" ht="15.75" customHeight="1" x14ac:dyDescent="0.2">
      <c r="B227" s="2"/>
      <c r="C227" s="36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2:44" ht="15.75" customHeight="1" x14ac:dyDescent="0.2">
      <c r="B228" s="2"/>
      <c r="C228" s="36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2:44" ht="15.75" customHeight="1" x14ac:dyDescent="0.2">
      <c r="B229" s="2"/>
      <c r="C229" s="36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2:44" ht="15.75" customHeight="1" x14ac:dyDescent="0.2">
      <c r="B230" s="2"/>
      <c r="C230" s="36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2:44" ht="15.75" customHeight="1" x14ac:dyDescent="0.2">
      <c r="B231" s="2"/>
      <c r="C231" s="36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2:44" ht="15.75" customHeight="1" x14ac:dyDescent="0.2">
      <c r="B232" s="2"/>
      <c r="C232" s="36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2:44" ht="15.75" customHeight="1" x14ac:dyDescent="0.2">
      <c r="B233" s="2"/>
      <c r="C233" s="36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2:44" ht="15.75" customHeight="1" x14ac:dyDescent="0.2">
      <c r="B234" s="2"/>
      <c r="C234" s="36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2:44" ht="15.75" customHeight="1" x14ac:dyDescent="0.2">
      <c r="B235" s="2"/>
      <c r="C235" s="36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2:44" ht="15.75" customHeight="1" x14ac:dyDescent="0.2">
      <c r="B236" s="2"/>
      <c r="C236" s="36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2:44" ht="15.75" customHeight="1" x14ac:dyDescent="0.2">
      <c r="B237" s="2"/>
      <c r="C237" s="36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2:44" ht="15.75" customHeight="1" x14ac:dyDescent="0.2">
      <c r="B238" s="2"/>
      <c r="C238" s="36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2:44" ht="15.75" customHeight="1" x14ac:dyDescent="0.2">
      <c r="B239" s="2"/>
      <c r="C239" s="36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2:44" ht="15.75" customHeight="1" x14ac:dyDescent="0.2">
      <c r="B240" s="2"/>
      <c r="C240" s="36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2:44" ht="15.75" customHeight="1" x14ac:dyDescent="0.2">
      <c r="B241" s="2"/>
      <c r="C241" s="36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2:44" ht="15.75" customHeight="1" x14ac:dyDescent="0.2">
      <c r="B242" s="2"/>
      <c r="C242" s="36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2:44" ht="15.75" customHeight="1" x14ac:dyDescent="0.2">
      <c r="B243" s="2"/>
      <c r="C243" s="36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2:44" ht="15.75" customHeight="1" x14ac:dyDescent="0.2">
      <c r="B244" s="2"/>
      <c r="C244" s="36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2:44" ht="15.75" customHeight="1" x14ac:dyDescent="0.2">
      <c r="B245" s="2"/>
      <c r="C245" s="36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2:44" ht="15.75" customHeight="1" x14ac:dyDescent="0.2">
      <c r="B246" s="2"/>
      <c r="C246" s="36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2:44" ht="15.75" customHeight="1" x14ac:dyDescent="0.2">
      <c r="B247" s="2"/>
      <c r="C247" s="36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2:44" ht="15.75" customHeight="1" x14ac:dyDescent="0.2">
      <c r="B248" s="2"/>
      <c r="C248" s="36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2:44" ht="15.75" customHeight="1" x14ac:dyDescent="0.2">
      <c r="B249" s="2"/>
      <c r="C249" s="36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2:44" ht="15.75" customHeight="1" x14ac:dyDescent="0.2">
      <c r="B250" s="2"/>
      <c r="C250" s="36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2:44" ht="15.75" customHeight="1" x14ac:dyDescent="0.2">
      <c r="B251" s="2"/>
      <c r="C251" s="36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2:44" ht="15.75" customHeight="1" x14ac:dyDescent="0.2">
      <c r="B252" s="2"/>
      <c r="C252" s="36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2:44" ht="15.75" customHeight="1" x14ac:dyDescent="0.2">
      <c r="B253" s="2"/>
      <c r="C253" s="36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2:44" ht="15.75" customHeight="1" x14ac:dyDescent="0.2">
      <c r="B254" s="2"/>
      <c r="C254" s="36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2:44" ht="15.75" customHeight="1" x14ac:dyDescent="0.2">
      <c r="B255" s="2"/>
      <c r="C255" s="36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2:44" ht="15.75" customHeight="1" x14ac:dyDescent="0.2">
      <c r="B256" s="2"/>
      <c r="C256" s="36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2:44" ht="15.75" customHeight="1" x14ac:dyDescent="0.2">
      <c r="B257" s="2"/>
      <c r="C257" s="36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2:44" ht="15.75" customHeight="1" x14ac:dyDescent="0.2">
      <c r="B258" s="2"/>
      <c r="C258" s="36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2:44" ht="15.75" customHeight="1" x14ac:dyDescent="0.2">
      <c r="B259" s="2"/>
      <c r="C259" s="36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2:44" ht="15.75" customHeight="1" x14ac:dyDescent="0.2">
      <c r="B260" s="2"/>
      <c r="C260" s="36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2:44" ht="15.75" customHeight="1" x14ac:dyDescent="0.2">
      <c r="B261" s="2"/>
      <c r="C261" s="36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2:44" ht="15.75" customHeight="1" x14ac:dyDescent="0.2">
      <c r="B262" s="2"/>
      <c r="C262" s="36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2:44" ht="15.75" customHeight="1" x14ac:dyDescent="0.2">
      <c r="B263" s="2"/>
      <c r="C263" s="36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2:44" ht="15.75" customHeight="1" x14ac:dyDescent="0.2">
      <c r="B264" s="2"/>
      <c r="C264" s="36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2:44" ht="15.75" customHeight="1" x14ac:dyDescent="0.2">
      <c r="B265" s="2"/>
      <c r="C265" s="36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2:44" ht="15.75" customHeight="1" x14ac:dyDescent="0.2">
      <c r="B266" s="2"/>
      <c r="C266" s="36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2:44" ht="15.75" customHeight="1" x14ac:dyDescent="0.2">
      <c r="B267" s="2"/>
      <c r="C267" s="36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2:44" ht="15.75" customHeight="1" x14ac:dyDescent="0.2">
      <c r="B268" s="2"/>
      <c r="C268" s="36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2:44" ht="15.75" customHeight="1" x14ac:dyDescent="0.2">
      <c r="B269" s="2"/>
      <c r="C269" s="36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2:44" ht="15.75" customHeight="1" x14ac:dyDescent="0.2">
      <c r="B270" s="2"/>
      <c r="C270" s="36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2:44" ht="15.75" customHeight="1" x14ac:dyDescent="0.2">
      <c r="B271" s="2"/>
      <c r="C271" s="36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2:44" ht="15.75" customHeight="1" x14ac:dyDescent="0.2">
      <c r="B272" s="2"/>
      <c r="C272" s="36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2:44" ht="15.75" customHeight="1" x14ac:dyDescent="0.2">
      <c r="B273" s="2"/>
      <c r="C273" s="36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2:44" ht="15.75" customHeight="1" x14ac:dyDescent="0.2">
      <c r="B274" s="2"/>
      <c r="C274" s="36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2:44" ht="15.75" customHeight="1" x14ac:dyDescent="0.2">
      <c r="B275" s="2"/>
      <c r="C275" s="36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2:44" ht="15.75" customHeight="1" x14ac:dyDescent="0.2">
      <c r="B276" s="2"/>
      <c r="C276" s="36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2:44" ht="15.75" customHeight="1" x14ac:dyDescent="0.2">
      <c r="B277" s="2"/>
      <c r="C277" s="36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2:44" ht="15.75" customHeight="1" x14ac:dyDescent="0.2">
      <c r="B278" s="2"/>
      <c r="C278" s="36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2:44" ht="15.75" customHeight="1" x14ac:dyDescent="0.2">
      <c r="B279" s="2"/>
      <c r="C279" s="36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2:44" ht="15.75" customHeight="1" x14ac:dyDescent="0.2">
      <c r="B280" s="2"/>
      <c r="C280" s="36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2:44" ht="15.75" customHeight="1" x14ac:dyDescent="0.2">
      <c r="B281" s="2"/>
      <c r="C281" s="36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2:44" ht="15.75" customHeight="1" x14ac:dyDescent="0.2">
      <c r="B282" s="2"/>
      <c r="C282" s="36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2:44" ht="15.75" customHeight="1" x14ac:dyDescent="0.2">
      <c r="B283" s="2"/>
      <c r="C283" s="36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2:44" ht="15.75" customHeight="1" x14ac:dyDescent="0.2">
      <c r="B284" s="2"/>
      <c r="C284" s="36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2:44" ht="15.75" customHeight="1" x14ac:dyDescent="0.2">
      <c r="B285" s="2"/>
      <c r="C285" s="36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2:44" ht="15.75" customHeight="1" x14ac:dyDescent="0.2">
      <c r="B286" s="2"/>
      <c r="C286" s="36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2:44" ht="15.75" customHeight="1" x14ac:dyDescent="0.2">
      <c r="B287" s="2"/>
      <c r="C287" s="36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2:44" ht="15.75" customHeight="1" x14ac:dyDescent="0.2">
      <c r="B288" s="2"/>
      <c r="C288" s="36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2:44" ht="15.75" customHeight="1" x14ac:dyDescent="0.2">
      <c r="B289" s="2"/>
      <c r="C289" s="36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2:44" ht="15.75" customHeight="1" x14ac:dyDescent="0.2">
      <c r="B290" s="2"/>
      <c r="C290" s="36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2:44" ht="15.75" customHeight="1" x14ac:dyDescent="0.2">
      <c r="B291" s="2"/>
      <c r="C291" s="36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2:44" ht="15.75" customHeight="1" x14ac:dyDescent="0.2">
      <c r="B292" s="2"/>
      <c r="C292" s="36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2:44" ht="15.75" customHeight="1" x14ac:dyDescent="0.2">
      <c r="B293" s="2"/>
      <c r="C293" s="36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2:44" ht="15.75" customHeight="1" x14ac:dyDescent="0.2">
      <c r="B294" s="2"/>
      <c r="C294" s="36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2:44" ht="15.75" customHeight="1" x14ac:dyDescent="0.2">
      <c r="B295" s="2"/>
      <c r="C295" s="36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2:44" ht="15.75" customHeight="1" x14ac:dyDescent="0.2">
      <c r="B296" s="2"/>
      <c r="C296" s="36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2:44" ht="15.75" customHeight="1" x14ac:dyDescent="0.2">
      <c r="B297" s="2"/>
      <c r="C297" s="36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2:44" ht="15.75" customHeight="1" x14ac:dyDescent="0.2">
      <c r="B298" s="2"/>
      <c r="C298" s="36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2:44" ht="15.75" customHeight="1" x14ac:dyDescent="0.2">
      <c r="B299" s="2"/>
      <c r="C299" s="36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2:44" ht="15.75" customHeight="1" x14ac:dyDescent="0.2">
      <c r="B300" s="2"/>
      <c r="C300" s="36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2:44" ht="15.75" customHeight="1" x14ac:dyDescent="0.2">
      <c r="B301" s="2"/>
      <c r="C301" s="36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2:44" ht="15.75" customHeight="1" x14ac:dyDescent="0.2">
      <c r="B302" s="2"/>
      <c r="C302" s="36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2:44" ht="15.75" customHeight="1" x14ac:dyDescent="0.2">
      <c r="B303" s="2"/>
      <c r="C303" s="36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2:44" ht="15.75" customHeight="1" x14ac:dyDescent="0.2">
      <c r="B304" s="2"/>
      <c r="C304" s="36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2:44" ht="15.75" customHeight="1" x14ac:dyDescent="0.2">
      <c r="B305" s="2"/>
      <c r="C305" s="36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2:44" ht="15.75" customHeight="1" x14ac:dyDescent="0.2">
      <c r="B306" s="2"/>
      <c r="C306" s="36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2:44" ht="15.75" customHeight="1" x14ac:dyDescent="0.2">
      <c r="B307" s="2"/>
      <c r="C307" s="36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2:44" ht="15.75" customHeight="1" x14ac:dyDescent="0.2">
      <c r="B308" s="2"/>
      <c r="C308" s="36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2:44" ht="15.75" customHeight="1" x14ac:dyDescent="0.2">
      <c r="B309" s="2"/>
      <c r="C309" s="36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2:44" ht="15.75" customHeight="1" x14ac:dyDescent="0.2">
      <c r="B310" s="2"/>
      <c r="C310" s="36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2:44" ht="15.75" customHeight="1" x14ac:dyDescent="0.2">
      <c r="B311" s="2"/>
      <c r="C311" s="36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2:44" ht="15.75" customHeight="1" x14ac:dyDescent="0.2">
      <c r="B312" s="2"/>
      <c r="C312" s="36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2:44" ht="15.75" customHeight="1" x14ac:dyDescent="0.2">
      <c r="B313" s="2"/>
      <c r="C313" s="36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2:44" ht="15.75" customHeight="1" x14ac:dyDescent="0.2">
      <c r="B314" s="2"/>
      <c r="C314" s="36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2:44" ht="15.75" customHeight="1" x14ac:dyDescent="0.2">
      <c r="B315" s="2"/>
      <c r="C315" s="36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2:44" ht="15.75" customHeight="1" x14ac:dyDescent="0.2">
      <c r="B316" s="2"/>
      <c r="C316" s="36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2:44" ht="15.75" customHeight="1" x14ac:dyDescent="0.2">
      <c r="B317" s="2"/>
      <c r="C317" s="36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2:44" ht="15.75" customHeight="1" x14ac:dyDescent="0.2">
      <c r="B318" s="2"/>
      <c r="C318" s="36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2:44" ht="15.75" customHeight="1" x14ac:dyDescent="0.2">
      <c r="B319" s="2"/>
      <c r="C319" s="36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2:44" ht="15.75" customHeight="1" x14ac:dyDescent="0.2">
      <c r="B320" s="2"/>
      <c r="C320" s="36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2:44" ht="15.75" customHeight="1" x14ac:dyDescent="0.2">
      <c r="B321" s="2"/>
      <c r="C321" s="36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2:44" ht="15.75" customHeight="1" x14ac:dyDescent="0.2">
      <c r="B322" s="2"/>
      <c r="C322" s="36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2:44" ht="15.75" customHeight="1" x14ac:dyDescent="0.2">
      <c r="B323" s="2"/>
      <c r="C323" s="36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2:44" ht="15.75" customHeight="1" x14ac:dyDescent="0.2">
      <c r="B324" s="2"/>
      <c r="C324" s="36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2:44" ht="15.75" customHeight="1" x14ac:dyDescent="0.2">
      <c r="B325" s="2"/>
      <c r="C325" s="36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2:44" ht="15.75" customHeight="1" x14ac:dyDescent="0.2">
      <c r="B326" s="2"/>
      <c r="C326" s="36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2:44" ht="15.75" customHeight="1" x14ac:dyDescent="0.2">
      <c r="B327" s="2"/>
      <c r="C327" s="36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2:44" ht="15.75" customHeight="1" x14ac:dyDescent="0.2">
      <c r="B328" s="2"/>
      <c r="C328" s="36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2:44" ht="15.75" customHeight="1" x14ac:dyDescent="0.2">
      <c r="B329" s="2"/>
      <c r="C329" s="36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2:44" ht="15.75" customHeight="1" x14ac:dyDescent="0.2">
      <c r="B330" s="2"/>
      <c r="C330" s="36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2:44" ht="15.75" customHeight="1" x14ac:dyDescent="0.2">
      <c r="B331" s="2"/>
      <c r="C331" s="36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2:44" ht="15.75" customHeight="1" x14ac:dyDescent="0.2">
      <c r="B332" s="2"/>
      <c r="C332" s="36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2:44" ht="15.75" customHeight="1" x14ac:dyDescent="0.2">
      <c r="B333" s="2"/>
      <c r="C333" s="36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2:44" ht="15.75" customHeight="1" x14ac:dyDescent="0.2">
      <c r="B334" s="2"/>
      <c r="C334" s="36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2:44" ht="15.75" customHeight="1" x14ac:dyDescent="0.2">
      <c r="B335" s="2"/>
      <c r="C335" s="36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2:44" ht="15.75" customHeight="1" x14ac:dyDescent="0.2">
      <c r="B336" s="2"/>
      <c r="C336" s="36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2:44" ht="15.75" customHeight="1" x14ac:dyDescent="0.2">
      <c r="B337" s="2"/>
      <c r="C337" s="36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2:44" ht="15.75" customHeight="1" x14ac:dyDescent="0.2">
      <c r="B338" s="2"/>
      <c r="C338" s="36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2:44" ht="15.75" customHeight="1" x14ac:dyDescent="0.2">
      <c r="B339" s="2"/>
      <c r="C339" s="36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2:44" ht="15.75" customHeight="1" x14ac:dyDescent="0.2">
      <c r="B340" s="2"/>
      <c r="C340" s="36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2:44" ht="15.75" customHeight="1" x14ac:dyDescent="0.2">
      <c r="B341" s="2"/>
      <c r="C341" s="36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2:44" ht="15.75" customHeight="1" x14ac:dyDescent="0.2">
      <c r="B342" s="2"/>
      <c r="C342" s="36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2:44" ht="15.75" customHeight="1" x14ac:dyDescent="0.2">
      <c r="B343" s="2"/>
      <c r="C343" s="36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2:44" ht="15.75" customHeight="1" x14ac:dyDescent="0.2">
      <c r="B344" s="2"/>
      <c r="C344" s="36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2:44" ht="15.75" customHeight="1" x14ac:dyDescent="0.2">
      <c r="B345" s="2"/>
      <c r="C345" s="36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2:44" ht="15.75" customHeight="1" x14ac:dyDescent="0.2">
      <c r="B346" s="2"/>
      <c r="C346" s="36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2:44" ht="15.75" customHeight="1" x14ac:dyDescent="0.2">
      <c r="B347" s="2"/>
      <c r="C347" s="36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2:44" ht="15.75" customHeight="1" x14ac:dyDescent="0.2">
      <c r="B348" s="2"/>
      <c r="C348" s="36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2:44" ht="15.75" customHeight="1" x14ac:dyDescent="0.2">
      <c r="B349" s="2"/>
      <c r="C349" s="36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2:44" ht="15.75" customHeight="1" x14ac:dyDescent="0.2">
      <c r="B350" s="2"/>
      <c r="C350" s="36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2:44" ht="15.75" customHeight="1" x14ac:dyDescent="0.2">
      <c r="B351" s="2"/>
      <c r="C351" s="36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2:44" ht="15.75" customHeight="1" x14ac:dyDescent="0.2">
      <c r="B352" s="2"/>
      <c r="C352" s="36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2:44" ht="15.75" customHeight="1" x14ac:dyDescent="0.2">
      <c r="B353" s="2"/>
      <c r="C353" s="36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2:44" ht="15.75" customHeight="1" x14ac:dyDescent="0.2">
      <c r="B354" s="2"/>
      <c r="C354" s="36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2:44" ht="15.75" customHeight="1" x14ac:dyDescent="0.2">
      <c r="B355" s="2"/>
      <c r="C355" s="36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2:44" ht="15.75" customHeight="1" x14ac:dyDescent="0.2">
      <c r="B356" s="2"/>
      <c r="C356" s="36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2:44" ht="15.75" customHeight="1" x14ac:dyDescent="0.2">
      <c r="B357" s="2"/>
      <c r="C357" s="36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2:44" ht="15.75" customHeight="1" x14ac:dyDescent="0.2">
      <c r="B358" s="2"/>
      <c r="C358" s="36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2:44" ht="15.75" customHeight="1" x14ac:dyDescent="0.2">
      <c r="B359" s="2"/>
      <c r="C359" s="36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2:44" ht="15.75" customHeight="1" x14ac:dyDescent="0.2">
      <c r="B360" s="2"/>
      <c r="C360" s="36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2:44" ht="15.75" customHeight="1" x14ac:dyDescent="0.2">
      <c r="B361" s="2"/>
      <c r="C361" s="36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2:44" ht="15.75" customHeight="1" x14ac:dyDescent="0.2">
      <c r="B362" s="2"/>
      <c r="C362" s="36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2:44" ht="15.75" customHeight="1" x14ac:dyDescent="0.2">
      <c r="B363" s="2"/>
      <c r="C363" s="36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2:44" ht="15.75" customHeight="1" x14ac:dyDescent="0.2">
      <c r="B364" s="2"/>
      <c r="C364" s="36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2:44" ht="15.75" customHeight="1" x14ac:dyDescent="0.2">
      <c r="B365" s="2"/>
      <c r="C365" s="36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2:44" ht="15.75" customHeight="1" x14ac:dyDescent="0.2">
      <c r="B366" s="2"/>
      <c r="C366" s="36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2:44" ht="15.75" customHeight="1" x14ac:dyDescent="0.2">
      <c r="B367" s="2"/>
      <c r="C367" s="36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2:44" ht="15.75" customHeight="1" x14ac:dyDescent="0.2">
      <c r="B368" s="2"/>
      <c r="C368" s="36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2:44" ht="15.75" customHeight="1" x14ac:dyDescent="0.2">
      <c r="B369" s="2"/>
      <c r="C369" s="36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2:44" ht="15.75" customHeight="1" x14ac:dyDescent="0.2">
      <c r="B370" s="2"/>
      <c r="C370" s="36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2:44" ht="15.75" customHeight="1" x14ac:dyDescent="0.2">
      <c r="B371" s="2"/>
      <c r="C371" s="36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2:44" ht="15.75" customHeight="1" x14ac:dyDescent="0.2">
      <c r="B372" s="2"/>
      <c r="C372" s="36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2:44" ht="15.75" customHeight="1" x14ac:dyDescent="0.2">
      <c r="B373" s="2"/>
      <c r="C373" s="36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2:44" ht="15.75" customHeight="1" x14ac:dyDescent="0.2">
      <c r="B374" s="2"/>
      <c r="C374" s="36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2:44" ht="15.75" customHeight="1" x14ac:dyDescent="0.2">
      <c r="B375" s="2"/>
      <c r="C375" s="36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2:44" ht="15.75" customHeight="1" x14ac:dyDescent="0.2">
      <c r="B376" s="2"/>
      <c r="C376" s="36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2:44" ht="15.75" customHeight="1" x14ac:dyDescent="0.2">
      <c r="B377" s="2"/>
      <c r="C377" s="36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2:44" ht="15.75" customHeight="1" x14ac:dyDescent="0.2">
      <c r="B378" s="2"/>
      <c r="C378" s="36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2:44" ht="15.75" customHeight="1" x14ac:dyDescent="0.2">
      <c r="B379" s="2"/>
      <c r="C379" s="36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2:44" ht="15.75" customHeight="1" x14ac:dyDescent="0.2">
      <c r="B380" s="2"/>
      <c r="C380" s="36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2:44" ht="15.75" customHeight="1" x14ac:dyDescent="0.2">
      <c r="B381" s="2"/>
      <c r="C381" s="36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2:44" ht="15.75" customHeight="1" x14ac:dyDescent="0.2">
      <c r="B382" s="2"/>
      <c r="C382" s="36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2:44" ht="15.75" customHeight="1" x14ac:dyDescent="0.2">
      <c r="B383" s="2"/>
      <c r="C383" s="36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2:44" ht="15.75" customHeight="1" x14ac:dyDescent="0.2">
      <c r="B384" s="2"/>
      <c r="C384" s="36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2:44" ht="15.75" customHeight="1" x14ac:dyDescent="0.2">
      <c r="B385" s="2"/>
      <c r="C385" s="36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2:44" ht="15.75" customHeight="1" x14ac:dyDescent="0.2">
      <c r="B386" s="2"/>
      <c r="C386" s="36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2:44" ht="15.75" customHeight="1" x14ac:dyDescent="0.2">
      <c r="B387" s="2"/>
      <c r="C387" s="36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2:44" ht="15.75" customHeight="1" x14ac:dyDescent="0.2">
      <c r="B388" s="2"/>
      <c r="C388" s="36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2:44" ht="15.75" customHeight="1" x14ac:dyDescent="0.2">
      <c r="B389" s="2"/>
      <c r="C389" s="36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2:44" ht="15.75" customHeight="1" x14ac:dyDescent="0.2">
      <c r="B390" s="2"/>
      <c r="C390" s="36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2:44" ht="15.75" customHeight="1" x14ac:dyDescent="0.2">
      <c r="B391" s="2"/>
      <c r="C391" s="36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2:44" ht="15.75" customHeight="1" x14ac:dyDescent="0.2">
      <c r="B392" s="2"/>
      <c r="C392" s="36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2:44" ht="15.75" customHeight="1" x14ac:dyDescent="0.2">
      <c r="B393" s="2"/>
      <c r="C393" s="36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2:44" ht="15.75" customHeight="1" x14ac:dyDescent="0.2">
      <c r="B394" s="2"/>
      <c r="C394" s="36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2:44" ht="15.75" customHeight="1" x14ac:dyDescent="0.2">
      <c r="B395" s="2"/>
      <c r="C395" s="36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2:44" ht="15.75" customHeight="1" x14ac:dyDescent="0.2">
      <c r="B396" s="2"/>
      <c r="C396" s="36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2:44" ht="15.75" customHeight="1" x14ac:dyDescent="0.2">
      <c r="B397" s="2"/>
      <c r="C397" s="36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2:44" ht="15.75" customHeight="1" x14ac:dyDescent="0.2">
      <c r="B398" s="2"/>
      <c r="C398" s="36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2:44" ht="15.75" customHeight="1" x14ac:dyDescent="0.2">
      <c r="B399" s="2"/>
      <c r="C399" s="36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2:44" ht="15.75" customHeight="1" x14ac:dyDescent="0.2">
      <c r="B400" s="2"/>
      <c r="C400" s="36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2:44" ht="15.75" customHeight="1" x14ac:dyDescent="0.2">
      <c r="B401" s="2"/>
      <c r="C401" s="36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2:44" ht="15.75" customHeight="1" x14ac:dyDescent="0.2">
      <c r="B402" s="2"/>
      <c r="C402" s="36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2:44" ht="15.75" customHeight="1" x14ac:dyDescent="0.2">
      <c r="B403" s="2"/>
      <c r="C403" s="36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2:44" ht="15.75" customHeight="1" x14ac:dyDescent="0.2">
      <c r="B404" s="2"/>
      <c r="C404" s="36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2:44" ht="15.75" customHeight="1" x14ac:dyDescent="0.2">
      <c r="B405" s="2"/>
      <c r="C405" s="36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2:44" ht="15.75" customHeight="1" x14ac:dyDescent="0.2">
      <c r="B406" s="2"/>
      <c r="C406" s="36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2:44" ht="15.75" customHeight="1" x14ac:dyDescent="0.2">
      <c r="B407" s="2"/>
      <c r="C407" s="36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2:44" ht="15.75" customHeight="1" x14ac:dyDescent="0.2">
      <c r="B408" s="2"/>
      <c r="C408" s="36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2:44" ht="15.75" customHeight="1" x14ac:dyDescent="0.2">
      <c r="B409" s="2"/>
      <c r="C409" s="36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2:44" ht="15.75" customHeight="1" x14ac:dyDescent="0.2">
      <c r="B410" s="2"/>
      <c r="C410" s="36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2:44" ht="15.75" customHeight="1" x14ac:dyDescent="0.2">
      <c r="B411" s="2"/>
      <c r="C411" s="36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2:44" ht="15.75" customHeight="1" x14ac:dyDescent="0.2">
      <c r="B412" s="2"/>
      <c r="C412" s="36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2:44" ht="15.75" customHeight="1" x14ac:dyDescent="0.2">
      <c r="B413" s="2"/>
      <c r="C413" s="36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2:44" ht="15.75" customHeight="1" x14ac:dyDescent="0.2">
      <c r="B414" s="2"/>
      <c r="C414" s="36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2:44" ht="15.75" customHeight="1" x14ac:dyDescent="0.2">
      <c r="B415" s="2"/>
      <c r="C415" s="36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2:44" ht="15.75" customHeight="1" x14ac:dyDescent="0.2">
      <c r="B416" s="2"/>
      <c r="C416" s="36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2:44" ht="15.75" customHeight="1" x14ac:dyDescent="0.2">
      <c r="B417" s="2"/>
      <c r="C417" s="36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2:44" ht="15.75" customHeight="1" x14ac:dyDescent="0.2">
      <c r="B418" s="2"/>
      <c r="C418" s="36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2:44" ht="15.75" customHeight="1" x14ac:dyDescent="0.2">
      <c r="B419" s="2"/>
      <c r="C419" s="36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2:44" ht="15.75" customHeight="1" x14ac:dyDescent="0.2">
      <c r="B420" s="2"/>
      <c r="C420" s="36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2:44" ht="15.75" customHeight="1" x14ac:dyDescent="0.2">
      <c r="B421" s="2"/>
      <c r="C421" s="36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2:44" ht="15.75" customHeight="1" x14ac:dyDescent="0.2">
      <c r="B422" s="2"/>
      <c r="C422" s="36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2:44" ht="15.75" customHeight="1" x14ac:dyDescent="0.2">
      <c r="B423" s="2"/>
      <c r="C423" s="36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2:44" ht="15.75" customHeight="1" x14ac:dyDescent="0.2">
      <c r="B424" s="2"/>
      <c r="C424" s="36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2:44" ht="15.75" customHeight="1" x14ac:dyDescent="0.2">
      <c r="B425" s="2"/>
      <c r="C425" s="36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2:44" ht="15.75" customHeight="1" x14ac:dyDescent="0.2">
      <c r="B426" s="2"/>
      <c r="C426" s="36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2:44" ht="15.75" customHeight="1" x14ac:dyDescent="0.2">
      <c r="B427" s="2"/>
      <c r="C427" s="36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2:44" ht="15.75" customHeight="1" x14ac:dyDescent="0.2">
      <c r="B428" s="2"/>
      <c r="C428" s="36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2:44" ht="15.75" customHeight="1" x14ac:dyDescent="0.2">
      <c r="B429" s="2"/>
      <c r="C429" s="36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2:44" ht="15.75" customHeight="1" x14ac:dyDescent="0.2">
      <c r="B430" s="2"/>
      <c r="C430" s="36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2:44" ht="15.75" customHeight="1" x14ac:dyDescent="0.2">
      <c r="B431" s="2"/>
      <c r="C431" s="36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2:44" ht="15.75" customHeight="1" x14ac:dyDescent="0.2">
      <c r="B432" s="2"/>
      <c r="C432" s="36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2:44" ht="15.75" customHeight="1" x14ac:dyDescent="0.2">
      <c r="B433" s="2"/>
      <c r="C433" s="36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2:44" ht="15.75" customHeight="1" x14ac:dyDescent="0.2">
      <c r="B434" s="2"/>
      <c r="C434" s="36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2:44" ht="15.75" customHeight="1" x14ac:dyDescent="0.2">
      <c r="B435" s="2"/>
      <c r="C435" s="36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2:44" ht="15.75" customHeight="1" x14ac:dyDescent="0.2">
      <c r="B436" s="2"/>
      <c r="C436" s="36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2:44" ht="15.75" customHeight="1" x14ac:dyDescent="0.2">
      <c r="B437" s="2"/>
      <c r="C437" s="36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2:44" ht="15.75" customHeight="1" x14ac:dyDescent="0.2">
      <c r="B438" s="2"/>
      <c r="C438" s="36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2:44" ht="15.75" customHeight="1" x14ac:dyDescent="0.2">
      <c r="B439" s="2"/>
      <c r="C439" s="36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2:44" ht="15.75" customHeight="1" x14ac:dyDescent="0.2">
      <c r="B440" s="2"/>
      <c r="C440" s="36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2:44" ht="15.75" customHeight="1" x14ac:dyDescent="0.2">
      <c r="B441" s="2"/>
      <c r="C441" s="36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2:44" ht="15.75" customHeight="1" x14ac:dyDescent="0.2">
      <c r="B442" s="2"/>
      <c r="C442" s="36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2:44" ht="15.75" customHeight="1" x14ac:dyDescent="0.2">
      <c r="B443" s="2"/>
      <c r="C443" s="36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2:44" ht="15.75" customHeight="1" x14ac:dyDescent="0.2">
      <c r="B444" s="2"/>
      <c r="C444" s="36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2:44" ht="15.75" customHeight="1" x14ac:dyDescent="0.2">
      <c r="B445" s="2"/>
      <c r="C445" s="36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2:44" ht="15.75" customHeight="1" x14ac:dyDescent="0.2">
      <c r="B446" s="2"/>
      <c r="C446" s="36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2:44" ht="15.75" customHeight="1" x14ac:dyDescent="0.2">
      <c r="B447" s="2"/>
      <c r="C447" s="36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2:44" ht="15.75" customHeight="1" x14ac:dyDescent="0.2">
      <c r="B448" s="2"/>
      <c r="C448" s="36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2:44" ht="15.75" customHeight="1" x14ac:dyDescent="0.2">
      <c r="B449" s="2"/>
      <c r="C449" s="36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2:44" ht="15.75" customHeight="1" x14ac:dyDescent="0.2">
      <c r="B450" s="2"/>
      <c r="C450" s="36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2:44" ht="15.75" customHeight="1" x14ac:dyDescent="0.2">
      <c r="B451" s="2"/>
      <c r="C451" s="36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2:44" ht="15.75" customHeight="1" x14ac:dyDescent="0.2">
      <c r="B452" s="2"/>
      <c r="C452" s="36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2:44" ht="15.75" customHeight="1" x14ac:dyDescent="0.2">
      <c r="B453" s="2"/>
      <c r="C453" s="36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2:44" ht="15.75" customHeight="1" x14ac:dyDescent="0.2">
      <c r="B454" s="2"/>
      <c r="C454" s="36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2:44" ht="15.75" customHeight="1" x14ac:dyDescent="0.2">
      <c r="B455" s="2"/>
      <c r="C455" s="36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2:44" ht="15.75" customHeight="1" x14ac:dyDescent="0.2">
      <c r="B456" s="2"/>
      <c r="C456" s="36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2:44" ht="15.75" customHeight="1" x14ac:dyDescent="0.2">
      <c r="B457" s="2"/>
      <c r="C457" s="36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2:44" ht="15.75" customHeight="1" x14ac:dyDescent="0.2">
      <c r="B458" s="2"/>
      <c r="C458" s="36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2:44" ht="15.75" customHeight="1" x14ac:dyDescent="0.2">
      <c r="B459" s="2"/>
      <c r="C459" s="36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2:44" ht="15.75" customHeight="1" x14ac:dyDescent="0.2">
      <c r="B460" s="2"/>
      <c r="C460" s="36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2:44" ht="15.75" customHeight="1" x14ac:dyDescent="0.2">
      <c r="B461" s="2"/>
      <c r="C461" s="36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2:44" ht="15.75" customHeight="1" x14ac:dyDescent="0.2">
      <c r="B462" s="2"/>
      <c r="C462" s="36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2:44" ht="15.75" customHeight="1" x14ac:dyDescent="0.2">
      <c r="B463" s="2"/>
      <c r="C463" s="36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2:44" ht="15.75" customHeight="1" x14ac:dyDescent="0.2">
      <c r="B464" s="2"/>
      <c r="C464" s="36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2:44" ht="15.75" customHeight="1" x14ac:dyDescent="0.2">
      <c r="B465" s="2"/>
      <c r="C465" s="36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2:44" ht="15.75" customHeight="1" x14ac:dyDescent="0.2">
      <c r="B466" s="2"/>
      <c r="C466" s="36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2:44" ht="15.75" customHeight="1" x14ac:dyDescent="0.2">
      <c r="B467" s="2"/>
      <c r="C467" s="36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2:44" ht="15.75" customHeight="1" x14ac:dyDescent="0.2">
      <c r="B468" s="2"/>
      <c r="C468" s="36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2:44" ht="15.75" customHeight="1" x14ac:dyDescent="0.2">
      <c r="B469" s="2"/>
      <c r="C469" s="36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2:44" ht="15.75" customHeight="1" x14ac:dyDescent="0.2">
      <c r="B470" s="2"/>
      <c r="C470" s="36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2:44" ht="15.75" customHeight="1" x14ac:dyDescent="0.2">
      <c r="B471" s="2"/>
      <c r="C471" s="36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2:44" ht="15.75" customHeight="1" x14ac:dyDescent="0.2">
      <c r="B472" s="2"/>
      <c r="C472" s="36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2:44" ht="15.75" customHeight="1" x14ac:dyDescent="0.2">
      <c r="B473" s="2"/>
      <c r="C473" s="36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2:44" ht="15.75" customHeight="1" x14ac:dyDescent="0.2">
      <c r="B474" s="2"/>
      <c r="C474" s="36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2:44" ht="15.75" customHeight="1" x14ac:dyDescent="0.2">
      <c r="B475" s="2"/>
      <c r="C475" s="36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2:44" ht="15.75" customHeight="1" x14ac:dyDescent="0.2">
      <c r="B476" s="2"/>
      <c r="C476" s="36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2:44" ht="15.75" customHeight="1" x14ac:dyDescent="0.2">
      <c r="B477" s="2"/>
      <c r="C477" s="36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2:44" ht="15.75" customHeight="1" x14ac:dyDescent="0.2">
      <c r="B478" s="2"/>
      <c r="C478" s="36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2:44" ht="15.75" customHeight="1" x14ac:dyDescent="0.2">
      <c r="B479" s="2"/>
      <c r="C479" s="36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2:44" ht="15.75" customHeight="1" x14ac:dyDescent="0.2">
      <c r="B480" s="2"/>
      <c r="C480" s="36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2:44" ht="15.75" customHeight="1" x14ac:dyDescent="0.2">
      <c r="B481" s="2"/>
      <c r="C481" s="36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2:44" ht="15.75" customHeight="1" x14ac:dyDescent="0.2">
      <c r="B482" s="2"/>
      <c r="C482" s="36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2:44" ht="15.75" customHeight="1" x14ac:dyDescent="0.2">
      <c r="B483" s="2"/>
      <c r="C483" s="36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2:44" ht="15.75" customHeight="1" x14ac:dyDescent="0.2">
      <c r="B484" s="2"/>
      <c r="C484" s="36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2:44" ht="15.75" customHeight="1" x14ac:dyDescent="0.2">
      <c r="B485" s="2"/>
      <c r="C485" s="36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2:44" ht="15.75" customHeight="1" x14ac:dyDescent="0.2">
      <c r="B486" s="2"/>
      <c r="C486" s="36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2:44" ht="15.75" customHeight="1" x14ac:dyDescent="0.2">
      <c r="B487" s="2"/>
      <c r="C487" s="36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2:44" ht="15.75" customHeight="1" x14ac:dyDescent="0.2">
      <c r="B488" s="2"/>
      <c r="C488" s="36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2:44" ht="15.75" customHeight="1" x14ac:dyDescent="0.2">
      <c r="B489" s="2"/>
      <c r="C489" s="36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2:44" ht="15.75" customHeight="1" x14ac:dyDescent="0.2">
      <c r="B490" s="2"/>
      <c r="C490" s="36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2:44" ht="15.75" customHeight="1" x14ac:dyDescent="0.2">
      <c r="B491" s="2"/>
      <c r="C491" s="36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2:44" ht="15.75" customHeight="1" x14ac:dyDescent="0.2">
      <c r="B492" s="2"/>
      <c r="C492" s="36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2:44" ht="15.75" customHeight="1" x14ac:dyDescent="0.2">
      <c r="B493" s="2"/>
      <c r="C493" s="36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2:44" ht="15.75" customHeight="1" x14ac:dyDescent="0.2">
      <c r="B494" s="2"/>
      <c r="C494" s="36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2:44" ht="15.75" customHeight="1" x14ac:dyDescent="0.2">
      <c r="B495" s="2"/>
      <c r="C495" s="36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2:44" ht="15.75" customHeight="1" x14ac:dyDescent="0.2">
      <c r="B496" s="2"/>
      <c r="C496" s="36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2:44" ht="15.75" customHeight="1" x14ac:dyDescent="0.2">
      <c r="B497" s="2"/>
      <c r="C497" s="36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2:44" ht="15.75" customHeight="1" x14ac:dyDescent="0.2">
      <c r="B498" s="2"/>
      <c r="C498" s="36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2:44" ht="15.75" customHeight="1" x14ac:dyDescent="0.2">
      <c r="B499" s="2"/>
      <c r="C499" s="36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2:44" ht="15.75" customHeight="1" x14ac:dyDescent="0.2">
      <c r="B500" s="2"/>
      <c r="C500" s="36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2:44" ht="15.75" customHeight="1" x14ac:dyDescent="0.2">
      <c r="B501" s="2"/>
      <c r="C501" s="36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2:44" ht="15.75" customHeight="1" x14ac:dyDescent="0.2">
      <c r="B502" s="2"/>
      <c r="C502" s="36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2:44" ht="15.75" customHeight="1" x14ac:dyDescent="0.2">
      <c r="B503" s="2"/>
      <c r="C503" s="36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2:44" ht="15.75" customHeight="1" x14ac:dyDescent="0.2">
      <c r="B504" s="2"/>
      <c r="C504" s="36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2:44" ht="15.75" customHeight="1" x14ac:dyDescent="0.2">
      <c r="B505" s="2"/>
      <c r="C505" s="36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2:44" ht="15.75" customHeight="1" x14ac:dyDescent="0.2">
      <c r="B506" s="2"/>
      <c r="C506" s="36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2:44" ht="15.75" customHeight="1" x14ac:dyDescent="0.2">
      <c r="B507" s="2"/>
      <c r="C507" s="36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2:44" ht="15.75" customHeight="1" x14ac:dyDescent="0.2">
      <c r="B508" s="2"/>
      <c r="C508" s="36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2:44" ht="15.75" customHeight="1" x14ac:dyDescent="0.2">
      <c r="B509" s="2"/>
      <c r="C509" s="36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2:44" ht="15.75" customHeight="1" x14ac:dyDescent="0.2">
      <c r="B510" s="2"/>
      <c r="C510" s="36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2:44" ht="15.75" customHeight="1" x14ac:dyDescent="0.2">
      <c r="B511" s="2"/>
      <c r="C511" s="36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2:44" ht="15.75" customHeight="1" x14ac:dyDescent="0.2">
      <c r="B512" s="2"/>
      <c r="C512" s="36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2:44" ht="15.75" customHeight="1" x14ac:dyDescent="0.2">
      <c r="B513" s="2"/>
      <c r="C513" s="36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2:44" ht="15.75" customHeight="1" x14ac:dyDescent="0.2">
      <c r="B514" s="2"/>
      <c r="C514" s="36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2:44" ht="15.75" customHeight="1" x14ac:dyDescent="0.2">
      <c r="B515" s="2"/>
      <c r="C515" s="36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2:44" ht="15.75" customHeight="1" x14ac:dyDescent="0.2">
      <c r="B516" s="2"/>
      <c r="C516" s="36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2:44" ht="15.75" customHeight="1" x14ac:dyDescent="0.2">
      <c r="B517" s="2"/>
      <c r="C517" s="36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2:44" ht="15.75" customHeight="1" x14ac:dyDescent="0.2">
      <c r="B518" s="2"/>
      <c r="C518" s="36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2:44" ht="15.75" customHeight="1" x14ac:dyDescent="0.2">
      <c r="B519" s="2"/>
      <c r="C519" s="36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2:44" ht="15.75" customHeight="1" x14ac:dyDescent="0.2">
      <c r="B520" s="2"/>
      <c r="C520" s="36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2:44" ht="15.75" customHeight="1" x14ac:dyDescent="0.2">
      <c r="B521" s="2"/>
      <c r="C521" s="36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2:44" ht="15.75" customHeight="1" x14ac:dyDescent="0.2">
      <c r="B522" s="2"/>
      <c r="C522" s="36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2:44" ht="15.75" customHeight="1" x14ac:dyDescent="0.2">
      <c r="B523" s="2"/>
      <c r="C523" s="36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2:44" ht="15.75" customHeight="1" x14ac:dyDescent="0.2">
      <c r="B524" s="2"/>
      <c r="C524" s="36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2:44" ht="15.75" customHeight="1" x14ac:dyDescent="0.2">
      <c r="B525" s="2"/>
      <c r="C525" s="36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2:44" ht="15.75" customHeight="1" x14ac:dyDescent="0.2">
      <c r="B526" s="2"/>
      <c r="C526" s="36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2:44" ht="15.75" customHeight="1" x14ac:dyDescent="0.2">
      <c r="B527" s="2"/>
      <c r="C527" s="36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2:44" ht="15.75" customHeight="1" x14ac:dyDescent="0.2">
      <c r="B528" s="2"/>
      <c r="C528" s="36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2:44" ht="15.75" customHeight="1" x14ac:dyDescent="0.2">
      <c r="B529" s="2"/>
      <c r="C529" s="36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2:44" ht="15.75" customHeight="1" x14ac:dyDescent="0.2">
      <c r="B530" s="2"/>
      <c r="C530" s="36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2:44" ht="15.75" customHeight="1" x14ac:dyDescent="0.2">
      <c r="B531" s="2"/>
      <c r="C531" s="36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2:44" ht="15.75" customHeight="1" x14ac:dyDescent="0.2">
      <c r="B532" s="2"/>
      <c r="C532" s="36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2:44" ht="15.75" customHeight="1" x14ac:dyDescent="0.2">
      <c r="B533" s="2"/>
      <c r="C533" s="36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2:44" ht="15.75" customHeight="1" x14ac:dyDescent="0.2">
      <c r="B534" s="2"/>
      <c r="C534" s="36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2:44" ht="15.75" customHeight="1" x14ac:dyDescent="0.2">
      <c r="B535" s="2"/>
      <c r="C535" s="36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2:44" ht="15.75" customHeight="1" x14ac:dyDescent="0.2">
      <c r="B536" s="2"/>
      <c r="C536" s="36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2:44" ht="15.75" customHeight="1" x14ac:dyDescent="0.2">
      <c r="B537" s="2"/>
      <c r="C537" s="36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2:44" ht="15.75" customHeight="1" x14ac:dyDescent="0.2">
      <c r="B538" s="2"/>
      <c r="C538" s="36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2:44" ht="15.75" customHeight="1" x14ac:dyDescent="0.2">
      <c r="B539" s="2"/>
      <c r="C539" s="36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2:44" ht="15.75" customHeight="1" x14ac:dyDescent="0.2">
      <c r="B540" s="2"/>
      <c r="C540" s="36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2:44" ht="15.75" customHeight="1" x14ac:dyDescent="0.2">
      <c r="B541" s="2"/>
      <c r="C541" s="36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2:44" ht="15.75" customHeight="1" x14ac:dyDescent="0.2">
      <c r="B542" s="2"/>
      <c r="C542" s="36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2:44" ht="15.75" customHeight="1" x14ac:dyDescent="0.2">
      <c r="B543" s="2"/>
      <c r="C543" s="36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2:44" ht="15.75" customHeight="1" x14ac:dyDescent="0.2">
      <c r="B544" s="2"/>
      <c r="C544" s="36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2:44" ht="15.75" customHeight="1" x14ac:dyDescent="0.2">
      <c r="B545" s="2"/>
      <c r="C545" s="36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2:44" ht="15.75" customHeight="1" x14ac:dyDescent="0.2">
      <c r="B546" s="2"/>
      <c r="C546" s="36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2:44" ht="15.75" customHeight="1" x14ac:dyDescent="0.2">
      <c r="B547" s="2"/>
      <c r="C547" s="36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2:44" ht="15.75" customHeight="1" x14ac:dyDescent="0.2">
      <c r="B548" s="2"/>
      <c r="C548" s="36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2:44" ht="15.75" customHeight="1" x14ac:dyDescent="0.2">
      <c r="B549" s="2"/>
      <c r="C549" s="36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2:44" ht="15.75" customHeight="1" x14ac:dyDescent="0.2">
      <c r="B550" s="2"/>
      <c r="C550" s="36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2:44" ht="15.75" customHeight="1" x14ac:dyDescent="0.2">
      <c r="B551" s="2"/>
      <c r="C551" s="36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2:44" ht="15.75" customHeight="1" x14ac:dyDescent="0.2">
      <c r="B552" s="2"/>
      <c r="C552" s="36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2:44" ht="15.75" customHeight="1" x14ac:dyDescent="0.2">
      <c r="B553" s="2"/>
      <c r="C553" s="36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2:44" ht="15.75" customHeight="1" x14ac:dyDescent="0.2">
      <c r="B554" s="2"/>
      <c r="C554" s="36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2:44" ht="15.75" customHeight="1" x14ac:dyDescent="0.2">
      <c r="B555" s="2"/>
      <c r="C555" s="36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2:44" ht="15.75" customHeight="1" x14ac:dyDescent="0.2">
      <c r="B556" s="2"/>
      <c r="C556" s="36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2:44" ht="15.75" customHeight="1" x14ac:dyDescent="0.2">
      <c r="B557" s="2"/>
      <c r="C557" s="36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2:44" ht="15.75" customHeight="1" x14ac:dyDescent="0.2">
      <c r="B558" s="2"/>
      <c r="C558" s="36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2:44" ht="15.75" customHeight="1" x14ac:dyDescent="0.2">
      <c r="B559" s="2"/>
      <c r="C559" s="36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2:44" ht="15.75" customHeight="1" x14ac:dyDescent="0.2">
      <c r="B560" s="2"/>
      <c r="C560" s="36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2:44" ht="15.75" customHeight="1" x14ac:dyDescent="0.2">
      <c r="B561" s="2"/>
      <c r="C561" s="36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2:44" ht="15.75" customHeight="1" x14ac:dyDescent="0.2">
      <c r="B562" s="2"/>
      <c r="C562" s="36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2:44" ht="15.75" customHeight="1" x14ac:dyDescent="0.2">
      <c r="B563" s="2"/>
      <c r="C563" s="36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2:44" ht="15.75" customHeight="1" x14ac:dyDescent="0.2">
      <c r="B564" s="2"/>
      <c r="C564" s="36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2:44" ht="15.75" customHeight="1" x14ac:dyDescent="0.2">
      <c r="B565" s="2"/>
      <c r="C565" s="36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2:44" ht="15.75" customHeight="1" x14ac:dyDescent="0.2">
      <c r="B566" s="2"/>
      <c r="C566" s="36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2:44" ht="15.75" customHeight="1" x14ac:dyDescent="0.2">
      <c r="B567" s="2"/>
      <c r="C567" s="36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2:44" ht="15.75" customHeight="1" x14ac:dyDescent="0.2">
      <c r="B568" s="2"/>
      <c r="C568" s="36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2:44" ht="15.75" customHeight="1" x14ac:dyDescent="0.2">
      <c r="B569" s="2"/>
      <c r="C569" s="36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2:44" ht="15.75" customHeight="1" x14ac:dyDescent="0.2">
      <c r="B570" s="2"/>
      <c r="C570" s="36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2:44" ht="15.75" customHeight="1" x14ac:dyDescent="0.2">
      <c r="B571" s="2"/>
      <c r="C571" s="36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2:44" ht="15.75" customHeight="1" x14ac:dyDescent="0.2">
      <c r="B572" s="2"/>
      <c r="C572" s="36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2:44" ht="15.75" customHeight="1" x14ac:dyDescent="0.2">
      <c r="B573" s="2"/>
      <c r="C573" s="36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2:44" ht="15.75" customHeight="1" x14ac:dyDescent="0.2">
      <c r="B574" s="2"/>
      <c r="C574" s="36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2:44" ht="15.75" customHeight="1" x14ac:dyDescent="0.2">
      <c r="B575" s="2"/>
      <c r="C575" s="36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2:44" ht="15.75" customHeight="1" x14ac:dyDescent="0.2">
      <c r="B576" s="2"/>
      <c r="C576" s="36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2:44" ht="15.75" customHeight="1" x14ac:dyDescent="0.2">
      <c r="B577" s="2"/>
      <c r="C577" s="36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2:44" ht="15.75" customHeight="1" x14ac:dyDescent="0.2">
      <c r="B578" s="2"/>
      <c r="C578" s="36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2:44" ht="15.75" customHeight="1" x14ac:dyDescent="0.2">
      <c r="B579" s="2"/>
      <c r="C579" s="36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2:44" ht="15.75" customHeight="1" x14ac:dyDescent="0.2">
      <c r="B580" s="2"/>
      <c r="C580" s="36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2:44" ht="15.75" customHeight="1" x14ac:dyDescent="0.2">
      <c r="B581" s="2"/>
      <c r="C581" s="36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2:44" ht="15.75" customHeight="1" x14ac:dyDescent="0.2">
      <c r="B582" s="2"/>
      <c r="C582" s="36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2:44" ht="15.75" customHeight="1" x14ac:dyDescent="0.2">
      <c r="B583" s="2"/>
      <c r="C583" s="36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2:44" ht="15.75" customHeight="1" x14ac:dyDescent="0.2">
      <c r="B584" s="2"/>
      <c r="C584" s="36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2:44" ht="15.75" customHeight="1" x14ac:dyDescent="0.2">
      <c r="B585" s="2"/>
      <c r="C585" s="36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2:44" ht="15.75" customHeight="1" x14ac:dyDescent="0.2">
      <c r="B586" s="2"/>
      <c r="C586" s="36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2:44" ht="15.75" customHeight="1" x14ac:dyDescent="0.2">
      <c r="B587" s="2"/>
      <c r="C587" s="36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2:44" ht="15.75" customHeight="1" x14ac:dyDescent="0.2">
      <c r="B588" s="2"/>
      <c r="C588" s="36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2:44" ht="15.75" customHeight="1" x14ac:dyDescent="0.2">
      <c r="B589" s="2"/>
      <c r="C589" s="36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2:44" ht="15.75" customHeight="1" x14ac:dyDescent="0.2">
      <c r="B590" s="2"/>
      <c r="C590" s="36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2:44" ht="15.75" customHeight="1" x14ac:dyDescent="0.2">
      <c r="B591" s="2"/>
      <c r="C591" s="36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2:44" ht="15.75" customHeight="1" x14ac:dyDescent="0.2">
      <c r="B592" s="2"/>
      <c r="C592" s="36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2:44" ht="15.75" customHeight="1" x14ac:dyDescent="0.2">
      <c r="B593" s="2"/>
      <c r="C593" s="36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2:44" ht="15.75" customHeight="1" x14ac:dyDescent="0.2">
      <c r="B594" s="2"/>
      <c r="C594" s="36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2:44" ht="15.75" customHeight="1" x14ac:dyDescent="0.2">
      <c r="B595" s="2"/>
      <c r="C595" s="36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2:44" ht="15.75" customHeight="1" x14ac:dyDescent="0.2">
      <c r="B596" s="2"/>
      <c r="C596" s="36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2:44" ht="15.75" customHeight="1" x14ac:dyDescent="0.2">
      <c r="B597" s="2"/>
      <c r="C597" s="36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2:44" ht="15.75" customHeight="1" x14ac:dyDescent="0.2">
      <c r="B598" s="2"/>
      <c r="C598" s="36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2:44" ht="15.75" customHeight="1" x14ac:dyDescent="0.2">
      <c r="B599" s="2"/>
      <c r="C599" s="36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2:44" ht="15.75" customHeight="1" x14ac:dyDescent="0.2">
      <c r="B600" s="2"/>
      <c r="C600" s="36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2:44" ht="15.75" customHeight="1" x14ac:dyDescent="0.2">
      <c r="B601" s="2"/>
      <c r="C601" s="36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2:44" ht="15.75" customHeight="1" x14ac:dyDescent="0.2">
      <c r="B602" s="2"/>
      <c r="C602" s="36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2:44" ht="15.75" customHeight="1" x14ac:dyDescent="0.2">
      <c r="B603" s="2"/>
      <c r="C603" s="36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2:44" ht="15.75" customHeight="1" x14ac:dyDescent="0.2">
      <c r="B604" s="2"/>
      <c r="C604" s="36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2:44" ht="15.75" customHeight="1" x14ac:dyDescent="0.2">
      <c r="B605" s="2"/>
      <c r="C605" s="36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2:44" ht="15.75" customHeight="1" x14ac:dyDescent="0.2">
      <c r="B606" s="2"/>
      <c r="C606" s="36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2:44" ht="15.75" customHeight="1" x14ac:dyDescent="0.2">
      <c r="B607" s="2"/>
      <c r="C607" s="36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2:44" ht="15.75" customHeight="1" x14ac:dyDescent="0.2">
      <c r="B608" s="2"/>
      <c r="C608" s="36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2:44" ht="15.75" customHeight="1" x14ac:dyDescent="0.2">
      <c r="B609" s="2"/>
      <c r="C609" s="36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2:44" ht="15.75" customHeight="1" x14ac:dyDescent="0.2">
      <c r="B610" s="2"/>
      <c r="C610" s="36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2:44" ht="15.75" customHeight="1" x14ac:dyDescent="0.2">
      <c r="B611" s="2"/>
      <c r="C611" s="36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2:44" ht="15.75" customHeight="1" x14ac:dyDescent="0.2">
      <c r="B612" s="2"/>
      <c r="C612" s="36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2:44" ht="15.75" customHeight="1" x14ac:dyDescent="0.2">
      <c r="B613" s="2"/>
      <c r="C613" s="36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2:44" ht="15.75" customHeight="1" x14ac:dyDescent="0.2">
      <c r="B614" s="2"/>
      <c r="C614" s="36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2:44" ht="15.75" customHeight="1" x14ac:dyDescent="0.2">
      <c r="B615" s="2"/>
      <c r="C615" s="36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2:44" ht="15.75" customHeight="1" x14ac:dyDescent="0.2">
      <c r="B616" s="2"/>
      <c r="C616" s="36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2:44" ht="15.75" customHeight="1" x14ac:dyDescent="0.2">
      <c r="B617" s="2"/>
      <c r="C617" s="36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2:44" ht="15.75" customHeight="1" x14ac:dyDescent="0.2">
      <c r="B618" s="2"/>
      <c r="C618" s="36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2:44" ht="15.75" customHeight="1" x14ac:dyDescent="0.2">
      <c r="B619" s="2"/>
      <c r="C619" s="36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2:44" ht="15.75" customHeight="1" x14ac:dyDescent="0.2">
      <c r="B620" s="2"/>
      <c r="C620" s="36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2:44" ht="15.75" customHeight="1" x14ac:dyDescent="0.2">
      <c r="B621" s="2"/>
      <c r="C621" s="36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2:44" ht="15.75" customHeight="1" x14ac:dyDescent="0.2">
      <c r="B622" s="2"/>
      <c r="C622" s="36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2:44" ht="15.75" customHeight="1" x14ac:dyDescent="0.2">
      <c r="B623" s="2"/>
      <c r="C623" s="36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2:44" ht="15.75" customHeight="1" x14ac:dyDescent="0.2">
      <c r="B624" s="2"/>
      <c r="C624" s="36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2:44" ht="15.75" customHeight="1" x14ac:dyDescent="0.2">
      <c r="B625" s="2"/>
      <c r="C625" s="36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2:44" ht="15.75" customHeight="1" x14ac:dyDescent="0.2">
      <c r="B626" s="2"/>
      <c r="C626" s="36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2:44" ht="15.75" customHeight="1" x14ac:dyDescent="0.2">
      <c r="B627" s="2"/>
      <c r="C627" s="36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2:44" ht="15.75" customHeight="1" x14ac:dyDescent="0.2">
      <c r="B628" s="2"/>
      <c r="C628" s="36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2:44" ht="15.75" customHeight="1" x14ac:dyDescent="0.2">
      <c r="B629" s="2"/>
      <c r="C629" s="36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2:44" ht="15.75" customHeight="1" x14ac:dyDescent="0.2">
      <c r="B630" s="2"/>
      <c r="C630" s="36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2:44" ht="15.75" customHeight="1" x14ac:dyDescent="0.2">
      <c r="B631" s="2"/>
      <c r="C631" s="36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2:44" ht="15.75" customHeight="1" x14ac:dyDescent="0.2">
      <c r="B632" s="2"/>
      <c r="C632" s="36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2:44" ht="15.75" customHeight="1" x14ac:dyDescent="0.2">
      <c r="B633" s="2"/>
      <c r="C633" s="36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2:44" ht="15.75" customHeight="1" x14ac:dyDescent="0.2">
      <c r="B634" s="2"/>
      <c r="C634" s="36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2:44" ht="15.75" customHeight="1" x14ac:dyDescent="0.2">
      <c r="B635" s="2"/>
      <c r="C635" s="36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2:44" ht="15.75" customHeight="1" x14ac:dyDescent="0.2">
      <c r="B636" s="2"/>
      <c r="C636" s="36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2:44" ht="15.75" customHeight="1" x14ac:dyDescent="0.2">
      <c r="B637" s="2"/>
      <c r="C637" s="36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2:44" ht="15.75" customHeight="1" x14ac:dyDescent="0.2">
      <c r="B638" s="2"/>
      <c r="C638" s="36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2:44" ht="15.75" customHeight="1" x14ac:dyDescent="0.2">
      <c r="B639" s="2"/>
      <c r="C639" s="36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2:44" ht="15.75" customHeight="1" x14ac:dyDescent="0.2">
      <c r="B640" s="2"/>
      <c r="C640" s="36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2:44" ht="15.75" customHeight="1" x14ac:dyDescent="0.2">
      <c r="B641" s="2"/>
      <c r="C641" s="36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2:44" ht="15.75" customHeight="1" x14ac:dyDescent="0.2">
      <c r="B642" s="2"/>
      <c r="C642" s="36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2:44" ht="15.75" customHeight="1" x14ac:dyDescent="0.2">
      <c r="B643" s="2"/>
      <c r="C643" s="36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2:44" ht="15.75" customHeight="1" x14ac:dyDescent="0.2">
      <c r="B644" s="2"/>
      <c r="C644" s="36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2:44" ht="15.75" customHeight="1" x14ac:dyDescent="0.2">
      <c r="B645" s="2"/>
      <c r="C645" s="36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2:44" ht="15.75" customHeight="1" x14ac:dyDescent="0.2">
      <c r="B646" s="2"/>
      <c r="C646" s="36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2:44" ht="15.75" customHeight="1" x14ac:dyDescent="0.2">
      <c r="B647" s="2"/>
      <c r="C647" s="36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2:44" ht="15.75" customHeight="1" x14ac:dyDescent="0.2">
      <c r="B648" s="2"/>
      <c r="C648" s="36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2:44" ht="15.75" customHeight="1" x14ac:dyDescent="0.2">
      <c r="B649" s="2"/>
      <c r="C649" s="36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2:44" ht="15.75" customHeight="1" x14ac:dyDescent="0.2">
      <c r="B650" s="2"/>
      <c r="C650" s="36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2:44" ht="15.75" customHeight="1" x14ac:dyDescent="0.2">
      <c r="B651" s="2"/>
      <c r="C651" s="36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2:44" ht="15.75" customHeight="1" x14ac:dyDescent="0.2">
      <c r="B652" s="2"/>
      <c r="C652" s="36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2:44" ht="15.75" customHeight="1" x14ac:dyDescent="0.2">
      <c r="B653" s="2"/>
      <c r="C653" s="36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2:44" ht="15.75" customHeight="1" x14ac:dyDescent="0.2">
      <c r="B654" s="2"/>
      <c r="C654" s="36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2:44" ht="15.75" customHeight="1" x14ac:dyDescent="0.2">
      <c r="B655" s="2"/>
      <c r="C655" s="36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2:44" ht="15.75" customHeight="1" x14ac:dyDescent="0.2">
      <c r="B656" s="2"/>
      <c r="C656" s="36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2:44" ht="15.75" customHeight="1" x14ac:dyDescent="0.2">
      <c r="B657" s="2"/>
      <c r="C657" s="36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2:44" ht="15.75" customHeight="1" x14ac:dyDescent="0.2">
      <c r="B658" s="2"/>
      <c r="C658" s="36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2:44" ht="15.75" customHeight="1" x14ac:dyDescent="0.2">
      <c r="B659" s="2"/>
      <c r="C659" s="36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2:44" ht="15.75" customHeight="1" x14ac:dyDescent="0.2">
      <c r="B660" s="2"/>
      <c r="C660" s="36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2:44" ht="15.75" customHeight="1" x14ac:dyDescent="0.2">
      <c r="B661" s="2"/>
      <c r="C661" s="36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2:44" ht="15.75" customHeight="1" x14ac:dyDescent="0.2">
      <c r="B662" s="2"/>
      <c r="C662" s="36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2:44" ht="15.75" customHeight="1" x14ac:dyDescent="0.2">
      <c r="B663" s="2"/>
      <c r="C663" s="36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2:44" ht="15.75" customHeight="1" x14ac:dyDescent="0.2">
      <c r="B664" s="2"/>
      <c r="C664" s="36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2:44" ht="15.75" customHeight="1" x14ac:dyDescent="0.2">
      <c r="B665" s="2"/>
      <c r="C665" s="36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2:44" ht="15.75" customHeight="1" x14ac:dyDescent="0.2">
      <c r="B666" s="2"/>
      <c r="C666" s="36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2:44" ht="15.75" customHeight="1" x14ac:dyDescent="0.2">
      <c r="B667" s="2"/>
      <c r="C667" s="36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2:44" ht="15.75" customHeight="1" x14ac:dyDescent="0.2">
      <c r="B668" s="2"/>
      <c r="C668" s="36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2:44" ht="15.75" customHeight="1" x14ac:dyDescent="0.2">
      <c r="B669" s="2"/>
      <c r="C669" s="36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2:44" ht="15.75" customHeight="1" x14ac:dyDescent="0.2">
      <c r="B670" s="2"/>
      <c r="C670" s="36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2:44" ht="15.75" customHeight="1" x14ac:dyDescent="0.2">
      <c r="B671" s="2"/>
      <c r="C671" s="36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2:44" ht="15.75" customHeight="1" x14ac:dyDescent="0.2">
      <c r="B672" s="2"/>
      <c r="C672" s="36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2:44" ht="15.75" customHeight="1" x14ac:dyDescent="0.2">
      <c r="B673" s="2"/>
      <c r="C673" s="36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2:44" ht="15.75" customHeight="1" x14ac:dyDescent="0.2">
      <c r="B674" s="2"/>
      <c r="C674" s="36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2:44" ht="15.75" customHeight="1" x14ac:dyDescent="0.2">
      <c r="B675" s="2"/>
      <c r="C675" s="36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2:44" ht="15.75" customHeight="1" x14ac:dyDescent="0.2"/>
    <row r="677" spans="2:44" ht="15.75" customHeight="1" x14ac:dyDescent="0.2"/>
    <row r="678" spans="2:44" ht="15.75" customHeight="1" x14ac:dyDescent="0.2"/>
    <row r="679" spans="2:44" ht="15.75" customHeight="1" x14ac:dyDescent="0.2"/>
    <row r="680" spans="2:44" ht="15.75" customHeight="1" x14ac:dyDescent="0.2"/>
    <row r="681" spans="2:44" ht="15.75" customHeight="1" x14ac:dyDescent="0.2"/>
    <row r="682" spans="2:44" ht="15.75" customHeight="1" x14ac:dyDescent="0.2"/>
    <row r="683" spans="2:44" ht="15.75" customHeight="1" x14ac:dyDescent="0.2"/>
    <row r="684" spans="2:44" ht="15.75" customHeight="1" x14ac:dyDescent="0.2"/>
    <row r="685" spans="2:44" ht="15.75" customHeight="1" x14ac:dyDescent="0.2"/>
    <row r="686" spans="2:44" s="2" customFormat="1" ht="15.75" customHeight="1" x14ac:dyDescent="0.2">
      <c r="B686" s="316"/>
      <c r="C686" s="41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  <c r="AA686" s="316"/>
      <c r="AB686" s="316"/>
      <c r="AC686" s="316"/>
      <c r="AD686" s="316"/>
      <c r="AE686" s="316"/>
      <c r="AF686" s="316"/>
      <c r="AG686" s="316"/>
      <c r="AH686" s="316"/>
      <c r="AI686" s="316"/>
      <c r="AJ686" s="316"/>
      <c r="AK686" s="316"/>
      <c r="AL686" s="316"/>
      <c r="AM686" s="316"/>
      <c r="AN686" s="316"/>
      <c r="AO686" s="316"/>
      <c r="AP686" s="316"/>
      <c r="AQ686" s="316"/>
      <c r="AR686" s="316"/>
    </row>
    <row r="687" spans="2:44" s="2" customFormat="1" ht="15.75" customHeight="1" x14ac:dyDescent="0.2">
      <c r="B687" s="316"/>
      <c r="C687" s="41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  <c r="AA687" s="316"/>
      <c r="AB687" s="316"/>
      <c r="AC687" s="316"/>
      <c r="AD687" s="316"/>
      <c r="AE687" s="316"/>
      <c r="AF687" s="316"/>
      <c r="AG687" s="316"/>
      <c r="AH687" s="316"/>
      <c r="AI687" s="316"/>
      <c r="AJ687" s="316"/>
      <c r="AK687" s="316"/>
      <c r="AL687" s="316"/>
      <c r="AM687" s="316"/>
      <c r="AN687" s="316"/>
      <c r="AO687" s="316"/>
      <c r="AP687" s="316"/>
      <c r="AQ687" s="316"/>
      <c r="AR687" s="316"/>
    </row>
    <row r="688" spans="2:44" s="2" customFormat="1" ht="15.75" customHeight="1" x14ac:dyDescent="0.2">
      <c r="B688" s="316"/>
      <c r="C688" s="41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  <c r="AA688" s="316"/>
      <c r="AB688" s="316"/>
      <c r="AC688" s="316"/>
      <c r="AD688" s="316"/>
      <c r="AE688" s="316"/>
      <c r="AF688" s="316"/>
      <c r="AG688" s="316"/>
      <c r="AH688" s="316"/>
      <c r="AI688" s="316"/>
      <c r="AJ688" s="316"/>
      <c r="AK688" s="316"/>
      <c r="AL688" s="316"/>
      <c r="AM688" s="316"/>
      <c r="AN688" s="316"/>
      <c r="AO688" s="316"/>
      <c r="AP688" s="316"/>
      <c r="AQ688" s="316"/>
      <c r="AR688" s="316"/>
    </row>
    <row r="689" spans="2:44" s="2" customFormat="1" ht="15.75" customHeight="1" x14ac:dyDescent="0.2">
      <c r="B689" s="316"/>
      <c r="C689" s="41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  <c r="AA689" s="316"/>
      <c r="AB689" s="316"/>
      <c r="AC689" s="316"/>
      <c r="AD689" s="316"/>
      <c r="AE689" s="316"/>
      <c r="AF689" s="316"/>
      <c r="AG689" s="316"/>
      <c r="AH689" s="316"/>
      <c r="AI689" s="316"/>
      <c r="AJ689" s="316"/>
      <c r="AK689" s="316"/>
      <c r="AL689" s="316"/>
      <c r="AM689" s="316"/>
      <c r="AN689" s="316"/>
      <c r="AO689" s="316"/>
      <c r="AP689" s="316"/>
      <c r="AQ689" s="316"/>
      <c r="AR689" s="316"/>
    </row>
    <row r="690" spans="2:44" s="2" customFormat="1" ht="15.75" customHeight="1" x14ac:dyDescent="0.2">
      <c r="B690" s="316"/>
      <c r="C690" s="41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  <c r="AA690" s="316"/>
      <c r="AB690" s="316"/>
      <c r="AC690" s="316"/>
      <c r="AD690" s="316"/>
      <c r="AE690" s="316"/>
      <c r="AF690" s="316"/>
      <c r="AG690" s="316"/>
      <c r="AH690" s="316"/>
      <c r="AI690" s="316"/>
      <c r="AJ690" s="316"/>
      <c r="AK690" s="316"/>
      <c r="AL690" s="316"/>
      <c r="AM690" s="316"/>
      <c r="AN690" s="316"/>
      <c r="AO690" s="316"/>
      <c r="AP690" s="316"/>
      <c r="AQ690" s="316"/>
      <c r="AR690" s="316"/>
    </row>
    <row r="691" spans="2:44" s="2" customFormat="1" ht="15.75" customHeight="1" x14ac:dyDescent="0.2">
      <c r="B691" s="316"/>
      <c r="C691" s="41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  <c r="AA691" s="316"/>
      <c r="AB691" s="316"/>
      <c r="AC691" s="316"/>
      <c r="AD691" s="316"/>
      <c r="AE691" s="316"/>
      <c r="AF691" s="316"/>
      <c r="AG691" s="316"/>
      <c r="AH691" s="316"/>
      <c r="AI691" s="316"/>
      <c r="AJ691" s="316"/>
      <c r="AK691" s="316"/>
      <c r="AL691" s="316"/>
      <c r="AM691" s="316"/>
      <c r="AN691" s="316"/>
      <c r="AO691" s="316"/>
      <c r="AP691" s="316"/>
      <c r="AQ691" s="316"/>
      <c r="AR691" s="316"/>
    </row>
    <row r="692" spans="2:44" s="2" customFormat="1" ht="15.75" customHeight="1" x14ac:dyDescent="0.2">
      <c r="B692" s="316"/>
      <c r="C692" s="41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  <c r="AA692" s="316"/>
      <c r="AB692" s="316"/>
      <c r="AC692" s="316"/>
      <c r="AD692" s="316"/>
      <c r="AE692" s="316"/>
      <c r="AF692" s="316"/>
      <c r="AG692" s="316"/>
      <c r="AH692" s="316"/>
      <c r="AI692" s="316"/>
      <c r="AJ692" s="316"/>
      <c r="AK692" s="316"/>
      <c r="AL692" s="316"/>
      <c r="AM692" s="316"/>
      <c r="AN692" s="316"/>
      <c r="AO692" s="316"/>
      <c r="AP692" s="316"/>
      <c r="AQ692" s="316"/>
      <c r="AR692" s="316"/>
    </row>
    <row r="693" spans="2:44" s="2" customFormat="1" ht="15.75" customHeight="1" x14ac:dyDescent="0.2">
      <c r="B693" s="316"/>
      <c r="C693" s="41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  <c r="AA693" s="316"/>
      <c r="AB693" s="316"/>
      <c r="AC693" s="316"/>
      <c r="AD693" s="316"/>
      <c r="AE693" s="316"/>
      <c r="AF693" s="316"/>
      <c r="AG693" s="316"/>
      <c r="AH693" s="316"/>
      <c r="AI693" s="316"/>
      <c r="AJ693" s="316"/>
      <c r="AK693" s="316"/>
      <c r="AL693" s="316"/>
      <c r="AM693" s="316"/>
      <c r="AN693" s="316"/>
      <c r="AO693" s="316"/>
      <c r="AP693" s="316"/>
      <c r="AQ693" s="316"/>
      <c r="AR693" s="316"/>
    </row>
    <row r="694" spans="2:44" s="2" customFormat="1" ht="15.75" customHeight="1" x14ac:dyDescent="0.2">
      <c r="B694" s="316"/>
      <c r="C694" s="41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  <c r="AA694" s="316"/>
      <c r="AB694" s="316"/>
      <c r="AC694" s="316"/>
      <c r="AD694" s="316"/>
      <c r="AE694" s="316"/>
      <c r="AF694" s="316"/>
      <c r="AG694" s="316"/>
      <c r="AH694" s="316"/>
      <c r="AI694" s="316"/>
      <c r="AJ694" s="316"/>
      <c r="AK694" s="316"/>
      <c r="AL694" s="316"/>
      <c r="AM694" s="316"/>
      <c r="AN694" s="316"/>
      <c r="AO694" s="316"/>
      <c r="AP694" s="316"/>
      <c r="AQ694" s="316"/>
      <c r="AR694" s="316"/>
    </row>
    <row r="695" spans="2:44" s="2" customFormat="1" ht="15.75" customHeight="1" x14ac:dyDescent="0.2">
      <c r="B695" s="316"/>
      <c r="C695" s="41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  <c r="AA695" s="316"/>
      <c r="AB695" s="316"/>
      <c r="AC695" s="316"/>
      <c r="AD695" s="316"/>
      <c r="AE695" s="316"/>
      <c r="AF695" s="316"/>
      <c r="AG695" s="316"/>
      <c r="AH695" s="316"/>
      <c r="AI695" s="316"/>
      <c r="AJ695" s="316"/>
      <c r="AK695" s="316"/>
      <c r="AL695" s="316"/>
      <c r="AM695" s="316"/>
      <c r="AN695" s="316"/>
      <c r="AO695" s="316"/>
      <c r="AP695" s="316"/>
      <c r="AQ695" s="316"/>
      <c r="AR695" s="316"/>
    </row>
    <row r="696" spans="2:44" s="2" customFormat="1" ht="15.75" customHeight="1" x14ac:dyDescent="0.2">
      <c r="B696" s="316"/>
      <c r="C696" s="41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  <c r="AA696" s="316"/>
      <c r="AB696" s="316"/>
      <c r="AC696" s="316"/>
      <c r="AD696" s="316"/>
      <c r="AE696" s="316"/>
      <c r="AF696" s="316"/>
      <c r="AG696" s="316"/>
      <c r="AH696" s="316"/>
      <c r="AI696" s="316"/>
      <c r="AJ696" s="316"/>
      <c r="AK696" s="316"/>
      <c r="AL696" s="316"/>
      <c r="AM696" s="316"/>
      <c r="AN696" s="316"/>
      <c r="AO696" s="316"/>
      <c r="AP696" s="316"/>
      <c r="AQ696" s="316"/>
      <c r="AR696" s="316"/>
    </row>
    <row r="697" spans="2:44" s="2" customFormat="1" ht="15.75" customHeight="1" x14ac:dyDescent="0.2">
      <c r="B697" s="316"/>
      <c r="C697" s="41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  <c r="AA697" s="316"/>
      <c r="AB697" s="316"/>
      <c r="AC697" s="316"/>
      <c r="AD697" s="316"/>
      <c r="AE697" s="316"/>
      <c r="AF697" s="316"/>
      <c r="AG697" s="316"/>
      <c r="AH697" s="316"/>
      <c r="AI697" s="316"/>
      <c r="AJ697" s="316"/>
      <c r="AK697" s="316"/>
      <c r="AL697" s="316"/>
      <c r="AM697" s="316"/>
      <c r="AN697" s="316"/>
      <c r="AO697" s="316"/>
      <c r="AP697" s="316"/>
      <c r="AQ697" s="316"/>
      <c r="AR697" s="316"/>
    </row>
    <row r="698" spans="2:44" s="2" customFormat="1" ht="15.75" customHeight="1" x14ac:dyDescent="0.2">
      <c r="B698" s="316"/>
      <c r="C698" s="41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  <c r="AA698" s="316"/>
      <c r="AB698" s="316"/>
      <c r="AC698" s="316"/>
      <c r="AD698" s="316"/>
      <c r="AE698" s="316"/>
      <c r="AF698" s="316"/>
      <c r="AG698" s="316"/>
      <c r="AH698" s="316"/>
      <c r="AI698" s="316"/>
      <c r="AJ698" s="316"/>
      <c r="AK698" s="316"/>
      <c r="AL698" s="316"/>
      <c r="AM698" s="316"/>
      <c r="AN698" s="316"/>
      <c r="AO698" s="316"/>
      <c r="AP698" s="316"/>
      <c r="AQ698" s="316"/>
      <c r="AR698" s="316"/>
    </row>
    <row r="699" spans="2:44" s="2" customFormat="1" ht="15.75" customHeight="1" x14ac:dyDescent="0.2">
      <c r="B699" s="316"/>
      <c r="C699" s="41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  <c r="AA699" s="316"/>
      <c r="AB699" s="316"/>
      <c r="AC699" s="316"/>
      <c r="AD699" s="316"/>
      <c r="AE699" s="316"/>
      <c r="AF699" s="316"/>
      <c r="AG699" s="316"/>
      <c r="AH699" s="316"/>
      <c r="AI699" s="316"/>
      <c r="AJ699" s="316"/>
      <c r="AK699" s="316"/>
      <c r="AL699" s="316"/>
      <c r="AM699" s="316"/>
      <c r="AN699" s="316"/>
      <c r="AO699" s="316"/>
      <c r="AP699" s="316"/>
      <c r="AQ699" s="316"/>
      <c r="AR699" s="316"/>
    </row>
    <row r="700" spans="2:44" s="2" customFormat="1" ht="15.75" customHeight="1" x14ac:dyDescent="0.2">
      <c r="B700" s="316"/>
      <c r="C700" s="41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  <c r="AA700" s="316"/>
      <c r="AB700" s="316"/>
      <c r="AC700" s="316"/>
      <c r="AD700" s="316"/>
      <c r="AE700" s="316"/>
      <c r="AF700" s="316"/>
      <c r="AG700" s="316"/>
      <c r="AH700" s="316"/>
      <c r="AI700" s="316"/>
      <c r="AJ700" s="316"/>
      <c r="AK700" s="316"/>
      <c r="AL700" s="316"/>
      <c r="AM700" s="316"/>
      <c r="AN700" s="316"/>
      <c r="AO700" s="316"/>
      <c r="AP700" s="316"/>
      <c r="AQ700" s="316"/>
      <c r="AR700" s="316"/>
    </row>
    <row r="701" spans="2:44" s="2" customFormat="1" ht="15.75" customHeight="1" x14ac:dyDescent="0.2">
      <c r="B701" s="316"/>
      <c r="C701" s="41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  <c r="AA701" s="316"/>
      <c r="AB701" s="316"/>
      <c r="AC701" s="316"/>
      <c r="AD701" s="316"/>
      <c r="AE701" s="316"/>
      <c r="AF701" s="316"/>
      <c r="AG701" s="316"/>
      <c r="AH701" s="316"/>
      <c r="AI701" s="316"/>
      <c r="AJ701" s="316"/>
      <c r="AK701" s="316"/>
      <c r="AL701" s="316"/>
      <c r="AM701" s="316"/>
      <c r="AN701" s="316"/>
      <c r="AO701" s="316"/>
      <c r="AP701" s="316"/>
      <c r="AQ701" s="316"/>
      <c r="AR701" s="316"/>
    </row>
    <row r="702" spans="2:44" s="2" customFormat="1" ht="15.75" customHeight="1" x14ac:dyDescent="0.2">
      <c r="B702" s="316"/>
      <c r="C702" s="41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  <c r="AA702" s="316"/>
      <c r="AB702" s="316"/>
      <c r="AC702" s="316"/>
      <c r="AD702" s="316"/>
      <c r="AE702" s="316"/>
      <c r="AF702" s="316"/>
      <c r="AG702" s="316"/>
      <c r="AH702" s="316"/>
      <c r="AI702" s="316"/>
      <c r="AJ702" s="316"/>
      <c r="AK702" s="316"/>
      <c r="AL702" s="316"/>
      <c r="AM702" s="316"/>
      <c r="AN702" s="316"/>
      <c r="AO702" s="316"/>
      <c r="AP702" s="316"/>
      <c r="AQ702" s="316"/>
      <c r="AR702" s="316"/>
    </row>
    <row r="703" spans="2:44" s="2" customFormat="1" ht="15.75" customHeight="1" x14ac:dyDescent="0.2">
      <c r="B703" s="316"/>
      <c r="C703" s="41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  <c r="AA703" s="316"/>
      <c r="AB703" s="316"/>
      <c r="AC703" s="316"/>
      <c r="AD703" s="316"/>
      <c r="AE703" s="316"/>
      <c r="AF703" s="316"/>
      <c r="AG703" s="316"/>
      <c r="AH703" s="316"/>
      <c r="AI703" s="316"/>
      <c r="AJ703" s="316"/>
      <c r="AK703" s="316"/>
      <c r="AL703" s="316"/>
      <c r="AM703" s="316"/>
      <c r="AN703" s="316"/>
      <c r="AO703" s="316"/>
      <c r="AP703" s="316"/>
      <c r="AQ703" s="316"/>
      <c r="AR703" s="316"/>
    </row>
    <row r="704" spans="2:44" s="2" customFormat="1" ht="15.75" customHeight="1" x14ac:dyDescent="0.2">
      <c r="B704" s="316"/>
      <c r="C704" s="41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  <c r="AA704" s="316"/>
      <c r="AB704" s="316"/>
      <c r="AC704" s="316"/>
      <c r="AD704" s="316"/>
      <c r="AE704" s="316"/>
      <c r="AF704" s="316"/>
      <c r="AG704" s="316"/>
      <c r="AH704" s="316"/>
      <c r="AI704" s="316"/>
      <c r="AJ704" s="316"/>
      <c r="AK704" s="316"/>
      <c r="AL704" s="316"/>
      <c r="AM704" s="316"/>
      <c r="AN704" s="316"/>
      <c r="AO704" s="316"/>
      <c r="AP704" s="316"/>
      <c r="AQ704" s="316"/>
      <c r="AR704" s="316"/>
    </row>
    <row r="705" spans="2:44" s="2" customFormat="1" ht="15.75" customHeight="1" x14ac:dyDescent="0.2">
      <c r="B705" s="316"/>
      <c r="C705" s="41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  <c r="AA705" s="316"/>
      <c r="AB705" s="316"/>
      <c r="AC705" s="316"/>
      <c r="AD705" s="316"/>
      <c r="AE705" s="316"/>
      <c r="AF705" s="316"/>
      <c r="AG705" s="316"/>
      <c r="AH705" s="316"/>
      <c r="AI705" s="316"/>
      <c r="AJ705" s="316"/>
      <c r="AK705" s="316"/>
      <c r="AL705" s="316"/>
      <c r="AM705" s="316"/>
      <c r="AN705" s="316"/>
      <c r="AO705" s="316"/>
      <c r="AP705" s="316"/>
      <c r="AQ705" s="316"/>
      <c r="AR705" s="316"/>
    </row>
    <row r="706" spans="2:44" s="2" customFormat="1" ht="15.75" customHeight="1" x14ac:dyDescent="0.2">
      <c r="B706" s="316"/>
      <c r="C706" s="41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  <c r="AA706" s="316"/>
      <c r="AB706" s="316"/>
      <c r="AC706" s="316"/>
      <c r="AD706" s="316"/>
      <c r="AE706" s="316"/>
      <c r="AF706" s="316"/>
      <c r="AG706" s="316"/>
      <c r="AH706" s="316"/>
      <c r="AI706" s="316"/>
      <c r="AJ706" s="316"/>
      <c r="AK706" s="316"/>
      <c r="AL706" s="316"/>
      <c r="AM706" s="316"/>
      <c r="AN706" s="316"/>
      <c r="AO706" s="316"/>
      <c r="AP706" s="316"/>
      <c r="AQ706" s="316"/>
      <c r="AR706" s="316"/>
    </row>
    <row r="707" spans="2:44" s="2" customFormat="1" ht="15.75" customHeight="1" x14ac:dyDescent="0.2">
      <c r="B707" s="316"/>
      <c r="C707" s="41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  <c r="AA707" s="316"/>
      <c r="AB707" s="316"/>
      <c r="AC707" s="316"/>
      <c r="AD707" s="316"/>
      <c r="AE707" s="316"/>
      <c r="AF707" s="316"/>
      <c r="AG707" s="316"/>
      <c r="AH707" s="316"/>
      <c r="AI707" s="316"/>
      <c r="AJ707" s="316"/>
      <c r="AK707" s="316"/>
      <c r="AL707" s="316"/>
      <c r="AM707" s="316"/>
      <c r="AN707" s="316"/>
      <c r="AO707" s="316"/>
      <c r="AP707" s="316"/>
      <c r="AQ707" s="316"/>
      <c r="AR707" s="316"/>
    </row>
    <row r="708" spans="2:44" s="2" customFormat="1" ht="15.75" customHeight="1" x14ac:dyDescent="0.2">
      <c r="B708" s="316"/>
      <c r="C708" s="41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  <c r="AA708" s="316"/>
      <c r="AB708" s="316"/>
      <c r="AC708" s="316"/>
      <c r="AD708" s="316"/>
      <c r="AE708" s="316"/>
      <c r="AF708" s="316"/>
      <c r="AG708" s="316"/>
      <c r="AH708" s="316"/>
      <c r="AI708" s="316"/>
      <c r="AJ708" s="316"/>
      <c r="AK708" s="316"/>
      <c r="AL708" s="316"/>
      <c r="AM708" s="316"/>
      <c r="AN708" s="316"/>
      <c r="AO708" s="316"/>
      <c r="AP708" s="316"/>
      <c r="AQ708" s="316"/>
      <c r="AR708" s="316"/>
    </row>
    <row r="709" spans="2:44" s="2" customFormat="1" ht="15.75" customHeight="1" x14ac:dyDescent="0.2">
      <c r="B709" s="316"/>
      <c r="C709" s="41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  <c r="AA709" s="316"/>
      <c r="AB709" s="316"/>
      <c r="AC709" s="316"/>
      <c r="AD709" s="316"/>
      <c r="AE709" s="316"/>
      <c r="AF709" s="316"/>
      <c r="AG709" s="316"/>
      <c r="AH709" s="316"/>
      <c r="AI709" s="316"/>
      <c r="AJ709" s="316"/>
      <c r="AK709" s="316"/>
      <c r="AL709" s="316"/>
      <c r="AM709" s="316"/>
      <c r="AN709" s="316"/>
      <c r="AO709" s="316"/>
      <c r="AP709" s="316"/>
      <c r="AQ709" s="316"/>
      <c r="AR709" s="316"/>
    </row>
    <row r="710" spans="2:44" s="2" customFormat="1" ht="15.75" customHeight="1" x14ac:dyDescent="0.2">
      <c r="B710" s="316"/>
      <c r="C710" s="41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  <c r="AA710" s="316"/>
      <c r="AB710" s="316"/>
      <c r="AC710" s="316"/>
      <c r="AD710" s="316"/>
      <c r="AE710" s="316"/>
      <c r="AF710" s="316"/>
      <c r="AG710" s="316"/>
      <c r="AH710" s="316"/>
      <c r="AI710" s="316"/>
      <c r="AJ710" s="316"/>
      <c r="AK710" s="316"/>
      <c r="AL710" s="316"/>
      <c r="AM710" s="316"/>
      <c r="AN710" s="316"/>
      <c r="AO710" s="316"/>
      <c r="AP710" s="316"/>
      <c r="AQ710" s="316"/>
      <c r="AR710" s="316"/>
    </row>
    <row r="711" spans="2:44" s="2" customFormat="1" ht="15.75" customHeight="1" x14ac:dyDescent="0.2">
      <c r="B711" s="316"/>
      <c r="C711" s="41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  <c r="AA711" s="316"/>
      <c r="AB711" s="316"/>
      <c r="AC711" s="316"/>
      <c r="AD711" s="316"/>
      <c r="AE711" s="316"/>
      <c r="AF711" s="316"/>
      <c r="AG711" s="316"/>
      <c r="AH711" s="316"/>
      <c r="AI711" s="316"/>
      <c r="AJ711" s="316"/>
      <c r="AK711" s="316"/>
      <c r="AL711" s="316"/>
      <c r="AM711" s="316"/>
      <c r="AN711" s="316"/>
      <c r="AO711" s="316"/>
      <c r="AP711" s="316"/>
      <c r="AQ711" s="316"/>
      <c r="AR711" s="316"/>
    </row>
    <row r="712" spans="2:44" s="2" customFormat="1" ht="15.75" customHeight="1" x14ac:dyDescent="0.2">
      <c r="B712" s="316"/>
      <c r="C712" s="41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  <c r="AA712" s="316"/>
      <c r="AB712" s="316"/>
      <c r="AC712" s="316"/>
      <c r="AD712" s="316"/>
      <c r="AE712" s="316"/>
      <c r="AF712" s="316"/>
      <c r="AG712" s="316"/>
      <c r="AH712" s="316"/>
      <c r="AI712" s="316"/>
      <c r="AJ712" s="316"/>
      <c r="AK712" s="316"/>
      <c r="AL712" s="316"/>
      <c r="AM712" s="316"/>
      <c r="AN712" s="316"/>
      <c r="AO712" s="316"/>
      <c r="AP712" s="316"/>
      <c r="AQ712" s="316"/>
      <c r="AR712" s="316"/>
    </row>
    <row r="713" spans="2:44" s="2" customFormat="1" ht="15.75" customHeight="1" x14ac:dyDescent="0.2">
      <c r="B713" s="316"/>
      <c r="C713" s="41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  <c r="AA713" s="316"/>
      <c r="AB713" s="316"/>
      <c r="AC713" s="316"/>
      <c r="AD713" s="316"/>
      <c r="AE713" s="316"/>
      <c r="AF713" s="316"/>
      <c r="AG713" s="316"/>
      <c r="AH713" s="316"/>
      <c r="AI713" s="316"/>
      <c r="AJ713" s="316"/>
      <c r="AK713" s="316"/>
      <c r="AL713" s="316"/>
      <c r="AM713" s="316"/>
      <c r="AN713" s="316"/>
      <c r="AO713" s="316"/>
      <c r="AP713" s="316"/>
      <c r="AQ713" s="316"/>
      <c r="AR713" s="316"/>
    </row>
    <row r="714" spans="2:44" s="2" customFormat="1" ht="15.75" customHeight="1" x14ac:dyDescent="0.2">
      <c r="B714" s="316"/>
      <c r="C714" s="41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  <c r="AJ714" s="316"/>
      <c r="AK714" s="316"/>
      <c r="AL714" s="316"/>
      <c r="AM714" s="316"/>
      <c r="AN714" s="316"/>
      <c r="AO714" s="316"/>
      <c r="AP714" s="316"/>
      <c r="AQ714" s="316"/>
      <c r="AR714" s="316"/>
    </row>
    <row r="715" spans="2:44" s="2" customFormat="1" ht="15.75" customHeight="1" x14ac:dyDescent="0.2">
      <c r="B715" s="316"/>
      <c r="C715" s="41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  <c r="AA715" s="316"/>
      <c r="AB715" s="316"/>
      <c r="AC715" s="316"/>
      <c r="AD715" s="316"/>
      <c r="AE715" s="316"/>
      <c r="AF715" s="316"/>
      <c r="AG715" s="316"/>
      <c r="AH715" s="316"/>
      <c r="AI715" s="316"/>
      <c r="AJ715" s="316"/>
      <c r="AK715" s="316"/>
      <c r="AL715" s="316"/>
      <c r="AM715" s="316"/>
      <c r="AN715" s="316"/>
      <c r="AO715" s="316"/>
      <c r="AP715" s="316"/>
      <c r="AQ715" s="316"/>
      <c r="AR715" s="316"/>
    </row>
    <row r="716" spans="2:44" s="2" customFormat="1" ht="15.75" customHeight="1" x14ac:dyDescent="0.2">
      <c r="B716" s="316"/>
      <c r="C716" s="41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  <c r="AA716" s="316"/>
      <c r="AB716" s="316"/>
      <c r="AC716" s="316"/>
      <c r="AD716" s="316"/>
      <c r="AE716" s="316"/>
      <c r="AF716" s="316"/>
      <c r="AG716" s="316"/>
      <c r="AH716" s="316"/>
      <c r="AI716" s="316"/>
      <c r="AJ716" s="316"/>
      <c r="AK716" s="316"/>
      <c r="AL716" s="316"/>
      <c r="AM716" s="316"/>
      <c r="AN716" s="316"/>
      <c r="AO716" s="316"/>
      <c r="AP716" s="316"/>
      <c r="AQ716" s="316"/>
      <c r="AR716" s="316"/>
    </row>
    <row r="717" spans="2:44" s="2" customFormat="1" ht="15.75" customHeight="1" x14ac:dyDescent="0.2">
      <c r="B717" s="316"/>
      <c r="C717" s="41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  <c r="AA717" s="316"/>
      <c r="AB717" s="316"/>
      <c r="AC717" s="316"/>
      <c r="AD717" s="316"/>
      <c r="AE717" s="316"/>
      <c r="AF717" s="316"/>
      <c r="AG717" s="316"/>
      <c r="AH717" s="316"/>
      <c r="AI717" s="316"/>
      <c r="AJ717" s="316"/>
      <c r="AK717" s="316"/>
      <c r="AL717" s="316"/>
      <c r="AM717" s="316"/>
      <c r="AN717" s="316"/>
      <c r="AO717" s="316"/>
      <c r="AP717" s="316"/>
      <c r="AQ717" s="316"/>
      <c r="AR717" s="316"/>
    </row>
    <row r="718" spans="2:44" s="2" customFormat="1" ht="15.75" customHeight="1" x14ac:dyDescent="0.2">
      <c r="B718" s="316"/>
      <c r="C718" s="41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  <c r="AA718" s="316"/>
      <c r="AB718" s="316"/>
      <c r="AC718" s="316"/>
      <c r="AD718" s="316"/>
      <c r="AE718" s="316"/>
      <c r="AF718" s="316"/>
      <c r="AG718" s="316"/>
      <c r="AH718" s="316"/>
      <c r="AI718" s="316"/>
      <c r="AJ718" s="316"/>
      <c r="AK718" s="316"/>
      <c r="AL718" s="316"/>
      <c r="AM718" s="316"/>
      <c r="AN718" s="316"/>
      <c r="AO718" s="316"/>
      <c r="AP718" s="316"/>
      <c r="AQ718" s="316"/>
      <c r="AR718" s="316"/>
    </row>
    <row r="719" spans="2:44" s="2" customFormat="1" ht="15.75" customHeight="1" x14ac:dyDescent="0.2">
      <c r="B719" s="316"/>
      <c r="C719" s="41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  <c r="AA719" s="316"/>
      <c r="AB719" s="316"/>
      <c r="AC719" s="316"/>
      <c r="AD719" s="316"/>
      <c r="AE719" s="316"/>
      <c r="AF719" s="316"/>
      <c r="AG719" s="316"/>
      <c r="AH719" s="316"/>
      <c r="AI719" s="316"/>
      <c r="AJ719" s="316"/>
      <c r="AK719" s="316"/>
      <c r="AL719" s="316"/>
      <c r="AM719" s="316"/>
      <c r="AN719" s="316"/>
      <c r="AO719" s="316"/>
      <c r="AP719" s="316"/>
      <c r="AQ719" s="316"/>
      <c r="AR719" s="316"/>
    </row>
    <row r="720" spans="2:44" s="2" customFormat="1" ht="15.75" customHeight="1" x14ac:dyDescent="0.2">
      <c r="B720" s="316"/>
      <c r="C720" s="41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  <c r="AA720" s="316"/>
      <c r="AB720" s="316"/>
      <c r="AC720" s="316"/>
      <c r="AD720" s="316"/>
      <c r="AE720" s="316"/>
      <c r="AF720" s="316"/>
      <c r="AG720" s="316"/>
      <c r="AH720" s="316"/>
      <c r="AI720" s="316"/>
      <c r="AJ720" s="316"/>
      <c r="AK720" s="316"/>
      <c r="AL720" s="316"/>
      <c r="AM720" s="316"/>
      <c r="AN720" s="316"/>
      <c r="AO720" s="316"/>
      <c r="AP720" s="316"/>
      <c r="AQ720" s="316"/>
      <c r="AR720" s="316"/>
    </row>
    <row r="721" spans="2:44" s="2" customFormat="1" ht="15.75" customHeight="1" x14ac:dyDescent="0.2">
      <c r="B721" s="316"/>
      <c r="C721" s="41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  <c r="AA721" s="316"/>
      <c r="AB721" s="316"/>
      <c r="AC721" s="316"/>
      <c r="AD721" s="316"/>
      <c r="AE721" s="316"/>
      <c r="AF721" s="316"/>
      <c r="AG721" s="316"/>
      <c r="AH721" s="316"/>
      <c r="AI721" s="316"/>
      <c r="AJ721" s="316"/>
      <c r="AK721" s="316"/>
      <c r="AL721" s="316"/>
      <c r="AM721" s="316"/>
      <c r="AN721" s="316"/>
      <c r="AO721" s="316"/>
      <c r="AP721" s="316"/>
      <c r="AQ721" s="316"/>
      <c r="AR721" s="316"/>
    </row>
    <row r="722" spans="2:44" s="2" customFormat="1" ht="15.75" customHeight="1" x14ac:dyDescent="0.2">
      <c r="B722" s="316"/>
      <c r="C722" s="41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  <c r="AA722" s="316"/>
      <c r="AB722" s="316"/>
      <c r="AC722" s="316"/>
      <c r="AD722" s="316"/>
      <c r="AE722" s="316"/>
      <c r="AF722" s="316"/>
      <c r="AG722" s="316"/>
      <c r="AH722" s="316"/>
      <c r="AI722" s="316"/>
      <c r="AJ722" s="316"/>
      <c r="AK722" s="316"/>
      <c r="AL722" s="316"/>
      <c r="AM722" s="316"/>
      <c r="AN722" s="316"/>
      <c r="AO722" s="316"/>
      <c r="AP722" s="316"/>
      <c r="AQ722" s="316"/>
      <c r="AR722" s="316"/>
    </row>
    <row r="723" spans="2:44" s="2" customFormat="1" ht="15.75" customHeight="1" x14ac:dyDescent="0.2">
      <c r="B723" s="316"/>
      <c r="C723" s="41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  <c r="AA723" s="316"/>
      <c r="AB723" s="316"/>
      <c r="AC723" s="316"/>
      <c r="AD723" s="316"/>
      <c r="AE723" s="316"/>
      <c r="AF723" s="316"/>
      <c r="AG723" s="316"/>
      <c r="AH723" s="316"/>
      <c r="AI723" s="316"/>
      <c r="AJ723" s="316"/>
      <c r="AK723" s="316"/>
      <c r="AL723" s="316"/>
      <c r="AM723" s="316"/>
      <c r="AN723" s="316"/>
      <c r="AO723" s="316"/>
      <c r="AP723" s="316"/>
      <c r="AQ723" s="316"/>
      <c r="AR723" s="316"/>
    </row>
    <row r="724" spans="2:44" s="2" customFormat="1" ht="15.75" customHeight="1" x14ac:dyDescent="0.2">
      <c r="B724" s="316"/>
      <c r="C724" s="41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  <c r="AA724" s="316"/>
      <c r="AB724" s="316"/>
      <c r="AC724" s="316"/>
      <c r="AD724" s="316"/>
      <c r="AE724" s="316"/>
      <c r="AF724" s="316"/>
      <c r="AG724" s="316"/>
      <c r="AH724" s="316"/>
      <c r="AI724" s="316"/>
      <c r="AJ724" s="316"/>
      <c r="AK724" s="316"/>
      <c r="AL724" s="316"/>
      <c r="AM724" s="316"/>
      <c r="AN724" s="316"/>
      <c r="AO724" s="316"/>
      <c r="AP724" s="316"/>
      <c r="AQ724" s="316"/>
      <c r="AR724" s="316"/>
    </row>
    <row r="725" spans="2:44" s="2" customFormat="1" ht="15.75" customHeight="1" x14ac:dyDescent="0.2">
      <c r="B725" s="316"/>
      <c r="C725" s="41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  <c r="AA725" s="316"/>
      <c r="AB725" s="316"/>
      <c r="AC725" s="316"/>
      <c r="AD725" s="316"/>
      <c r="AE725" s="316"/>
      <c r="AF725" s="316"/>
      <c r="AG725" s="316"/>
      <c r="AH725" s="316"/>
      <c r="AI725" s="316"/>
      <c r="AJ725" s="316"/>
      <c r="AK725" s="316"/>
      <c r="AL725" s="316"/>
      <c r="AM725" s="316"/>
      <c r="AN725" s="316"/>
      <c r="AO725" s="316"/>
      <c r="AP725" s="316"/>
      <c r="AQ725" s="316"/>
      <c r="AR725" s="316"/>
    </row>
    <row r="726" spans="2:44" s="2" customFormat="1" ht="15.75" customHeight="1" x14ac:dyDescent="0.2">
      <c r="B726" s="316"/>
      <c r="C726" s="41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  <c r="AA726" s="316"/>
      <c r="AB726" s="316"/>
      <c r="AC726" s="316"/>
      <c r="AD726" s="316"/>
      <c r="AE726" s="316"/>
      <c r="AF726" s="316"/>
      <c r="AG726" s="316"/>
      <c r="AH726" s="316"/>
      <c r="AI726" s="316"/>
      <c r="AJ726" s="316"/>
      <c r="AK726" s="316"/>
      <c r="AL726" s="316"/>
      <c r="AM726" s="316"/>
      <c r="AN726" s="316"/>
      <c r="AO726" s="316"/>
      <c r="AP726" s="316"/>
      <c r="AQ726" s="316"/>
      <c r="AR726" s="316"/>
    </row>
    <row r="727" spans="2:44" s="2" customFormat="1" ht="15.75" customHeight="1" x14ac:dyDescent="0.2">
      <c r="B727" s="316"/>
      <c r="C727" s="41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  <c r="AA727" s="316"/>
      <c r="AB727" s="316"/>
      <c r="AC727" s="316"/>
      <c r="AD727" s="316"/>
      <c r="AE727" s="316"/>
      <c r="AF727" s="316"/>
      <c r="AG727" s="316"/>
      <c r="AH727" s="316"/>
      <c r="AI727" s="316"/>
      <c r="AJ727" s="316"/>
      <c r="AK727" s="316"/>
      <c r="AL727" s="316"/>
      <c r="AM727" s="316"/>
      <c r="AN727" s="316"/>
      <c r="AO727" s="316"/>
      <c r="AP727" s="316"/>
      <c r="AQ727" s="316"/>
      <c r="AR727" s="316"/>
    </row>
    <row r="728" spans="2:44" s="2" customFormat="1" ht="15.75" customHeight="1" x14ac:dyDescent="0.2">
      <c r="B728" s="316"/>
      <c r="C728" s="41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  <c r="AA728" s="316"/>
      <c r="AB728" s="316"/>
      <c r="AC728" s="316"/>
      <c r="AD728" s="316"/>
      <c r="AE728" s="316"/>
      <c r="AF728" s="316"/>
      <c r="AG728" s="316"/>
      <c r="AH728" s="316"/>
      <c r="AI728" s="316"/>
      <c r="AJ728" s="316"/>
      <c r="AK728" s="316"/>
      <c r="AL728" s="316"/>
      <c r="AM728" s="316"/>
      <c r="AN728" s="316"/>
      <c r="AO728" s="316"/>
      <c r="AP728" s="316"/>
      <c r="AQ728" s="316"/>
      <c r="AR728" s="316"/>
    </row>
    <row r="729" spans="2:44" s="2" customFormat="1" ht="15.75" customHeight="1" x14ac:dyDescent="0.2">
      <c r="B729" s="316"/>
      <c r="C729" s="41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  <c r="AA729" s="316"/>
      <c r="AB729" s="316"/>
      <c r="AC729" s="316"/>
      <c r="AD729" s="316"/>
      <c r="AE729" s="316"/>
      <c r="AF729" s="316"/>
      <c r="AG729" s="316"/>
      <c r="AH729" s="316"/>
      <c r="AI729" s="316"/>
      <c r="AJ729" s="316"/>
      <c r="AK729" s="316"/>
      <c r="AL729" s="316"/>
      <c r="AM729" s="316"/>
      <c r="AN729" s="316"/>
      <c r="AO729" s="316"/>
      <c r="AP729" s="316"/>
      <c r="AQ729" s="316"/>
      <c r="AR729" s="316"/>
    </row>
    <row r="730" spans="2:44" s="2" customFormat="1" ht="15.75" customHeight="1" x14ac:dyDescent="0.2">
      <c r="B730" s="316"/>
      <c r="C730" s="41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  <c r="AA730" s="316"/>
      <c r="AB730" s="316"/>
      <c r="AC730" s="316"/>
      <c r="AD730" s="316"/>
      <c r="AE730" s="316"/>
      <c r="AF730" s="316"/>
      <c r="AG730" s="316"/>
      <c r="AH730" s="316"/>
      <c r="AI730" s="316"/>
      <c r="AJ730" s="316"/>
      <c r="AK730" s="316"/>
      <c r="AL730" s="316"/>
      <c r="AM730" s="316"/>
      <c r="AN730" s="316"/>
      <c r="AO730" s="316"/>
      <c r="AP730" s="316"/>
      <c r="AQ730" s="316"/>
      <c r="AR730" s="316"/>
    </row>
    <row r="731" spans="2:44" s="2" customFormat="1" ht="15.75" customHeight="1" x14ac:dyDescent="0.2">
      <c r="B731" s="316"/>
      <c r="C731" s="41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  <c r="AA731" s="316"/>
      <c r="AB731" s="316"/>
      <c r="AC731" s="316"/>
      <c r="AD731" s="316"/>
      <c r="AE731" s="316"/>
      <c r="AF731" s="316"/>
      <c r="AG731" s="316"/>
      <c r="AH731" s="316"/>
      <c r="AI731" s="316"/>
      <c r="AJ731" s="316"/>
      <c r="AK731" s="316"/>
      <c r="AL731" s="316"/>
      <c r="AM731" s="316"/>
      <c r="AN731" s="316"/>
      <c r="AO731" s="316"/>
      <c r="AP731" s="316"/>
      <c r="AQ731" s="316"/>
      <c r="AR731" s="316"/>
    </row>
    <row r="732" spans="2:44" s="2" customFormat="1" ht="15.75" customHeight="1" x14ac:dyDescent="0.2">
      <c r="B732" s="316"/>
      <c r="C732" s="41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  <c r="AA732" s="316"/>
      <c r="AB732" s="316"/>
      <c r="AC732" s="316"/>
      <c r="AD732" s="316"/>
      <c r="AE732" s="316"/>
      <c r="AF732" s="316"/>
      <c r="AG732" s="316"/>
      <c r="AH732" s="316"/>
      <c r="AI732" s="316"/>
      <c r="AJ732" s="316"/>
      <c r="AK732" s="316"/>
      <c r="AL732" s="316"/>
      <c r="AM732" s="316"/>
      <c r="AN732" s="316"/>
      <c r="AO732" s="316"/>
      <c r="AP732" s="316"/>
      <c r="AQ732" s="316"/>
      <c r="AR732" s="316"/>
    </row>
    <row r="733" spans="2:44" s="2" customFormat="1" ht="15.75" customHeight="1" x14ac:dyDescent="0.2">
      <c r="B733" s="316"/>
      <c r="C733" s="41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  <c r="AA733" s="316"/>
      <c r="AB733" s="316"/>
      <c r="AC733" s="316"/>
      <c r="AD733" s="316"/>
      <c r="AE733" s="316"/>
      <c r="AF733" s="316"/>
      <c r="AG733" s="316"/>
      <c r="AH733" s="316"/>
      <c r="AI733" s="316"/>
      <c r="AJ733" s="316"/>
      <c r="AK733" s="316"/>
      <c r="AL733" s="316"/>
      <c r="AM733" s="316"/>
      <c r="AN733" s="316"/>
      <c r="AO733" s="316"/>
      <c r="AP733" s="316"/>
      <c r="AQ733" s="316"/>
      <c r="AR733" s="316"/>
    </row>
    <row r="734" spans="2:44" s="2" customFormat="1" ht="15.75" customHeight="1" x14ac:dyDescent="0.2">
      <c r="B734" s="316"/>
      <c r="C734" s="41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  <c r="AA734" s="316"/>
      <c r="AB734" s="316"/>
      <c r="AC734" s="316"/>
      <c r="AD734" s="316"/>
      <c r="AE734" s="316"/>
      <c r="AF734" s="316"/>
      <c r="AG734" s="316"/>
      <c r="AH734" s="316"/>
      <c r="AI734" s="316"/>
      <c r="AJ734" s="316"/>
      <c r="AK734" s="316"/>
      <c r="AL734" s="316"/>
      <c r="AM734" s="316"/>
      <c r="AN734" s="316"/>
      <c r="AO734" s="316"/>
      <c r="AP734" s="316"/>
      <c r="AQ734" s="316"/>
      <c r="AR734" s="316"/>
    </row>
    <row r="735" spans="2:44" s="2" customFormat="1" ht="15.75" customHeight="1" x14ac:dyDescent="0.2">
      <c r="B735" s="316"/>
      <c r="C735" s="41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  <c r="AA735" s="316"/>
      <c r="AB735" s="316"/>
      <c r="AC735" s="316"/>
      <c r="AD735" s="316"/>
      <c r="AE735" s="316"/>
      <c r="AF735" s="316"/>
      <c r="AG735" s="316"/>
      <c r="AH735" s="316"/>
      <c r="AI735" s="316"/>
      <c r="AJ735" s="316"/>
      <c r="AK735" s="316"/>
      <c r="AL735" s="316"/>
      <c r="AM735" s="316"/>
      <c r="AN735" s="316"/>
      <c r="AO735" s="316"/>
      <c r="AP735" s="316"/>
      <c r="AQ735" s="316"/>
      <c r="AR735" s="316"/>
    </row>
    <row r="736" spans="2:44" s="2" customFormat="1" ht="15.75" customHeight="1" x14ac:dyDescent="0.2">
      <c r="B736" s="316"/>
      <c r="C736" s="41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  <c r="AA736" s="316"/>
      <c r="AB736" s="316"/>
      <c r="AC736" s="316"/>
      <c r="AD736" s="316"/>
      <c r="AE736" s="316"/>
      <c r="AF736" s="316"/>
      <c r="AG736" s="316"/>
      <c r="AH736" s="316"/>
      <c r="AI736" s="316"/>
      <c r="AJ736" s="316"/>
      <c r="AK736" s="316"/>
      <c r="AL736" s="316"/>
      <c r="AM736" s="316"/>
      <c r="AN736" s="316"/>
      <c r="AO736" s="316"/>
      <c r="AP736" s="316"/>
      <c r="AQ736" s="316"/>
      <c r="AR736" s="316"/>
    </row>
    <row r="737" spans="2:44" s="2" customFormat="1" ht="15.75" customHeight="1" x14ac:dyDescent="0.2">
      <c r="B737" s="316"/>
      <c r="C737" s="41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  <c r="AA737" s="316"/>
      <c r="AB737" s="316"/>
      <c r="AC737" s="316"/>
      <c r="AD737" s="316"/>
      <c r="AE737" s="316"/>
      <c r="AF737" s="316"/>
      <c r="AG737" s="316"/>
      <c r="AH737" s="316"/>
      <c r="AI737" s="316"/>
      <c r="AJ737" s="316"/>
      <c r="AK737" s="316"/>
      <c r="AL737" s="316"/>
      <c r="AM737" s="316"/>
      <c r="AN737" s="316"/>
      <c r="AO737" s="316"/>
      <c r="AP737" s="316"/>
      <c r="AQ737" s="316"/>
      <c r="AR737" s="316"/>
    </row>
    <row r="738" spans="2:44" s="2" customFormat="1" ht="15.75" customHeight="1" x14ac:dyDescent="0.2">
      <c r="B738" s="316"/>
      <c r="C738" s="41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  <c r="AA738" s="316"/>
      <c r="AB738" s="316"/>
      <c r="AC738" s="316"/>
      <c r="AD738" s="316"/>
      <c r="AE738" s="316"/>
      <c r="AF738" s="316"/>
      <c r="AG738" s="316"/>
      <c r="AH738" s="316"/>
      <c r="AI738" s="316"/>
      <c r="AJ738" s="316"/>
      <c r="AK738" s="316"/>
      <c r="AL738" s="316"/>
      <c r="AM738" s="316"/>
      <c r="AN738" s="316"/>
      <c r="AO738" s="316"/>
      <c r="AP738" s="316"/>
      <c r="AQ738" s="316"/>
      <c r="AR738" s="316"/>
    </row>
    <row r="739" spans="2:44" s="2" customFormat="1" ht="15.75" customHeight="1" x14ac:dyDescent="0.2">
      <c r="B739" s="316"/>
      <c r="C739" s="41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  <c r="AA739" s="316"/>
      <c r="AB739" s="316"/>
      <c r="AC739" s="316"/>
      <c r="AD739" s="316"/>
      <c r="AE739" s="316"/>
      <c r="AF739" s="316"/>
      <c r="AG739" s="316"/>
      <c r="AH739" s="316"/>
      <c r="AI739" s="316"/>
      <c r="AJ739" s="316"/>
      <c r="AK739" s="316"/>
      <c r="AL739" s="316"/>
      <c r="AM739" s="316"/>
      <c r="AN739" s="316"/>
      <c r="AO739" s="316"/>
      <c r="AP739" s="316"/>
      <c r="AQ739" s="316"/>
      <c r="AR739" s="316"/>
    </row>
    <row r="740" spans="2:44" s="2" customFormat="1" ht="15.75" customHeight="1" x14ac:dyDescent="0.2">
      <c r="B740" s="316"/>
      <c r="C740" s="41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  <c r="AA740" s="316"/>
      <c r="AB740" s="316"/>
      <c r="AC740" s="316"/>
      <c r="AD740" s="316"/>
      <c r="AE740" s="316"/>
      <c r="AF740" s="316"/>
      <c r="AG740" s="316"/>
      <c r="AH740" s="316"/>
      <c r="AI740" s="316"/>
      <c r="AJ740" s="316"/>
      <c r="AK740" s="316"/>
      <c r="AL740" s="316"/>
      <c r="AM740" s="316"/>
      <c r="AN740" s="316"/>
      <c r="AO740" s="316"/>
      <c r="AP740" s="316"/>
      <c r="AQ740" s="316"/>
      <c r="AR740" s="316"/>
    </row>
    <row r="741" spans="2:44" s="2" customFormat="1" ht="15.75" customHeight="1" x14ac:dyDescent="0.2">
      <c r="B741" s="316"/>
      <c r="C741" s="41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  <c r="AA741" s="316"/>
      <c r="AB741" s="316"/>
      <c r="AC741" s="316"/>
      <c r="AD741" s="316"/>
      <c r="AE741" s="316"/>
      <c r="AF741" s="316"/>
      <c r="AG741" s="316"/>
      <c r="AH741" s="316"/>
      <c r="AI741" s="316"/>
      <c r="AJ741" s="316"/>
      <c r="AK741" s="316"/>
      <c r="AL741" s="316"/>
      <c r="AM741" s="316"/>
      <c r="AN741" s="316"/>
      <c r="AO741" s="316"/>
      <c r="AP741" s="316"/>
      <c r="AQ741" s="316"/>
      <c r="AR741" s="316"/>
    </row>
    <row r="742" spans="2:44" s="2" customFormat="1" ht="15.75" customHeight="1" x14ac:dyDescent="0.2">
      <c r="B742" s="316"/>
      <c r="C742" s="41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  <c r="AA742" s="316"/>
      <c r="AB742" s="316"/>
      <c r="AC742" s="316"/>
      <c r="AD742" s="316"/>
      <c r="AE742" s="316"/>
      <c r="AF742" s="316"/>
      <c r="AG742" s="316"/>
      <c r="AH742" s="316"/>
      <c r="AI742" s="316"/>
      <c r="AJ742" s="316"/>
      <c r="AK742" s="316"/>
      <c r="AL742" s="316"/>
      <c r="AM742" s="316"/>
      <c r="AN742" s="316"/>
      <c r="AO742" s="316"/>
      <c r="AP742" s="316"/>
      <c r="AQ742" s="316"/>
      <c r="AR742" s="316"/>
    </row>
    <row r="743" spans="2:44" s="2" customFormat="1" ht="15.75" customHeight="1" x14ac:dyDescent="0.2">
      <c r="B743" s="316"/>
      <c r="C743" s="41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  <c r="AA743" s="316"/>
      <c r="AB743" s="316"/>
      <c r="AC743" s="316"/>
      <c r="AD743" s="316"/>
      <c r="AE743" s="316"/>
      <c r="AF743" s="316"/>
      <c r="AG743" s="316"/>
      <c r="AH743" s="316"/>
      <c r="AI743" s="316"/>
      <c r="AJ743" s="316"/>
      <c r="AK743" s="316"/>
      <c r="AL743" s="316"/>
      <c r="AM743" s="316"/>
      <c r="AN743" s="316"/>
      <c r="AO743" s="316"/>
      <c r="AP743" s="316"/>
      <c r="AQ743" s="316"/>
      <c r="AR743" s="316"/>
    </row>
    <row r="744" spans="2:44" s="2" customFormat="1" ht="15.75" customHeight="1" x14ac:dyDescent="0.2">
      <c r="B744" s="316"/>
      <c r="C744" s="41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  <c r="AA744" s="316"/>
      <c r="AB744" s="316"/>
      <c r="AC744" s="316"/>
      <c r="AD744" s="316"/>
      <c r="AE744" s="316"/>
      <c r="AF744" s="316"/>
      <c r="AG744" s="316"/>
      <c r="AH744" s="316"/>
      <c r="AI744" s="316"/>
      <c r="AJ744" s="316"/>
      <c r="AK744" s="316"/>
      <c r="AL744" s="316"/>
      <c r="AM744" s="316"/>
      <c r="AN744" s="316"/>
      <c r="AO744" s="316"/>
      <c r="AP744" s="316"/>
      <c r="AQ744" s="316"/>
      <c r="AR744" s="316"/>
    </row>
    <row r="745" spans="2:44" s="2" customFormat="1" ht="15.75" customHeight="1" x14ac:dyDescent="0.2">
      <c r="B745" s="316"/>
      <c r="C745" s="41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  <c r="AA745" s="316"/>
      <c r="AB745" s="316"/>
      <c r="AC745" s="316"/>
      <c r="AD745" s="316"/>
      <c r="AE745" s="316"/>
      <c r="AF745" s="316"/>
      <c r="AG745" s="316"/>
      <c r="AH745" s="316"/>
      <c r="AI745" s="316"/>
      <c r="AJ745" s="316"/>
      <c r="AK745" s="316"/>
      <c r="AL745" s="316"/>
      <c r="AM745" s="316"/>
      <c r="AN745" s="316"/>
      <c r="AO745" s="316"/>
      <c r="AP745" s="316"/>
      <c r="AQ745" s="316"/>
      <c r="AR745" s="316"/>
    </row>
    <row r="746" spans="2:44" s="2" customFormat="1" ht="15.75" customHeight="1" x14ac:dyDescent="0.2">
      <c r="B746" s="316"/>
      <c r="C746" s="41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  <c r="AA746" s="316"/>
      <c r="AB746" s="316"/>
      <c r="AC746" s="316"/>
      <c r="AD746" s="316"/>
      <c r="AE746" s="316"/>
      <c r="AF746" s="316"/>
      <c r="AG746" s="316"/>
      <c r="AH746" s="316"/>
      <c r="AI746" s="316"/>
      <c r="AJ746" s="316"/>
      <c r="AK746" s="316"/>
      <c r="AL746" s="316"/>
      <c r="AM746" s="316"/>
      <c r="AN746" s="316"/>
      <c r="AO746" s="316"/>
      <c r="AP746" s="316"/>
      <c r="AQ746" s="316"/>
      <c r="AR746" s="316"/>
    </row>
    <row r="747" spans="2:44" s="2" customFormat="1" ht="15.75" customHeight="1" x14ac:dyDescent="0.2">
      <c r="B747" s="316"/>
      <c r="C747" s="41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  <c r="AA747" s="316"/>
      <c r="AB747" s="316"/>
      <c r="AC747" s="316"/>
      <c r="AD747" s="316"/>
      <c r="AE747" s="316"/>
      <c r="AF747" s="316"/>
      <c r="AG747" s="316"/>
      <c r="AH747" s="316"/>
      <c r="AI747" s="316"/>
      <c r="AJ747" s="316"/>
      <c r="AK747" s="316"/>
      <c r="AL747" s="316"/>
      <c r="AM747" s="316"/>
      <c r="AN747" s="316"/>
      <c r="AO747" s="316"/>
      <c r="AP747" s="316"/>
      <c r="AQ747" s="316"/>
      <c r="AR747" s="316"/>
    </row>
    <row r="748" spans="2:44" s="2" customFormat="1" ht="15.75" customHeight="1" x14ac:dyDescent="0.2">
      <c r="B748" s="316"/>
      <c r="C748" s="41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  <c r="AA748" s="316"/>
      <c r="AB748" s="316"/>
      <c r="AC748" s="316"/>
      <c r="AD748" s="316"/>
      <c r="AE748" s="316"/>
      <c r="AF748" s="316"/>
      <c r="AG748" s="316"/>
      <c r="AH748" s="316"/>
      <c r="AI748" s="316"/>
      <c r="AJ748" s="316"/>
      <c r="AK748" s="316"/>
      <c r="AL748" s="316"/>
      <c r="AM748" s="316"/>
      <c r="AN748" s="316"/>
      <c r="AO748" s="316"/>
      <c r="AP748" s="316"/>
      <c r="AQ748" s="316"/>
      <c r="AR748" s="316"/>
    </row>
    <row r="749" spans="2:44" s="2" customFormat="1" ht="15.75" customHeight="1" x14ac:dyDescent="0.2">
      <c r="B749" s="316"/>
      <c r="C749" s="41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  <c r="AA749" s="316"/>
      <c r="AB749" s="316"/>
      <c r="AC749" s="316"/>
      <c r="AD749" s="316"/>
      <c r="AE749" s="316"/>
      <c r="AF749" s="316"/>
      <c r="AG749" s="316"/>
      <c r="AH749" s="316"/>
      <c r="AI749" s="316"/>
      <c r="AJ749" s="316"/>
      <c r="AK749" s="316"/>
      <c r="AL749" s="316"/>
      <c r="AM749" s="316"/>
      <c r="AN749" s="316"/>
      <c r="AO749" s="316"/>
      <c r="AP749" s="316"/>
      <c r="AQ749" s="316"/>
      <c r="AR749" s="316"/>
    </row>
    <row r="750" spans="2:44" s="2" customFormat="1" ht="15.75" customHeight="1" x14ac:dyDescent="0.2">
      <c r="B750" s="316"/>
      <c r="C750" s="41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  <c r="AA750" s="316"/>
      <c r="AB750" s="316"/>
      <c r="AC750" s="316"/>
      <c r="AD750" s="316"/>
      <c r="AE750" s="316"/>
      <c r="AF750" s="316"/>
      <c r="AG750" s="316"/>
      <c r="AH750" s="316"/>
      <c r="AI750" s="316"/>
      <c r="AJ750" s="316"/>
      <c r="AK750" s="316"/>
      <c r="AL750" s="316"/>
      <c r="AM750" s="316"/>
      <c r="AN750" s="316"/>
      <c r="AO750" s="316"/>
      <c r="AP750" s="316"/>
      <c r="AQ750" s="316"/>
      <c r="AR750" s="316"/>
    </row>
    <row r="751" spans="2:44" s="2" customFormat="1" ht="15.75" customHeight="1" x14ac:dyDescent="0.2">
      <c r="B751" s="316"/>
      <c r="C751" s="41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  <c r="AA751" s="316"/>
      <c r="AB751" s="316"/>
      <c r="AC751" s="316"/>
      <c r="AD751" s="316"/>
      <c r="AE751" s="316"/>
      <c r="AF751" s="316"/>
      <c r="AG751" s="316"/>
      <c r="AH751" s="316"/>
      <c r="AI751" s="316"/>
      <c r="AJ751" s="316"/>
      <c r="AK751" s="316"/>
      <c r="AL751" s="316"/>
      <c r="AM751" s="316"/>
      <c r="AN751" s="316"/>
      <c r="AO751" s="316"/>
      <c r="AP751" s="316"/>
      <c r="AQ751" s="316"/>
      <c r="AR751" s="316"/>
    </row>
    <row r="752" spans="2:44" s="2" customFormat="1" ht="15.75" customHeight="1" x14ac:dyDescent="0.2">
      <c r="B752" s="316"/>
      <c r="C752" s="41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  <c r="AA752" s="316"/>
      <c r="AB752" s="316"/>
      <c r="AC752" s="316"/>
      <c r="AD752" s="316"/>
      <c r="AE752" s="316"/>
      <c r="AF752" s="316"/>
      <c r="AG752" s="316"/>
      <c r="AH752" s="316"/>
      <c r="AI752" s="316"/>
      <c r="AJ752" s="316"/>
      <c r="AK752" s="316"/>
      <c r="AL752" s="316"/>
      <c r="AM752" s="316"/>
      <c r="AN752" s="316"/>
      <c r="AO752" s="316"/>
      <c r="AP752" s="316"/>
      <c r="AQ752" s="316"/>
      <c r="AR752" s="316"/>
    </row>
    <row r="753" spans="2:44" s="2" customFormat="1" ht="15.75" customHeight="1" x14ac:dyDescent="0.2">
      <c r="B753" s="316"/>
      <c r="C753" s="41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  <c r="AA753" s="316"/>
      <c r="AB753" s="316"/>
      <c r="AC753" s="316"/>
      <c r="AD753" s="316"/>
      <c r="AE753" s="316"/>
      <c r="AF753" s="316"/>
      <c r="AG753" s="316"/>
      <c r="AH753" s="316"/>
      <c r="AI753" s="316"/>
      <c r="AJ753" s="316"/>
      <c r="AK753" s="316"/>
      <c r="AL753" s="316"/>
      <c r="AM753" s="316"/>
      <c r="AN753" s="316"/>
      <c r="AO753" s="316"/>
      <c r="AP753" s="316"/>
      <c r="AQ753" s="316"/>
      <c r="AR753" s="316"/>
    </row>
    <row r="754" spans="2:44" s="2" customFormat="1" ht="15.75" customHeight="1" x14ac:dyDescent="0.2">
      <c r="B754" s="316"/>
      <c r="C754" s="41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  <c r="AA754" s="316"/>
      <c r="AB754" s="316"/>
      <c r="AC754" s="316"/>
      <c r="AD754" s="316"/>
      <c r="AE754" s="316"/>
      <c r="AF754" s="316"/>
      <c r="AG754" s="316"/>
      <c r="AH754" s="316"/>
      <c r="AI754" s="316"/>
      <c r="AJ754" s="316"/>
      <c r="AK754" s="316"/>
      <c r="AL754" s="316"/>
      <c r="AM754" s="316"/>
      <c r="AN754" s="316"/>
      <c r="AO754" s="316"/>
      <c r="AP754" s="316"/>
      <c r="AQ754" s="316"/>
      <c r="AR754" s="316"/>
    </row>
    <row r="755" spans="2:44" s="2" customFormat="1" ht="15.75" customHeight="1" x14ac:dyDescent="0.2">
      <c r="B755" s="316"/>
      <c r="C755" s="41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  <c r="AA755" s="316"/>
      <c r="AB755" s="316"/>
      <c r="AC755" s="316"/>
      <c r="AD755" s="316"/>
      <c r="AE755" s="316"/>
      <c r="AF755" s="316"/>
      <c r="AG755" s="316"/>
      <c r="AH755" s="316"/>
      <c r="AI755" s="316"/>
      <c r="AJ755" s="316"/>
      <c r="AK755" s="316"/>
      <c r="AL755" s="316"/>
      <c r="AM755" s="316"/>
      <c r="AN755" s="316"/>
      <c r="AO755" s="316"/>
      <c r="AP755" s="316"/>
      <c r="AQ755" s="316"/>
      <c r="AR755" s="316"/>
    </row>
    <row r="756" spans="2:44" s="2" customFormat="1" ht="15.75" customHeight="1" x14ac:dyDescent="0.2">
      <c r="B756" s="316"/>
      <c r="C756" s="41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  <c r="AA756" s="316"/>
      <c r="AB756" s="316"/>
      <c r="AC756" s="316"/>
      <c r="AD756" s="316"/>
      <c r="AE756" s="316"/>
      <c r="AF756" s="316"/>
      <c r="AG756" s="316"/>
      <c r="AH756" s="316"/>
      <c r="AI756" s="316"/>
      <c r="AJ756" s="316"/>
      <c r="AK756" s="316"/>
      <c r="AL756" s="316"/>
      <c r="AM756" s="316"/>
      <c r="AN756" s="316"/>
      <c r="AO756" s="316"/>
      <c r="AP756" s="316"/>
      <c r="AQ756" s="316"/>
      <c r="AR756" s="316"/>
    </row>
    <row r="757" spans="2:44" s="2" customFormat="1" ht="15.75" customHeight="1" x14ac:dyDescent="0.2">
      <c r="B757" s="316"/>
      <c r="C757" s="41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  <c r="AA757" s="316"/>
      <c r="AB757" s="316"/>
      <c r="AC757" s="316"/>
      <c r="AD757" s="316"/>
      <c r="AE757" s="316"/>
      <c r="AF757" s="316"/>
      <c r="AG757" s="316"/>
      <c r="AH757" s="316"/>
      <c r="AI757" s="316"/>
      <c r="AJ757" s="316"/>
      <c r="AK757" s="316"/>
      <c r="AL757" s="316"/>
      <c r="AM757" s="316"/>
      <c r="AN757" s="316"/>
      <c r="AO757" s="316"/>
      <c r="AP757" s="316"/>
      <c r="AQ757" s="316"/>
      <c r="AR757" s="316"/>
    </row>
    <row r="758" spans="2:44" s="2" customFormat="1" ht="15.75" customHeight="1" x14ac:dyDescent="0.2">
      <c r="B758" s="316"/>
      <c r="C758" s="41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  <c r="AA758" s="316"/>
      <c r="AB758" s="316"/>
      <c r="AC758" s="316"/>
      <c r="AD758" s="316"/>
      <c r="AE758" s="316"/>
      <c r="AF758" s="316"/>
      <c r="AG758" s="316"/>
      <c r="AH758" s="316"/>
      <c r="AI758" s="316"/>
      <c r="AJ758" s="316"/>
      <c r="AK758" s="316"/>
      <c r="AL758" s="316"/>
      <c r="AM758" s="316"/>
      <c r="AN758" s="316"/>
      <c r="AO758" s="316"/>
      <c r="AP758" s="316"/>
      <c r="AQ758" s="316"/>
      <c r="AR758" s="316"/>
    </row>
    <row r="759" spans="2:44" s="2" customFormat="1" ht="15.75" customHeight="1" x14ac:dyDescent="0.2">
      <c r="B759" s="316"/>
      <c r="C759" s="41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  <c r="AA759" s="316"/>
      <c r="AB759" s="316"/>
      <c r="AC759" s="316"/>
      <c r="AD759" s="316"/>
      <c r="AE759" s="316"/>
      <c r="AF759" s="316"/>
      <c r="AG759" s="316"/>
      <c r="AH759" s="316"/>
      <c r="AI759" s="316"/>
      <c r="AJ759" s="316"/>
      <c r="AK759" s="316"/>
      <c r="AL759" s="316"/>
      <c r="AM759" s="316"/>
      <c r="AN759" s="316"/>
      <c r="AO759" s="316"/>
      <c r="AP759" s="316"/>
      <c r="AQ759" s="316"/>
      <c r="AR759" s="316"/>
    </row>
    <row r="760" spans="2:44" s="2" customFormat="1" ht="15.75" customHeight="1" x14ac:dyDescent="0.2">
      <c r="B760" s="316"/>
      <c r="C760" s="41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  <c r="AA760" s="316"/>
      <c r="AB760" s="316"/>
      <c r="AC760" s="316"/>
      <c r="AD760" s="316"/>
      <c r="AE760" s="316"/>
      <c r="AF760" s="316"/>
      <c r="AG760" s="316"/>
      <c r="AH760" s="316"/>
      <c r="AI760" s="316"/>
      <c r="AJ760" s="316"/>
      <c r="AK760" s="316"/>
      <c r="AL760" s="316"/>
      <c r="AM760" s="316"/>
      <c r="AN760" s="316"/>
      <c r="AO760" s="316"/>
      <c r="AP760" s="316"/>
      <c r="AQ760" s="316"/>
      <c r="AR760" s="316"/>
    </row>
    <row r="761" spans="2:44" s="2" customFormat="1" ht="15.75" customHeight="1" x14ac:dyDescent="0.2">
      <c r="B761" s="316"/>
      <c r="C761" s="41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  <c r="AA761" s="316"/>
      <c r="AB761" s="316"/>
      <c r="AC761" s="316"/>
      <c r="AD761" s="316"/>
      <c r="AE761" s="316"/>
      <c r="AF761" s="316"/>
      <c r="AG761" s="316"/>
      <c r="AH761" s="316"/>
      <c r="AI761" s="316"/>
      <c r="AJ761" s="316"/>
      <c r="AK761" s="316"/>
      <c r="AL761" s="316"/>
      <c r="AM761" s="316"/>
      <c r="AN761" s="316"/>
      <c r="AO761" s="316"/>
      <c r="AP761" s="316"/>
      <c r="AQ761" s="316"/>
      <c r="AR761" s="316"/>
    </row>
    <row r="762" spans="2:44" s="2" customFormat="1" ht="15.75" customHeight="1" x14ac:dyDescent="0.2">
      <c r="B762" s="316"/>
      <c r="C762" s="41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  <c r="AA762" s="316"/>
      <c r="AB762" s="316"/>
      <c r="AC762" s="316"/>
      <c r="AD762" s="316"/>
      <c r="AE762" s="316"/>
      <c r="AF762" s="316"/>
      <c r="AG762" s="316"/>
      <c r="AH762" s="316"/>
      <c r="AI762" s="316"/>
      <c r="AJ762" s="316"/>
      <c r="AK762" s="316"/>
      <c r="AL762" s="316"/>
      <c r="AM762" s="316"/>
      <c r="AN762" s="316"/>
      <c r="AO762" s="316"/>
      <c r="AP762" s="316"/>
      <c r="AQ762" s="316"/>
      <c r="AR762" s="316"/>
    </row>
    <row r="763" spans="2:44" s="2" customFormat="1" ht="15.75" customHeight="1" x14ac:dyDescent="0.2">
      <c r="B763" s="316"/>
      <c r="C763" s="41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  <c r="AA763" s="316"/>
      <c r="AB763" s="316"/>
      <c r="AC763" s="316"/>
      <c r="AD763" s="316"/>
      <c r="AE763" s="316"/>
      <c r="AF763" s="316"/>
      <c r="AG763" s="316"/>
      <c r="AH763" s="316"/>
      <c r="AI763" s="316"/>
      <c r="AJ763" s="316"/>
      <c r="AK763" s="316"/>
      <c r="AL763" s="316"/>
      <c r="AM763" s="316"/>
      <c r="AN763" s="316"/>
      <c r="AO763" s="316"/>
      <c r="AP763" s="316"/>
      <c r="AQ763" s="316"/>
      <c r="AR763" s="316"/>
    </row>
    <row r="764" spans="2:44" s="2" customFormat="1" ht="15.75" customHeight="1" x14ac:dyDescent="0.2">
      <c r="B764" s="316"/>
      <c r="C764" s="41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  <c r="AA764" s="316"/>
      <c r="AB764" s="316"/>
      <c r="AC764" s="316"/>
      <c r="AD764" s="316"/>
      <c r="AE764" s="316"/>
      <c r="AF764" s="316"/>
      <c r="AG764" s="316"/>
      <c r="AH764" s="316"/>
      <c r="AI764" s="316"/>
      <c r="AJ764" s="316"/>
      <c r="AK764" s="316"/>
      <c r="AL764" s="316"/>
      <c r="AM764" s="316"/>
      <c r="AN764" s="316"/>
      <c r="AO764" s="316"/>
      <c r="AP764" s="316"/>
      <c r="AQ764" s="316"/>
      <c r="AR764" s="316"/>
    </row>
    <row r="765" spans="2:44" s="2" customFormat="1" ht="15.75" customHeight="1" x14ac:dyDescent="0.2">
      <c r="B765" s="316"/>
      <c r="C765" s="41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  <c r="AA765" s="316"/>
      <c r="AB765" s="316"/>
      <c r="AC765" s="316"/>
      <c r="AD765" s="316"/>
      <c r="AE765" s="316"/>
      <c r="AF765" s="316"/>
      <c r="AG765" s="316"/>
      <c r="AH765" s="316"/>
      <c r="AI765" s="316"/>
      <c r="AJ765" s="316"/>
      <c r="AK765" s="316"/>
      <c r="AL765" s="316"/>
      <c r="AM765" s="316"/>
      <c r="AN765" s="316"/>
      <c r="AO765" s="316"/>
      <c r="AP765" s="316"/>
      <c r="AQ765" s="316"/>
      <c r="AR765" s="316"/>
    </row>
    <row r="766" spans="2:44" s="2" customFormat="1" ht="15.75" customHeight="1" x14ac:dyDescent="0.2">
      <c r="B766" s="316"/>
      <c r="C766" s="41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  <c r="AA766" s="316"/>
      <c r="AB766" s="316"/>
      <c r="AC766" s="316"/>
      <c r="AD766" s="316"/>
      <c r="AE766" s="316"/>
      <c r="AF766" s="316"/>
      <c r="AG766" s="316"/>
      <c r="AH766" s="316"/>
      <c r="AI766" s="316"/>
      <c r="AJ766" s="316"/>
      <c r="AK766" s="316"/>
      <c r="AL766" s="316"/>
      <c r="AM766" s="316"/>
      <c r="AN766" s="316"/>
      <c r="AO766" s="316"/>
      <c r="AP766" s="316"/>
      <c r="AQ766" s="316"/>
      <c r="AR766" s="316"/>
    </row>
    <row r="767" spans="2:44" s="2" customFormat="1" ht="15.75" customHeight="1" x14ac:dyDescent="0.2">
      <c r="B767" s="316"/>
      <c r="C767" s="41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  <c r="AA767" s="316"/>
      <c r="AB767" s="316"/>
      <c r="AC767" s="316"/>
      <c r="AD767" s="316"/>
      <c r="AE767" s="316"/>
      <c r="AF767" s="316"/>
      <c r="AG767" s="316"/>
      <c r="AH767" s="316"/>
      <c r="AI767" s="316"/>
      <c r="AJ767" s="316"/>
      <c r="AK767" s="316"/>
      <c r="AL767" s="316"/>
      <c r="AM767" s="316"/>
      <c r="AN767" s="316"/>
      <c r="AO767" s="316"/>
      <c r="AP767" s="316"/>
      <c r="AQ767" s="316"/>
      <c r="AR767" s="316"/>
    </row>
    <row r="768" spans="2:44" s="2" customFormat="1" ht="15.75" customHeight="1" x14ac:dyDescent="0.2">
      <c r="B768" s="316"/>
      <c r="C768" s="41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  <c r="AA768" s="316"/>
      <c r="AB768" s="316"/>
      <c r="AC768" s="316"/>
      <c r="AD768" s="316"/>
      <c r="AE768" s="316"/>
      <c r="AF768" s="316"/>
      <c r="AG768" s="316"/>
      <c r="AH768" s="316"/>
      <c r="AI768" s="316"/>
      <c r="AJ768" s="316"/>
      <c r="AK768" s="316"/>
      <c r="AL768" s="316"/>
      <c r="AM768" s="316"/>
      <c r="AN768" s="316"/>
      <c r="AO768" s="316"/>
      <c r="AP768" s="316"/>
      <c r="AQ768" s="316"/>
      <c r="AR768" s="316"/>
    </row>
    <row r="769" spans="2:44" s="2" customFormat="1" ht="15.75" customHeight="1" x14ac:dyDescent="0.2">
      <c r="B769" s="316"/>
      <c r="C769" s="41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  <c r="AA769" s="316"/>
      <c r="AB769" s="316"/>
      <c r="AC769" s="316"/>
      <c r="AD769" s="316"/>
      <c r="AE769" s="316"/>
      <c r="AF769" s="316"/>
      <c r="AG769" s="316"/>
      <c r="AH769" s="316"/>
      <c r="AI769" s="316"/>
      <c r="AJ769" s="316"/>
      <c r="AK769" s="316"/>
      <c r="AL769" s="316"/>
      <c r="AM769" s="316"/>
      <c r="AN769" s="316"/>
      <c r="AO769" s="316"/>
      <c r="AP769" s="316"/>
      <c r="AQ769" s="316"/>
      <c r="AR769" s="316"/>
    </row>
    <row r="770" spans="2:44" s="2" customFormat="1" ht="15.75" customHeight="1" x14ac:dyDescent="0.2">
      <c r="B770" s="316"/>
      <c r="C770" s="41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  <c r="AA770" s="316"/>
      <c r="AB770" s="316"/>
      <c r="AC770" s="316"/>
      <c r="AD770" s="316"/>
      <c r="AE770" s="316"/>
      <c r="AF770" s="316"/>
      <c r="AG770" s="316"/>
      <c r="AH770" s="316"/>
      <c r="AI770" s="316"/>
      <c r="AJ770" s="316"/>
      <c r="AK770" s="316"/>
      <c r="AL770" s="316"/>
      <c r="AM770" s="316"/>
      <c r="AN770" s="316"/>
      <c r="AO770" s="316"/>
      <c r="AP770" s="316"/>
      <c r="AQ770" s="316"/>
      <c r="AR770" s="316"/>
    </row>
    <row r="771" spans="2:44" s="2" customFormat="1" ht="15.75" customHeight="1" x14ac:dyDescent="0.2">
      <c r="B771" s="316"/>
      <c r="C771" s="41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  <c r="AA771" s="316"/>
      <c r="AB771" s="316"/>
      <c r="AC771" s="316"/>
      <c r="AD771" s="316"/>
      <c r="AE771" s="316"/>
      <c r="AF771" s="316"/>
      <c r="AG771" s="316"/>
      <c r="AH771" s="316"/>
      <c r="AI771" s="316"/>
      <c r="AJ771" s="316"/>
      <c r="AK771" s="316"/>
      <c r="AL771" s="316"/>
      <c r="AM771" s="316"/>
      <c r="AN771" s="316"/>
      <c r="AO771" s="316"/>
      <c r="AP771" s="316"/>
      <c r="AQ771" s="316"/>
      <c r="AR771" s="316"/>
    </row>
    <row r="772" spans="2:44" s="2" customFormat="1" ht="15.75" customHeight="1" x14ac:dyDescent="0.2">
      <c r="B772" s="316"/>
      <c r="C772" s="41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  <c r="AA772" s="316"/>
      <c r="AB772" s="316"/>
      <c r="AC772" s="316"/>
      <c r="AD772" s="316"/>
      <c r="AE772" s="316"/>
      <c r="AF772" s="316"/>
      <c r="AG772" s="316"/>
      <c r="AH772" s="316"/>
      <c r="AI772" s="316"/>
      <c r="AJ772" s="316"/>
      <c r="AK772" s="316"/>
      <c r="AL772" s="316"/>
      <c r="AM772" s="316"/>
      <c r="AN772" s="316"/>
      <c r="AO772" s="316"/>
      <c r="AP772" s="316"/>
      <c r="AQ772" s="316"/>
      <c r="AR772" s="316"/>
    </row>
    <row r="773" spans="2:44" s="2" customFormat="1" ht="15.75" customHeight="1" x14ac:dyDescent="0.2">
      <c r="B773" s="316"/>
      <c r="C773" s="41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  <c r="AA773" s="316"/>
      <c r="AB773" s="316"/>
      <c r="AC773" s="316"/>
      <c r="AD773" s="316"/>
      <c r="AE773" s="316"/>
      <c r="AF773" s="316"/>
      <c r="AG773" s="316"/>
      <c r="AH773" s="316"/>
      <c r="AI773" s="316"/>
      <c r="AJ773" s="316"/>
      <c r="AK773" s="316"/>
      <c r="AL773" s="316"/>
      <c r="AM773" s="316"/>
      <c r="AN773" s="316"/>
      <c r="AO773" s="316"/>
      <c r="AP773" s="316"/>
      <c r="AQ773" s="316"/>
      <c r="AR773" s="316"/>
    </row>
    <row r="774" spans="2:44" s="2" customFormat="1" ht="15.75" customHeight="1" x14ac:dyDescent="0.2">
      <c r="B774" s="316"/>
      <c r="C774" s="41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  <c r="AA774" s="316"/>
      <c r="AB774" s="316"/>
      <c r="AC774" s="316"/>
      <c r="AD774" s="316"/>
      <c r="AE774" s="316"/>
      <c r="AF774" s="316"/>
      <c r="AG774" s="316"/>
      <c r="AH774" s="316"/>
      <c r="AI774" s="316"/>
      <c r="AJ774" s="316"/>
      <c r="AK774" s="316"/>
      <c r="AL774" s="316"/>
      <c r="AM774" s="316"/>
      <c r="AN774" s="316"/>
      <c r="AO774" s="316"/>
      <c r="AP774" s="316"/>
      <c r="AQ774" s="316"/>
      <c r="AR774" s="316"/>
    </row>
    <row r="775" spans="2:44" s="2" customFormat="1" ht="15.75" customHeight="1" x14ac:dyDescent="0.2">
      <c r="B775" s="316"/>
      <c r="C775" s="41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  <c r="AA775" s="316"/>
      <c r="AB775" s="316"/>
      <c r="AC775" s="316"/>
      <c r="AD775" s="316"/>
      <c r="AE775" s="316"/>
      <c r="AF775" s="316"/>
      <c r="AG775" s="316"/>
      <c r="AH775" s="316"/>
      <c r="AI775" s="316"/>
      <c r="AJ775" s="316"/>
      <c r="AK775" s="316"/>
      <c r="AL775" s="316"/>
      <c r="AM775" s="316"/>
      <c r="AN775" s="316"/>
      <c r="AO775" s="316"/>
      <c r="AP775" s="316"/>
      <c r="AQ775" s="316"/>
      <c r="AR775" s="316"/>
    </row>
    <row r="776" spans="2:44" s="2" customFormat="1" ht="15.75" customHeight="1" x14ac:dyDescent="0.2">
      <c r="B776" s="316"/>
      <c r="C776" s="41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  <c r="AA776" s="316"/>
      <c r="AB776" s="316"/>
      <c r="AC776" s="316"/>
      <c r="AD776" s="316"/>
      <c r="AE776" s="316"/>
      <c r="AF776" s="316"/>
      <c r="AG776" s="316"/>
      <c r="AH776" s="316"/>
      <c r="AI776" s="316"/>
      <c r="AJ776" s="316"/>
      <c r="AK776" s="316"/>
      <c r="AL776" s="316"/>
      <c r="AM776" s="316"/>
      <c r="AN776" s="316"/>
      <c r="AO776" s="316"/>
      <c r="AP776" s="316"/>
      <c r="AQ776" s="316"/>
      <c r="AR776" s="316"/>
    </row>
    <row r="777" spans="2:44" s="2" customFormat="1" ht="15.75" customHeight="1" x14ac:dyDescent="0.2">
      <c r="B777" s="316"/>
      <c r="C777" s="41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  <c r="AA777" s="316"/>
      <c r="AB777" s="316"/>
      <c r="AC777" s="316"/>
      <c r="AD777" s="316"/>
      <c r="AE777" s="316"/>
      <c r="AF777" s="316"/>
      <c r="AG777" s="316"/>
      <c r="AH777" s="316"/>
      <c r="AI777" s="316"/>
      <c r="AJ777" s="316"/>
      <c r="AK777" s="316"/>
      <c r="AL777" s="316"/>
      <c r="AM777" s="316"/>
      <c r="AN777" s="316"/>
      <c r="AO777" s="316"/>
      <c r="AP777" s="316"/>
      <c r="AQ777" s="316"/>
      <c r="AR777" s="316"/>
    </row>
    <row r="778" spans="2:44" s="2" customFormat="1" ht="15.75" customHeight="1" x14ac:dyDescent="0.2">
      <c r="B778" s="316"/>
      <c r="C778" s="41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  <c r="AA778" s="316"/>
      <c r="AB778" s="316"/>
      <c r="AC778" s="316"/>
      <c r="AD778" s="316"/>
      <c r="AE778" s="316"/>
      <c r="AF778" s="316"/>
      <c r="AG778" s="316"/>
      <c r="AH778" s="316"/>
      <c r="AI778" s="316"/>
      <c r="AJ778" s="316"/>
      <c r="AK778" s="316"/>
      <c r="AL778" s="316"/>
      <c r="AM778" s="316"/>
      <c r="AN778" s="316"/>
      <c r="AO778" s="316"/>
      <c r="AP778" s="316"/>
      <c r="AQ778" s="316"/>
      <c r="AR778" s="316"/>
    </row>
    <row r="779" spans="2:44" s="2" customFormat="1" ht="15.75" customHeight="1" x14ac:dyDescent="0.2">
      <c r="B779" s="316"/>
      <c r="C779" s="41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  <c r="AA779" s="316"/>
      <c r="AB779" s="316"/>
      <c r="AC779" s="316"/>
      <c r="AD779" s="316"/>
      <c r="AE779" s="316"/>
      <c r="AF779" s="316"/>
      <c r="AG779" s="316"/>
      <c r="AH779" s="316"/>
      <c r="AI779" s="316"/>
      <c r="AJ779" s="316"/>
      <c r="AK779" s="316"/>
      <c r="AL779" s="316"/>
      <c r="AM779" s="316"/>
      <c r="AN779" s="316"/>
      <c r="AO779" s="316"/>
      <c r="AP779" s="316"/>
      <c r="AQ779" s="316"/>
      <c r="AR779" s="316"/>
    </row>
  </sheetData>
  <mergeCells count="2">
    <mergeCell ref="B2:C2"/>
    <mergeCell ref="B3:C3"/>
  </mergeCells>
  <phoneticPr fontId="12" type="noConversion"/>
  <pageMargins left="0.70866141732283472" right="0.70866141732283472" top="0.35433070866141736" bottom="0.35433070866141736" header="0.31496062992125984" footer="0.31496062992125984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zoomScaleNormal="100" workbookViewId="0">
      <selection activeCell="F26" sqref="F26"/>
    </sheetView>
  </sheetViews>
  <sheetFormatPr defaultRowHeight="12.75" x14ac:dyDescent="0.2"/>
  <cols>
    <col min="1" max="1" width="38.7109375" customWidth="1"/>
    <col min="2" max="2" width="12.7109375" customWidth="1"/>
    <col min="3" max="3" width="12.7109375" style="121" customWidth="1"/>
    <col min="4" max="11" width="12.7109375" customWidth="1"/>
    <col min="12" max="12" width="10.28515625" customWidth="1"/>
  </cols>
  <sheetData>
    <row r="1" spans="1:26" ht="13.5" customHeight="1" x14ac:dyDescent="0.2">
      <c r="A1" s="5"/>
      <c r="B1" s="5"/>
      <c r="C1" s="5"/>
      <c r="D1" s="5"/>
      <c r="E1" s="5"/>
      <c r="F1" s="140" t="s">
        <v>598</v>
      </c>
      <c r="G1" s="9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3.5" customHeight="1" x14ac:dyDescent="0.2">
      <c r="A2" s="5"/>
      <c r="B2" s="5"/>
      <c r="C2" s="5"/>
      <c r="D2" s="5"/>
      <c r="E2" s="5"/>
      <c r="F2" s="219" t="str">
        <f>'1.Bev-kiad.'!F2</f>
        <v>a 3/2021.(V.28.) önkormányzati rendelethez</v>
      </c>
      <c r="G2" s="96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3.5" customHeight="1" x14ac:dyDescent="0.2">
      <c r="A3" s="97"/>
      <c r="B3" s="5"/>
      <c r="C3" s="98"/>
      <c r="D3" s="5"/>
      <c r="E3" s="5"/>
      <c r="F3" s="1"/>
      <c r="G3" s="99"/>
      <c r="H3" s="5"/>
      <c r="I3" s="5"/>
      <c r="J3" s="5"/>
      <c r="K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s="4" customFormat="1" ht="13.5" customHeight="1" x14ac:dyDescent="0.2">
      <c r="A4" s="668" t="s">
        <v>990</v>
      </c>
      <c r="B4" s="668"/>
      <c r="C4" s="668"/>
      <c r="D4" s="668"/>
      <c r="E4" s="668"/>
      <c r="F4" s="668"/>
      <c r="G4" s="102"/>
      <c r="H4" s="58"/>
      <c r="I4" s="58"/>
      <c r="J4" s="58"/>
      <c r="K4" s="58"/>
      <c r="L4" s="5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s="4" customFormat="1" ht="13.5" customHeight="1" x14ac:dyDescent="0.2">
      <c r="A5" s="101" t="s">
        <v>989</v>
      </c>
      <c r="B5" s="5"/>
      <c r="C5" s="98"/>
      <c r="D5" s="58"/>
      <c r="E5" s="58"/>
      <c r="F5" s="223"/>
      <c r="G5" s="102"/>
      <c r="H5" s="58"/>
      <c r="I5" s="58"/>
      <c r="J5" s="58"/>
      <c r="K5" s="5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</row>
    <row r="6" spans="1:26" s="4" customFormat="1" ht="13.5" customHeight="1" thickBot="1" x14ac:dyDescent="0.25">
      <c r="A6" s="5"/>
      <c r="B6" s="5"/>
      <c r="C6" s="98"/>
      <c r="F6" s="222" t="s">
        <v>23</v>
      </c>
      <c r="G6" s="103"/>
      <c r="H6" s="58"/>
      <c r="I6" s="58"/>
      <c r="J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6" s="4" customFormat="1" ht="44.25" customHeight="1" thickBot="1" x14ac:dyDescent="0.25">
      <c r="A7" s="104" t="s">
        <v>318</v>
      </c>
      <c r="B7" s="105" t="s">
        <v>47</v>
      </c>
      <c r="C7" s="267">
        <v>2020</v>
      </c>
      <c r="D7" s="267">
        <v>2021</v>
      </c>
      <c r="E7" s="267">
        <v>2022</v>
      </c>
      <c r="F7" s="268">
        <v>2023</v>
      </c>
      <c r="G7" s="106"/>
    </row>
    <row r="8" spans="1:26" s="4" customFormat="1" ht="13.5" customHeight="1" x14ac:dyDescent="0.2">
      <c r="A8" s="107" t="s">
        <v>48</v>
      </c>
      <c r="B8" s="108"/>
      <c r="C8" s="177"/>
      <c r="D8" s="108"/>
      <c r="E8" s="108"/>
      <c r="F8" s="108"/>
      <c r="G8" s="109"/>
    </row>
    <row r="9" spans="1:26" s="4" customFormat="1" ht="13.5" customHeight="1" x14ac:dyDescent="0.2">
      <c r="A9" s="31" t="s">
        <v>50</v>
      </c>
      <c r="B9" s="32"/>
      <c r="C9" s="178"/>
      <c r="D9" s="31"/>
      <c r="E9" s="31"/>
      <c r="F9" s="31"/>
      <c r="G9" s="109"/>
    </row>
    <row r="10" spans="1:26" s="4" customFormat="1" ht="13.5" customHeight="1" x14ac:dyDescent="0.2">
      <c r="A10" s="66" t="s">
        <v>49</v>
      </c>
      <c r="B10" s="110"/>
      <c r="C10" s="178"/>
      <c r="D10" s="31"/>
      <c r="E10" s="31"/>
      <c r="F10" s="31"/>
      <c r="G10" s="109"/>
    </row>
    <row r="11" spans="1:26" s="4" customFormat="1" ht="13.5" customHeight="1" x14ac:dyDescent="0.2">
      <c r="A11" s="66" t="s">
        <v>50</v>
      </c>
      <c r="B11" s="65"/>
      <c r="C11" s="179"/>
      <c r="D11" s="65"/>
      <c r="E11" s="65"/>
      <c r="F11" s="31"/>
      <c r="G11" s="109"/>
    </row>
    <row r="12" spans="1:26" s="4" customFormat="1" ht="13.5" customHeight="1" x14ac:dyDescent="0.2">
      <c r="A12" s="31" t="s">
        <v>51</v>
      </c>
      <c r="B12" s="32"/>
      <c r="C12" s="178"/>
      <c r="D12" s="31"/>
      <c r="E12" s="31"/>
      <c r="F12" s="31"/>
      <c r="G12" s="109"/>
    </row>
    <row r="13" spans="1:26" s="4" customFormat="1" ht="13.5" customHeight="1" thickBot="1" x14ac:dyDescent="0.25">
      <c r="A13" s="111" t="s">
        <v>50</v>
      </c>
      <c r="B13" s="32"/>
      <c r="C13" s="178"/>
      <c r="D13" s="31"/>
      <c r="E13" s="31"/>
      <c r="F13" s="31"/>
      <c r="G13" s="33"/>
    </row>
    <row r="14" spans="1:26" s="4" customFormat="1" ht="13.5" customHeight="1" thickBot="1" x14ac:dyDescent="0.25">
      <c r="A14" s="112" t="s">
        <v>38</v>
      </c>
      <c r="B14" s="113">
        <f>SUM(B9:B13)</f>
        <v>0</v>
      </c>
      <c r="C14" s="180">
        <f>SUM(C9:C13)</f>
        <v>0</v>
      </c>
      <c r="D14" s="113">
        <f>SUM(D9:D13)</f>
        <v>0</v>
      </c>
      <c r="E14" s="173">
        <v>0</v>
      </c>
      <c r="F14" s="114">
        <f>SUM(F9:F13)</f>
        <v>0</v>
      </c>
      <c r="G14" s="115"/>
    </row>
    <row r="15" spans="1:26" s="4" customFormat="1" ht="13.5" customHeight="1" x14ac:dyDescent="0.2">
      <c r="A15" s="5"/>
      <c r="B15" s="5"/>
      <c r="C15" s="5"/>
      <c r="D15" s="58"/>
      <c r="E15" s="58"/>
      <c r="F15" s="58"/>
      <c r="G15" s="58"/>
      <c r="H15" s="58"/>
      <c r="I15" s="58"/>
      <c r="J15" s="58"/>
      <c r="K15" s="58"/>
    </row>
    <row r="16" spans="1:26" ht="12.95" customHeight="1" x14ac:dyDescent="0.2">
      <c r="A16" s="116"/>
      <c r="B16" s="116"/>
      <c r="C16" s="116"/>
      <c r="D16" s="116"/>
      <c r="E16" s="116"/>
      <c r="F16" s="116"/>
      <c r="G16" s="116"/>
    </row>
    <row r="17" spans="2:12" ht="12.95" customHeight="1" x14ac:dyDescent="0.2">
      <c r="B17" s="81"/>
      <c r="C17" s="120"/>
      <c r="D17" s="4"/>
      <c r="E17" s="4"/>
      <c r="F17" s="4"/>
      <c r="G17" s="4"/>
      <c r="H17" s="4"/>
      <c r="I17" s="4"/>
      <c r="J17" s="4"/>
      <c r="K17" s="4"/>
      <c r="L17" s="4"/>
    </row>
    <row r="18" spans="2:12" ht="12.95" customHeight="1" x14ac:dyDescent="0.2">
      <c r="B18" s="81"/>
      <c r="C18" s="120"/>
      <c r="D18" s="4"/>
      <c r="E18" s="4"/>
      <c r="F18" s="4"/>
      <c r="G18" s="4"/>
      <c r="H18" s="4"/>
      <c r="I18" s="4"/>
      <c r="J18" s="4"/>
      <c r="K18" s="4"/>
      <c r="L18" s="4"/>
    </row>
    <row r="19" spans="2:12" ht="12.95" customHeight="1" x14ac:dyDescent="0.2">
      <c r="B19" s="81"/>
      <c r="C19" s="120"/>
      <c r="D19" s="4"/>
      <c r="E19" s="4"/>
      <c r="F19" s="4"/>
      <c r="G19" s="4"/>
      <c r="H19" s="4"/>
      <c r="I19" s="4"/>
      <c r="J19" s="4"/>
      <c r="K19" s="4"/>
      <c r="L19" s="4"/>
    </row>
    <row r="20" spans="2:12" ht="12.95" customHeight="1" x14ac:dyDescent="0.2">
      <c r="B20" s="81"/>
      <c r="C20" s="120"/>
      <c r="D20" s="4"/>
      <c r="E20" s="4"/>
      <c r="F20" s="4"/>
      <c r="G20" s="4"/>
      <c r="H20" s="4"/>
      <c r="I20" s="4"/>
      <c r="J20" s="4"/>
      <c r="K20" s="4"/>
      <c r="L20" s="4"/>
    </row>
    <row r="21" spans="2:12" ht="12.95" customHeight="1" x14ac:dyDescent="0.2">
      <c r="B21" s="81"/>
      <c r="C21" s="120"/>
      <c r="D21" s="4"/>
      <c r="E21" s="4"/>
      <c r="F21" s="4"/>
      <c r="G21" s="4"/>
      <c r="H21" s="4"/>
      <c r="I21" s="4"/>
      <c r="J21" s="4"/>
      <c r="K21" s="4"/>
      <c r="L21" s="4"/>
    </row>
    <row r="22" spans="2:12" ht="12.95" customHeight="1" x14ac:dyDescent="0.2">
      <c r="B22" s="81"/>
      <c r="C22" s="120"/>
      <c r="D22" s="4"/>
      <c r="E22" s="4"/>
      <c r="F22" s="4"/>
      <c r="G22" s="4"/>
      <c r="H22" s="4"/>
      <c r="I22" s="4"/>
      <c r="J22" s="4"/>
      <c r="K22" s="4"/>
      <c r="L22" s="4"/>
    </row>
    <row r="23" spans="2:12" ht="12.95" customHeight="1" x14ac:dyDescent="0.2">
      <c r="B23" s="81"/>
      <c r="C23" s="120"/>
      <c r="D23" s="4"/>
      <c r="E23" s="4"/>
      <c r="F23" s="4"/>
      <c r="G23" s="4"/>
      <c r="H23" s="4"/>
      <c r="I23" s="4"/>
      <c r="J23" s="4"/>
      <c r="K23" s="4"/>
      <c r="L23" s="4"/>
    </row>
    <row r="24" spans="2:12" ht="12.95" customHeight="1" x14ac:dyDescent="0.2">
      <c r="B24" s="81"/>
      <c r="C24" s="120"/>
      <c r="D24" s="4"/>
      <c r="E24" s="4"/>
      <c r="F24" s="4"/>
      <c r="G24" s="4"/>
      <c r="H24" s="4"/>
      <c r="I24" s="4"/>
      <c r="J24" s="4"/>
      <c r="K24" s="4"/>
      <c r="L24" s="4"/>
    </row>
    <row r="25" spans="2:12" ht="12.95" customHeight="1" x14ac:dyDescent="0.2">
      <c r="B25" s="81"/>
      <c r="C25" s="120"/>
      <c r="D25" s="4"/>
      <c r="E25" s="4"/>
      <c r="F25" s="4"/>
      <c r="G25" s="4"/>
      <c r="H25" s="4"/>
      <c r="I25" s="4"/>
      <c r="J25" s="4"/>
      <c r="K25" s="4"/>
      <c r="L25" s="4"/>
    </row>
    <row r="26" spans="2:12" ht="12.95" customHeight="1" x14ac:dyDescent="0.2">
      <c r="B26" s="81"/>
      <c r="C26" s="120"/>
      <c r="D26" s="4"/>
      <c r="E26" s="4"/>
      <c r="F26" s="4"/>
      <c r="G26" s="4"/>
      <c r="H26" s="4"/>
      <c r="I26" s="4"/>
      <c r="J26" s="4"/>
      <c r="K26" s="4"/>
      <c r="L26" s="4"/>
    </row>
    <row r="27" spans="2:12" ht="12.95" customHeight="1" x14ac:dyDescent="0.2">
      <c r="B27" s="81"/>
      <c r="C27" s="120"/>
      <c r="D27" s="4"/>
      <c r="E27" s="4"/>
      <c r="F27" s="4"/>
      <c r="G27" s="4"/>
      <c r="H27" s="4"/>
      <c r="I27" s="4"/>
      <c r="J27" s="4"/>
      <c r="K27" s="4"/>
      <c r="L27" s="4"/>
    </row>
    <row r="28" spans="2:12" ht="12.95" customHeight="1" x14ac:dyDescent="0.2">
      <c r="B28" s="81"/>
      <c r="C28" s="120"/>
      <c r="D28" s="4"/>
      <c r="E28" s="4"/>
      <c r="F28" s="4"/>
      <c r="G28" s="4"/>
      <c r="H28" s="4"/>
      <c r="I28" s="4"/>
      <c r="J28" s="4"/>
      <c r="K28" s="4"/>
      <c r="L28" s="4"/>
    </row>
    <row r="29" spans="2:12" ht="12.95" customHeight="1" x14ac:dyDescent="0.2">
      <c r="B29" s="81"/>
      <c r="C29" s="120"/>
      <c r="D29" s="4"/>
      <c r="E29" s="4"/>
      <c r="F29" s="4"/>
      <c r="G29" s="4"/>
      <c r="H29" s="4"/>
      <c r="I29" s="4"/>
      <c r="J29" s="4"/>
      <c r="K29" s="4"/>
      <c r="L29" s="4"/>
    </row>
    <row r="30" spans="2:12" ht="12.95" customHeight="1" x14ac:dyDescent="0.2">
      <c r="B30" s="81"/>
      <c r="C30" s="120"/>
      <c r="D30" s="4"/>
      <c r="E30" s="4"/>
      <c r="F30" s="4"/>
      <c r="G30" s="4"/>
      <c r="H30" s="4"/>
      <c r="I30" s="4"/>
      <c r="J30" s="4"/>
      <c r="K30" s="4"/>
      <c r="L30" s="4"/>
    </row>
    <row r="31" spans="2:12" ht="12.95" customHeight="1" x14ac:dyDescent="0.2">
      <c r="B31" s="81"/>
      <c r="C31" s="120"/>
      <c r="D31" s="4"/>
      <c r="E31" s="4"/>
      <c r="F31" s="4"/>
      <c r="G31" s="4"/>
      <c r="H31" s="4"/>
      <c r="I31" s="4"/>
      <c r="J31" s="4"/>
      <c r="K31" s="4"/>
      <c r="L31" s="4"/>
    </row>
    <row r="32" spans="2:12" ht="12.95" customHeight="1" x14ac:dyDescent="0.2">
      <c r="B32" s="81"/>
      <c r="C32" s="120"/>
      <c r="D32" s="4"/>
      <c r="E32" s="4"/>
      <c r="F32" s="4"/>
      <c r="G32" s="4"/>
      <c r="H32" s="4"/>
      <c r="I32" s="4"/>
      <c r="J32" s="4"/>
      <c r="K32" s="4"/>
      <c r="L32" s="4"/>
    </row>
    <row r="33" spans="2:12" ht="12.95" customHeight="1" x14ac:dyDescent="0.2">
      <c r="B33" s="81"/>
      <c r="C33" s="120"/>
      <c r="D33" s="4"/>
      <c r="E33" s="4"/>
      <c r="F33" s="4"/>
      <c r="G33" s="4"/>
      <c r="H33" s="4"/>
      <c r="I33" s="4"/>
      <c r="J33" s="4"/>
      <c r="K33" s="4"/>
      <c r="L33" s="4"/>
    </row>
    <row r="34" spans="2:12" ht="12.95" customHeight="1" x14ac:dyDescent="0.2">
      <c r="B34" s="81"/>
      <c r="C34" s="120"/>
      <c r="D34" s="4"/>
      <c r="E34" s="4"/>
      <c r="F34" s="4"/>
      <c r="G34" s="4"/>
      <c r="H34" s="4"/>
      <c r="I34" s="4"/>
      <c r="J34" s="4"/>
      <c r="K34" s="4"/>
      <c r="L34" s="4"/>
    </row>
    <row r="35" spans="2:12" ht="12.95" customHeight="1" x14ac:dyDescent="0.2">
      <c r="B35" s="81"/>
      <c r="C35" s="120"/>
      <c r="D35" s="4"/>
      <c r="E35" s="4"/>
      <c r="F35" s="4"/>
      <c r="G35" s="4"/>
      <c r="H35" s="4"/>
      <c r="I35" s="4"/>
      <c r="J35" s="4"/>
      <c r="K35" s="4"/>
      <c r="L35" s="4"/>
    </row>
    <row r="36" spans="2:12" ht="12.95" customHeight="1" x14ac:dyDescent="0.2">
      <c r="B36" s="81"/>
      <c r="C36" s="120"/>
      <c r="D36" s="4"/>
      <c r="E36" s="4"/>
      <c r="F36" s="4"/>
      <c r="G36" s="4"/>
      <c r="H36" s="4"/>
      <c r="I36" s="4"/>
      <c r="J36" s="4"/>
      <c r="K36" s="4"/>
      <c r="L36" s="4"/>
    </row>
    <row r="37" spans="2:12" ht="12.95" customHeight="1" x14ac:dyDescent="0.2">
      <c r="B37" s="81"/>
      <c r="C37" s="120"/>
      <c r="D37" s="4"/>
      <c r="E37" s="4"/>
      <c r="F37" s="4"/>
      <c r="G37" s="4"/>
      <c r="H37" s="4"/>
      <c r="I37" s="4"/>
      <c r="J37" s="4"/>
      <c r="K37" s="4"/>
      <c r="L37" s="4"/>
    </row>
    <row r="38" spans="2:12" ht="12.95" customHeight="1" x14ac:dyDescent="0.2">
      <c r="B38" s="81"/>
      <c r="C38" s="120"/>
      <c r="D38" s="4"/>
      <c r="E38" s="4"/>
      <c r="F38" s="4"/>
      <c r="G38" s="4"/>
      <c r="H38" s="4"/>
      <c r="I38" s="4"/>
      <c r="J38" s="4"/>
      <c r="K38" s="4"/>
      <c r="L38" s="4"/>
    </row>
    <row r="39" spans="2:12" ht="12.95" customHeight="1" x14ac:dyDescent="0.2">
      <c r="B39" s="81"/>
      <c r="C39" s="120"/>
      <c r="D39" s="4"/>
      <c r="E39" s="4"/>
      <c r="F39" s="4"/>
      <c r="G39" s="4"/>
      <c r="H39" s="4"/>
      <c r="I39" s="4"/>
      <c r="J39" s="4"/>
      <c r="K39" s="4"/>
      <c r="L39" s="4"/>
    </row>
    <row r="40" spans="2:12" ht="12.95" customHeight="1" x14ac:dyDescent="0.2">
      <c r="B40" s="81"/>
      <c r="C40" s="120"/>
      <c r="D40" s="4"/>
      <c r="E40" s="4"/>
      <c r="F40" s="4"/>
      <c r="G40" s="4"/>
      <c r="H40" s="4"/>
      <c r="I40" s="4"/>
      <c r="J40" s="4"/>
      <c r="K40" s="4"/>
      <c r="L40" s="4"/>
    </row>
    <row r="41" spans="2:12" ht="12.95" customHeight="1" x14ac:dyDescent="0.2">
      <c r="B41" s="81"/>
      <c r="C41" s="120"/>
      <c r="D41" s="4"/>
      <c r="E41" s="4"/>
      <c r="F41" s="4"/>
      <c r="G41" s="4"/>
      <c r="H41" s="4"/>
      <c r="I41" s="4"/>
      <c r="J41" s="4"/>
      <c r="K41" s="4"/>
      <c r="L41" s="4"/>
    </row>
    <row r="42" spans="2:12" ht="12.95" customHeight="1" x14ac:dyDescent="0.2">
      <c r="B42" s="81"/>
      <c r="C42" s="120"/>
    </row>
    <row r="43" spans="2:12" ht="12.95" customHeight="1" x14ac:dyDescent="0.2">
      <c r="B43" s="81"/>
      <c r="C43" s="120"/>
    </row>
    <row r="44" spans="2:12" ht="12.95" customHeight="1" x14ac:dyDescent="0.2">
      <c r="B44" s="81"/>
      <c r="C44" s="120"/>
    </row>
    <row r="45" spans="2:12" ht="12.95" customHeight="1" x14ac:dyDescent="0.2">
      <c r="B45" s="81"/>
      <c r="C45" s="120"/>
    </row>
    <row r="46" spans="2:12" ht="12.95" customHeight="1" x14ac:dyDescent="0.2">
      <c r="B46" s="81"/>
      <c r="C46" s="120"/>
    </row>
    <row r="47" spans="2:12" ht="12.95" customHeight="1" x14ac:dyDescent="0.2">
      <c r="B47" s="81"/>
      <c r="C47" s="120"/>
    </row>
    <row r="48" spans="2:12" ht="12.95" customHeight="1" x14ac:dyDescent="0.2">
      <c r="B48" s="81"/>
      <c r="C48" s="120"/>
    </row>
    <row r="49" spans="2:3" ht="12.95" customHeight="1" x14ac:dyDescent="0.2">
      <c r="B49" s="81"/>
      <c r="C49" s="120"/>
    </row>
    <row r="50" spans="2:3" ht="12.95" customHeight="1" x14ac:dyDescent="0.2">
      <c r="B50" s="81"/>
      <c r="C50" s="120"/>
    </row>
    <row r="51" spans="2:3" x14ac:dyDescent="0.2">
      <c r="B51" s="81"/>
      <c r="C51" s="120"/>
    </row>
    <row r="52" spans="2:3" x14ac:dyDescent="0.2">
      <c r="B52" s="81"/>
      <c r="C52" s="120"/>
    </row>
    <row r="53" spans="2:3" x14ac:dyDescent="0.2">
      <c r="B53" s="81"/>
      <c r="C53" s="120"/>
    </row>
    <row r="54" spans="2:3" x14ac:dyDescent="0.2">
      <c r="B54" s="81"/>
      <c r="C54" s="120"/>
    </row>
    <row r="55" spans="2:3" x14ac:dyDescent="0.2">
      <c r="B55" s="81"/>
      <c r="C55" s="120"/>
    </row>
    <row r="56" spans="2:3" x14ac:dyDescent="0.2">
      <c r="B56" s="81"/>
      <c r="C56" s="120"/>
    </row>
    <row r="57" spans="2:3" x14ac:dyDescent="0.2">
      <c r="B57" s="81"/>
      <c r="C57" s="120"/>
    </row>
    <row r="58" spans="2:3" x14ac:dyDescent="0.2">
      <c r="B58" s="81"/>
      <c r="C58" s="120"/>
    </row>
    <row r="59" spans="2:3" x14ac:dyDescent="0.2">
      <c r="B59" s="81"/>
      <c r="C59" s="120"/>
    </row>
    <row r="60" spans="2:3" x14ac:dyDescent="0.2">
      <c r="B60" s="81"/>
      <c r="C60" s="120"/>
    </row>
    <row r="61" spans="2:3" x14ac:dyDescent="0.2">
      <c r="B61" s="81"/>
      <c r="C61" s="120"/>
    </row>
    <row r="62" spans="2:3" x14ac:dyDescent="0.2">
      <c r="B62" s="81"/>
      <c r="C62" s="120"/>
    </row>
    <row r="63" spans="2:3" x14ac:dyDescent="0.2">
      <c r="B63" s="81"/>
      <c r="C63" s="120"/>
    </row>
    <row r="64" spans="2:3" x14ac:dyDescent="0.2">
      <c r="B64" s="81"/>
      <c r="C64" s="120"/>
    </row>
    <row r="65" spans="2:3" x14ac:dyDescent="0.2">
      <c r="B65" s="81"/>
      <c r="C65" s="120"/>
    </row>
    <row r="66" spans="2:3" x14ac:dyDescent="0.2">
      <c r="B66" s="81"/>
      <c r="C66" s="120"/>
    </row>
    <row r="67" spans="2:3" x14ac:dyDescent="0.2">
      <c r="B67" s="81"/>
      <c r="C67" s="120"/>
    </row>
    <row r="68" spans="2:3" x14ac:dyDescent="0.2">
      <c r="B68" s="81"/>
      <c r="C68" s="120"/>
    </row>
  </sheetData>
  <mergeCells count="1">
    <mergeCell ref="A4:F4"/>
  </mergeCells>
  <pageMargins left="0.64" right="0.2" top="0.31" bottom="1" header="0.19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zoomScaleNormal="100" workbookViewId="0">
      <selection activeCell="A19" sqref="A19"/>
    </sheetView>
  </sheetViews>
  <sheetFormatPr defaultRowHeight="12.75" x14ac:dyDescent="0.2"/>
  <cols>
    <col min="1" max="1" width="38.7109375" customWidth="1"/>
    <col min="2" max="2" width="12.7109375" customWidth="1"/>
    <col min="3" max="3" width="12.7109375" style="121" customWidth="1"/>
    <col min="4" max="11" width="12.7109375" customWidth="1"/>
    <col min="12" max="12" width="10.28515625" customWidth="1"/>
  </cols>
  <sheetData>
    <row r="1" spans="1:12" ht="12.95" customHeight="1" x14ac:dyDescent="0.2">
      <c r="A1" s="116"/>
      <c r="B1" s="116"/>
      <c r="C1" s="116"/>
      <c r="D1" s="116"/>
      <c r="E1" s="116"/>
      <c r="F1" s="116"/>
      <c r="G1" s="116"/>
      <c r="H1" s="140" t="s">
        <v>599</v>
      </c>
    </row>
    <row r="2" spans="1:12" ht="12.95" customHeight="1" x14ac:dyDescent="0.2">
      <c r="A2" s="116"/>
      <c r="B2" s="116"/>
      <c r="C2" s="116"/>
      <c r="D2" s="116"/>
      <c r="E2" s="116"/>
      <c r="F2" s="116"/>
      <c r="G2" s="116"/>
      <c r="H2" s="219" t="str">
        <f>'1.Bev-kiad.'!F2</f>
        <v>a 3/2021.(V.28.) önkormányzati rendelethez</v>
      </c>
    </row>
    <row r="3" spans="1:12" ht="32.25" customHeight="1" x14ac:dyDescent="0.2">
      <c r="A3" s="669" t="s">
        <v>991</v>
      </c>
      <c r="B3" s="670"/>
      <c r="C3" s="670"/>
      <c r="D3" s="670"/>
      <c r="E3" s="670"/>
      <c r="F3" s="670"/>
      <c r="G3" s="670"/>
      <c r="H3" s="670"/>
    </row>
    <row r="4" spans="1:12" ht="12.95" customHeight="1" x14ac:dyDescent="0.2">
      <c r="A4" s="680"/>
      <c r="B4" s="681"/>
      <c r="C4" s="681"/>
      <c r="D4" s="681"/>
      <c r="E4" s="681"/>
      <c r="F4" s="681"/>
      <c r="G4" s="681"/>
      <c r="H4" s="681"/>
    </row>
    <row r="5" spans="1:12" ht="12.95" customHeight="1" x14ac:dyDescent="0.2">
      <c r="A5" s="5"/>
      <c r="B5" s="5"/>
      <c r="C5" s="117"/>
      <c r="D5" s="100"/>
      <c r="E5" s="100"/>
      <c r="F5" s="100"/>
      <c r="H5" s="222" t="s">
        <v>0</v>
      </c>
    </row>
    <row r="6" spans="1:12" ht="17.25" customHeight="1" x14ac:dyDescent="0.2">
      <c r="A6" s="682" t="s">
        <v>627</v>
      </c>
      <c r="B6" s="682" t="s">
        <v>52</v>
      </c>
      <c r="C6" s="682" t="s">
        <v>53</v>
      </c>
      <c r="D6" s="684" t="s">
        <v>98</v>
      </c>
      <c r="E6" s="685"/>
      <c r="F6" s="685"/>
      <c r="G6" s="686"/>
      <c r="H6" s="687" t="s">
        <v>38</v>
      </c>
    </row>
    <row r="7" spans="1:12" ht="30" customHeight="1" x14ac:dyDescent="0.2">
      <c r="A7" s="683"/>
      <c r="B7" s="683"/>
      <c r="C7" s="683"/>
      <c r="D7" s="148">
        <v>2020</v>
      </c>
      <c r="E7" s="118">
        <v>2021</v>
      </c>
      <c r="F7" s="118">
        <v>2022</v>
      </c>
      <c r="G7" s="118">
        <v>2023</v>
      </c>
      <c r="H7" s="688"/>
    </row>
    <row r="8" spans="1:12" ht="12.95" customHeight="1" x14ac:dyDescent="0.2">
      <c r="A8" s="63" t="s">
        <v>50</v>
      </c>
      <c r="B8" s="31"/>
      <c r="C8" s="32"/>
      <c r="D8" s="149"/>
      <c r="E8" s="175"/>
      <c r="F8" s="32"/>
      <c r="G8" s="32"/>
      <c r="H8" s="32"/>
    </row>
    <row r="9" spans="1:12" ht="12.95" customHeight="1" x14ac:dyDescent="0.2">
      <c r="A9" s="63"/>
      <c r="B9" s="65"/>
      <c r="C9" s="65"/>
      <c r="D9" s="147"/>
      <c r="E9" s="176"/>
      <c r="F9" s="65"/>
      <c r="G9" s="65"/>
      <c r="H9" s="32"/>
    </row>
    <row r="10" spans="1:12" ht="12.95" customHeight="1" x14ac:dyDescent="0.2">
      <c r="A10" s="119" t="s">
        <v>38</v>
      </c>
      <c r="B10" s="67"/>
      <c r="C10" s="64"/>
      <c r="D10" s="150">
        <f>SUM(D8:D9)</f>
        <v>0</v>
      </c>
      <c r="E10" s="64"/>
      <c r="F10" s="64"/>
      <c r="G10" s="64"/>
      <c r="H10" s="64"/>
    </row>
    <row r="11" spans="1:12" ht="22.5" customHeight="1" x14ac:dyDescent="0.2">
      <c r="A11" s="671" t="s">
        <v>365</v>
      </c>
      <c r="B11" s="672"/>
      <c r="C11" s="673"/>
      <c r="D11" s="684" t="s">
        <v>458</v>
      </c>
      <c r="E11" s="685"/>
      <c r="F11" s="685"/>
      <c r="G11" s="686"/>
      <c r="H11" s="687" t="s">
        <v>38</v>
      </c>
      <c r="I11" s="4"/>
      <c r="J11" s="4"/>
      <c r="K11" s="4"/>
      <c r="L11" s="4"/>
    </row>
    <row r="12" spans="1:12" ht="27" customHeight="1" x14ac:dyDescent="0.2">
      <c r="A12" s="674"/>
      <c r="B12" s="675"/>
      <c r="C12" s="676"/>
      <c r="D12" s="148">
        <f>D7</f>
        <v>2020</v>
      </c>
      <c r="E12" s="174">
        <f>E7</f>
        <v>2021</v>
      </c>
      <c r="F12" s="174">
        <f>F7</f>
        <v>2022</v>
      </c>
      <c r="G12" s="174">
        <f>G7</f>
        <v>2023</v>
      </c>
      <c r="H12" s="688"/>
      <c r="I12" s="4"/>
      <c r="J12" s="4"/>
      <c r="K12" s="4"/>
      <c r="L12" s="4"/>
    </row>
    <row r="13" spans="1:12" ht="12.95" customHeight="1" x14ac:dyDescent="0.2">
      <c r="A13" s="677"/>
      <c r="B13" s="678"/>
      <c r="C13" s="679"/>
      <c r="D13" s="480">
        <f>SUM('2.működés'!G61+'2.működés'!G67+'2.működés'!G69+'2.működés'!G73+'2.működés'!G70)/2</f>
        <v>4447.5</v>
      </c>
      <c r="E13" s="149">
        <v>3400</v>
      </c>
      <c r="F13" s="149">
        <v>3400</v>
      </c>
      <c r="G13" s="149">
        <v>3400</v>
      </c>
      <c r="H13" s="32"/>
      <c r="I13" s="4"/>
      <c r="J13" s="4"/>
      <c r="K13" s="4"/>
      <c r="L13" s="4"/>
    </row>
    <row r="14" spans="1:12" ht="12.95" customHeight="1" x14ac:dyDescent="0.2">
      <c r="B14" s="81"/>
      <c r="C14" s="120"/>
      <c r="D14" s="4"/>
      <c r="E14" s="4"/>
      <c r="F14" s="4"/>
      <c r="G14" s="4"/>
      <c r="H14" s="4"/>
      <c r="I14" s="4"/>
      <c r="J14" s="4"/>
      <c r="K14" s="4"/>
      <c r="L14" s="4"/>
    </row>
    <row r="15" spans="1:12" ht="12.95" customHeight="1" x14ac:dyDescent="0.2">
      <c r="B15" s="81"/>
      <c r="C15" s="120"/>
      <c r="D15" s="4"/>
      <c r="E15" s="4"/>
      <c r="F15" s="4"/>
      <c r="G15" s="4"/>
      <c r="H15" s="4"/>
      <c r="I15" s="4"/>
      <c r="J15" s="4"/>
      <c r="K15" s="4"/>
      <c r="L15" s="4"/>
    </row>
    <row r="16" spans="1:12" ht="12.95" customHeight="1" x14ac:dyDescent="0.2">
      <c r="B16" s="81"/>
      <c r="C16" s="120"/>
      <c r="D16" s="4"/>
      <c r="E16" s="4"/>
      <c r="F16" s="4"/>
      <c r="G16" s="4"/>
      <c r="H16" s="4"/>
      <c r="I16" s="4"/>
      <c r="J16" s="4"/>
      <c r="K16" s="4"/>
      <c r="L16" s="4"/>
    </row>
    <row r="17" spans="2:12" ht="12.95" customHeight="1" x14ac:dyDescent="0.2">
      <c r="B17" s="81"/>
      <c r="C17" s="120"/>
      <c r="D17" s="4"/>
      <c r="E17" s="4"/>
      <c r="F17" s="4"/>
      <c r="G17" s="4"/>
      <c r="H17" s="4"/>
      <c r="I17" s="4"/>
      <c r="J17" s="4"/>
      <c r="K17" s="4"/>
      <c r="L17" s="4"/>
    </row>
    <row r="18" spans="2:12" ht="12.95" customHeight="1" x14ac:dyDescent="0.2">
      <c r="B18" s="81"/>
      <c r="C18" s="120"/>
      <c r="D18" s="4"/>
      <c r="E18" s="4"/>
      <c r="F18" s="4"/>
      <c r="G18" s="4"/>
      <c r="H18" s="4"/>
      <c r="I18" s="4"/>
      <c r="J18" s="4"/>
      <c r="K18" s="4"/>
      <c r="L18" s="4"/>
    </row>
    <row r="19" spans="2:12" ht="12.95" customHeight="1" x14ac:dyDescent="0.2">
      <c r="B19" s="81"/>
      <c r="C19" s="120"/>
      <c r="D19" s="4"/>
      <c r="E19" s="4"/>
      <c r="F19" s="4"/>
      <c r="G19" s="4"/>
      <c r="H19" s="4"/>
      <c r="I19" s="4"/>
      <c r="J19" s="4"/>
      <c r="K19" s="4"/>
      <c r="L19" s="4"/>
    </row>
    <row r="20" spans="2:12" ht="12.95" customHeight="1" x14ac:dyDescent="0.2">
      <c r="B20" s="81"/>
      <c r="C20" s="120"/>
      <c r="D20" s="4"/>
      <c r="E20" s="4"/>
      <c r="F20" s="4"/>
      <c r="G20" s="4"/>
      <c r="H20" s="4"/>
      <c r="I20" s="4"/>
      <c r="J20" s="4"/>
      <c r="K20" s="4"/>
      <c r="L20" s="4"/>
    </row>
    <row r="21" spans="2:12" ht="12.95" customHeight="1" x14ac:dyDescent="0.2">
      <c r="B21" s="81"/>
      <c r="C21" s="120"/>
      <c r="D21" s="4"/>
      <c r="E21" s="4"/>
      <c r="F21" s="4"/>
      <c r="G21" s="4"/>
      <c r="H21" s="4"/>
      <c r="I21" s="4"/>
      <c r="J21" s="4"/>
      <c r="K21" s="4"/>
      <c r="L21" s="4"/>
    </row>
    <row r="22" spans="2:12" ht="12.95" customHeight="1" x14ac:dyDescent="0.2">
      <c r="B22" s="81"/>
      <c r="C22" s="120"/>
      <c r="D22" s="4"/>
      <c r="E22" s="4"/>
      <c r="F22" s="4"/>
      <c r="G22" s="4"/>
      <c r="H22" s="4"/>
      <c r="I22" s="4"/>
      <c r="J22" s="4"/>
      <c r="K22" s="4"/>
      <c r="L22" s="4"/>
    </row>
    <row r="23" spans="2:12" ht="12.95" customHeight="1" x14ac:dyDescent="0.2">
      <c r="B23" s="81"/>
      <c r="C23" s="120"/>
      <c r="D23" s="4"/>
      <c r="E23" s="4"/>
      <c r="F23" s="4"/>
      <c r="G23" s="4"/>
      <c r="H23" s="4"/>
      <c r="I23" s="4"/>
      <c r="J23" s="4"/>
      <c r="K23" s="4"/>
      <c r="L23" s="4"/>
    </row>
    <row r="24" spans="2:12" ht="12.95" customHeight="1" x14ac:dyDescent="0.2">
      <c r="B24" s="81"/>
      <c r="C24" s="120"/>
      <c r="D24" s="4"/>
      <c r="E24" s="4"/>
      <c r="F24" s="4"/>
      <c r="G24" s="4"/>
      <c r="H24" s="4"/>
      <c r="I24" s="4"/>
      <c r="J24" s="4"/>
      <c r="K24" s="4"/>
      <c r="L24" s="4"/>
    </row>
    <row r="25" spans="2:12" ht="12.95" customHeight="1" x14ac:dyDescent="0.2">
      <c r="B25" s="81"/>
      <c r="C25" s="120"/>
      <c r="D25" s="4"/>
      <c r="E25" s="4"/>
      <c r="F25" s="4"/>
      <c r="G25" s="4"/>
      <c r="H25" s="4"/>
      <c r="I25" s="4"/>
      <c r="J25" s="4"/>
      <c r="K25" s="4"/>
      <c r="L25" s="4"/>
    </row>
    <row r="26" spans="2:12" ht="12.95" customHeight="1" x14ac:dyDescent="0.2">
      <c r="B26" s="81"/>
      <c r="C26" s="120"/>
      <c r="D26" s="4"/>
      <c r="E26" s="4"/>
      <c r="F26" s="4"/>
      <c r="G26" s="4"/>
      <c r="H26" s="4"/>
      <c r="I26" s="4"/>
      <c r="J26" s="4"/>
      <c r="K26" s="4"/>
      <c r="L26" s="4"/>
    </row>
    <row r="27" spans="2:12" ht="12.95" customHeight="1" x14ac:dyDescent="0.2">
      <c r="B27" s="81"/>
      <c r="C27" s="120"/>
      <c r="D27" s="4"/>
      <c r="E27" s="4"/>
      <c r="F27" s="4"/>
      <c r="G27" s="4"/>
      <c r="H27" s="4"/>
      <c r="I27" s="4"/>
      <c r="J27" s="4"/>
      <c r="K27" s="4"/>
      <c r="L27" s="4"/>
    </row>
    <row r="28" spans="2:12" ht="12.95" customHeight="1" x14ac:dyDescent="0.2">
      <c r="B28" s="81"/>
      <c r="C28" s="120"/>
      <c r="D28" s="4"/>
      <c r="E28" s="4"/>
      <c r="F28" s="4"/>
      <c r="G28" s="4"/>
      <c r="H28" s="4"/>
      <c r="I28" s="4"/>
      <c r="J28" s="4"/>
      <c r="K28" s="4"/>
      <c r="L28" s="4"/>
    </row>
    <row r="29" spans="2:12" ht="12.95" customHeight="1" x14ac:dyDescent="0.2">
      <c r="B29" s="81"/>
      <c r="C29" s="120"/>
      <c r="D29" s="4"/>
      <c r="E29" s="4"/>
      <c r="F29" s="4"/>
      <c r="G29" s="4"/>
      <c r="H29" s="4"/>
      <c r="I29" s="4"/>
      <c r="J29" s="4"/>
      <c r="K29" s="4"/>
      <c r="L29" s="4"/>
    </row>
    <row r="30" spans="2:12" ht="12.95" customHeight="1" x14ac:dyDescent="0.2">
      <c r="B30" s="81"/>
      <c r="C30" s="120"/>
      <c r="D30" s="4"/>
      <c r="E30" s="4"/>
      <c r="F30" s="4"/>
      <c r="G30" s="4"/>
      <c r="H30" s="4"/>
      <c r="I30" s="4"/>
      <c r="J30" s="4"/>
      <c r="K30" s="4"/>
      <c r="L30" s="4"/>
    </row>
    <row r="31" spans="2:12" ht="12.95" customHeight="1" x14ac:dyDescent="0.2">
      <c r="B31" s="81"/>
      <c r="C31" s="120"/>
      <c r="D31" s="4"/>
      <c r="E31" s="4"/>
      <c r="F31" s="4"/>
      <c r="G31" s="4"/>
      <c r="H31" s="4"/>
      <c r="I31" s="4"/>
      <c r="J31" s="4"/>
      <c r="K31" s="4"/>
      <c r="L31" s="4"/>
    </row>
    <row r="32" spans="2:12" ht="12.95" customHeight="1" x14ac:dyDescent="0.2">
      <c r="B32" s="81"/>
      <c r="C32" s="120"/>
      <c r="D32" s="4"/>
      <c r="E32" s="4"/>
      <c r="F32" s="4"/>
      <c r="G32" s="4"/>
      <c r="H32" s="4"/>
      <c r="I32" s="4"/>
      <c r="J32" s="4"/>
      <c r="K32" s="4"/>
      <c r="L32" s="4"/>
    </row>
    <row r="33" spans="2:12" ht="12.95" customHeight="1" x14ac:dyDescent="0.2">
      <c r="B33" s="81"/>
      <c r="C33" s="120"/>
      <c r="D33" s="4"/>
      <c r="E33" s="4"/>
      <c r="F33" s="4"/>
      <c r="G33" s="4"/>
      <c r="H33" s="4"/>
      <c r="I33" s="4"/>
      <c r="J33" s="4"/>
      <c r="K33" s="4"/>
      <c r="L33" s="4"/>
    </row>
    <row r="34" spans="2:12" ht="12.95" customHeight="1" x14ac:dyDescent="0.2">
      <c r="B34" s="81"/>
      <c r="C34" s="120"/>
      <c r="D34" s="4"/>
      <c r="E34" s="4"/>
      <c r="F34" s="4"/>
      <c r="G34" s="4"/>
      <c r="H34" s="4"/>
      <c r="I34" s="4"/>
      <c r="J34" s="4"/>
      <c r="K34" s="4"/>
      <c r="L34" s="4"/>
    </row>
    <row r="35" spans="2:12" ht="12.95" customHeight="1" x14ac:dyDescent="0.2">
      <c r="B35" s="81"/>
      <c r="C35" s="120"/>
      <c r="D35" s="4"/>
      <c r="E35" s="4"/>
      <c r="F35" s="4"/>
      <c r="G35" s="4"/>
      <c r="H35" s="4"/>
      <c r="I35" s="4"/>
      <c r="J35" s="4"/>
      <c r="K35" s="4"/>
      <c r="L35" s="4"/>
    </row>
    <row r="36" spans="2:12" ht="12.95" customHeight="1" x14ac:dyDescent="0.2">
      <c r="B36" s="81"/>
      <c r="C36" s="120"/>
      <c r="D36" s="4"/>
      <c r="E36" s="4"/>
      <c r="F36" s="4"/>
      <c r="G36" s="4"/>
      <c r="H36" s="4"/>
      <c r="I36" s="4"/>
      <c r="J36" s="4"/>
      <c r="K36" s="4"/>
      <c r="L36" s="4"/>
    </row>
    <row r="37" spans="2:12" ht="12.95" customHeight="1" x14ac:dyDescent="0.2">
      <c r="B37" s="81"/>
      <c r="C37" s="120"/>
      <c r="D37" s="4"/>
      <c r="E37" s="4"/>
      <c r="F37" s="4"/>
      <c r="G37" s="4"/>
      <c r="H37" s="4"/>
      <c r="I37" s="4"/>
      <c r="J37" s="4"/>
      <c r="K37" s="4"/>
      <c r="L37" s="4"/>
    </row>
    <row r="38" spans="2:12" ht="12.95" customHeight="1" x14ac:dyDescent="0.2">
      <c r="B38" s="81"/>
      <c r="C38" s="120"/>
      <c r="D38" s="4"/>
      <c r="E38" s="4"/>
      <c r="F38" s="4"/>
      <c r="G38" s="4"/>
      <c r="H38" s="4"/>
      <c r="I38" s="4"/>
      <c r="J38" s="4"/>
      <c r="K38" s="4"/>
      <c r="L38" s="4"/>
    </row>
    <row r="39" spans="2:12" ht="12.95" customHeight="1" x14ac:dyDescent="0.2">
      <c r="B39" s="81"/>
      <c r="C39" s="120"/>
      <c r="D39" s="4"/>
      <c r="E39" s="4"/>
      <c r="F39" s="4"/>
      <c r="G39" s="4"/>
      <c r="H39" s="4"/>
      <c r="I39" s="4"/>
      <c r="J39" s="4"/>
      <c r="K39" s="4"/>
      <c r="L39" s="4"/>
    </row>
    <row r="40" spans="2:12" ht="12.95" customHeight="1" x14ac:dyDescent="0.2">
      <c r="B40" s="81"/>
      <c r="C40" s="120"/>
      <c r="D40" s="4"/>
      <c r="E40" s="4"/>
      <c r="F40" s="4"/>
      <c r="G40" s="4"/>
      <c r="H40" s="4"/>
      <c r="I40" s="4"/>
      <c r="J40" s="4"/>
      <c r="K40" s="4"/>
      <c r="L40" s="4"/>
    </row>
    <row r="41" spans="2:12" ht="12.95" customHeight="1" x14ac:dyDescent="0.2">
      <c r="B41" s="81"/>
      <c r="C41" s="120"/>
      <c r="D41" s="4"/>
      <c r="E41" s="4"/>
      <c r="F41" s="4"/>
      <c r="G41" s="4"/>
      <c r="H41" s="4"/>
      <c r="I41" s="4"/>
      <c r="J41" s="4"/>
      <c r="K41" s="4"/>
      <c r="L41" s="4"/>
    </row>
    <row r="42" spans="2:12" ht="12.95" customHeight="1" x14ac:dyDescent="0.2">
      <c r="B42" s="81"/>
      <c r="C42" s="120"/>
    </row>
    <row r="43" spans="2:12" ht="12.95" customHeight="1" x14ac:dyDescent="0.2">
      <c r="B43" s="81"/>
      <c r="C43" s="120"/>
    </row>
    <row r="44" spans="2:12" ht="12.95" customHeight="1" x14ac:dyDescent="0.2">
      <c r="B44" s="81"/>
      <c r="C44" s="120"/>
    </row>
    <row r="45" spans="2:12" ht="12.95" customHeight="1" x14ac:dyDescent="0.2">
      <c r="B45" s="81"/>
      <c r="C45" s="120"/>
    </row>
    <row r="46" spans="2:12" ht="12.95" customHeight="1" x14ac:dyDescent="0.2">
      <c r="B46" s="81"/>
      <c r="C46" s="120"/>
    </row>
    <row r="47" spans="2:12" ht="12.95" customHeight="1" x14ac:dyDescent="0.2">
      <c r="B47" s="81"/>
      <c r="C47" s="120"/>
    </row>
    <row r="48" spans="2:12" ht="12.95" customHeight="1" x14ac:dyDescent="0.2">
      <c r="B48" s="81"/>
      <c r="C48" s="120"/>
    </row>
    <row r="49" spans="2:3" ht="12.95" customHeight="1" x14ac:dyDescent="0.2">
      <c r="B49" s="81"/>
      <c r="C49" s="120"/>
    </row>
    <row r="50" spans="2:3" ht="12.95" customHeight="1" x14ac:dyDescent="0.2">
      <c r="B50" s="81"/>
      <c r="C50" s="120"/>
    </row>
    <row r="51" spans="2:3" x14ac:dyDescent="0.2">
      <c r="B51" s="81"/>
      <c r="C51" s="120"/>
    </row>
    <row r="52" spans="2:3" x14ac:dyDescent="0.2">
      <c r="B52" s="81"/>
      <c r="C52" s="120"/>
    </row>
    <row r="53" spans="2:3" x14ac:dyDescent="0.2">
      <c r="B53" s="81"/>
      <c r="C53" s="120"/>
    </row>
    <row r="54" spans="2:3" x14ac:dyDescent="0.2">
      <c r="B54" s="81"/>
      <c r="C54" s="120"/>
    </row>
    <row r="55" spans="2:3" x14ac:dyDescent="0.2">
      <c r="B55" s="81"/>
      <c r="C55" s="120"/>
    </row>
    <row r="56" spans="2:3" x14ac:dyDescent="0.2">
      <c r="B56" s="81"/>
      <c r="C56" s="120"/>
    </row>
    <row r="57" spans="2:3" x14ac:dyDescent="0.2">
      <c r="B57" s="81"/>
      <c r="C57" s="120"/>
    </row>
    <row r="58" spans="2:3" x14ac:dyDescent="0.2">
      <c r="B58" s="81"/>
      <c r="C58" s="120"/>
    </row>
    <row r="59" spans="2:3" x14ac:dyDescent="0.2">
      <c r="B59" s="81"/>
      <c r="C59" s="120"/>
    </row>
    <row r="60" spans="2:3" x14ac:dyDescent="0.2">
      <c r="B60" s="81"/>
      <c r="C60" s="120"/>
    </row>
    <row r="61" spans="2:3" x14ac:dyDescent="0.2">
      <c r="B61" s="81"/>
      <c r="C61" s="120"/>
    </row>
    <row r="62" spans="2:3" x14ac:dyDescent="0.2">
      <c r="B62" s="81"/>
      <c r="C62" s="120"/>
    </row>
    <row r="63" spans="2:3" x14ac:dyDescent="0.2">
      <c r="B63" s="81"/>
      <c r="C63" s="120"/>
    </row>
    <row r="64" spans="2:3" x14ac:dyDescent="0.2">
      <c r="B64" s="81"/>
      <c r="C64" s="120"/>
    </row>
    <row r="65" spans="2:3" x14ac:dyDescent="0.2">
      <c r="B65" s="81"/>
      <c r="C65" s="120"/>
    </row>
    <row r="66" spans="2:3" x14ac:dyDescent="0.2">
      <c r="B66" s="81"/>
      <c r="C66" s="120"/>
    </row>
    <row r="67" spans="2:3" x14ac:dyDescent="0.2">
      <c r="B67" s="81"/>
      <c r="C67" s="120"/>
    </row>
    <row r="68" spans="2:3" x14ac:dyDescent="0.2">
      <c r="B68" s="81"/>
      <c r="C68" s="120"/>
    </row>
  </sheetData>
  <mergeCells count="10">
    <mergeCell ref="A3:H3"/>
    <mergeCell ref="A11:C13"/>
    <mergeCell ref="A4:H4"/>
    <mergeCell ref="A6:A7"/>
    <mergeCell ref="B6:B7"/>
    <mergeCell ref="C6:C7"/>
    <mergeCell ref="D6:G6"/>
    <mergeCell ref="H6:H7"/>
    <mergeCell ref="D11:G11"/>
    <mergeCell ref="H11:H12"/>
  </mergeCells>
  <pageMargins left="0.64" right="0.2" top="0.31" bottom="1" header="0.19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topLeftCell="A13" zoomScale="140" zoomScaleNormal="140" workbookViewId="0">
      <selection activeCell="M23" sqref="M23"/>
    </sheetView>
  </sheetViews>
  <sheetFormatPr defaultRowHeight="12.75" x14ac:dyDescent="0.2"/>
  <cols>
    <col min="1" max="1" width="32.5703125" customWidth="1"/>
    <col min="2" max="3" width="8.28515625" customWidth="1"/>
    <col min="4" max="4" width="8.85546875" customWidth="1"/>
    <col min="5" max="11" width="8.28515625" customWidth="1"/>
    <col min="12" max="12" width="8.42578125" customWidth="1"/>
    <col min="13" max="13" width="8.5703125" customWidth="1"/>
    <col min="14" max="14" width="10.85546875" customWidth="1"/>
    <col min="15" max="15" width="0" hidden="1" customWidth="1"/>
  </cols>
  <sheetData>
    <row r="1" spans="1:16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M1" s="5"/>
      <c r="N1" s="140" t="s">
        <v>600</v>
      </c>
    </row>
    <row r="2" spans="1:16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M2" s="5"/>
      <c r="N2" s="219" t="str">
        <f>'1.Bev-kiad.'!F2</f>
        <v>a 3/2021.(V.28.) önkormányzati rendelethez</v>
      </c>
    </row>
    <row r="3" spans="1:16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M3" s="5"/>
      <c r="N3" s="140"/>
    </row>
    <row r="4" spans="1:16" ht="15.75" x14ac:dyDescent="0.25">
      <c r="A4" s="122" t="s">
        <v>601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96"/>
    </row>
    <row r="5" spans="1:16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96"/>
    </row>
    <row r="6" spans="1:16" ht="13.5" thickBo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96" t="s">
        <v>0</v>
      </c>
    </row>
    <row r="7" spans="1:16" ht="30.75" customHeight="1" thickBot="1" x14ac:dyDescent="0.25">
      <c r="A7" s="123" t="s">
        <v>55</v>
      </c>
      <c r="B7" s="124" t="s">
        <v>56</v>
      </c>
      <c r="C7" s="124" t="s">
        <v>57</v>
      </c>
      <c r="D7" s="124" t="s">
        <v>58</v>
      </c>
      <c r="E7" s="124" t="s">
        <v>59</v>
      </c>
      <c r="F7" s="124" t="s">
        <v>60</v>
      </c>
      <c r="G7" s="124" t="s">
        <v>61</v>
      </c>
      <c r="H7" s="124" t="s">
        <v>62</v>
      </c>
      <c r="I7" s="124" t="s">
        <v>63</v>
      </c>
      <c r="J7" s="124" t="s">
        <v>64</v>
      </c>
      <c r="K7" s="124" t="s">
        <v>65</v>
      </c>
      <c r="L7" s="124" t="s">
        <v>66</v>
      </c>
      <c r="M7" s="124" t="s">
        <v>67</v>
      </c>
      <c r="N7" s="125" t="s">
        <v>38</v>
      </c>
    </row>
    <row r="8" spans="1:16" ht="15.95" customHeight="1" x14ac:dyDescent="0.2">
      <c r="A8" s="126" t="s">
        <v>68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127"/>
    </row>
    <row r="9" spans="1:16" ht="15.95" customHeight="1" x14ac:dyDescent="0.2">
      <c r="A9" s="128" t="s">
        <v>319</v>
      </c>
      <c r="B9" s="38">
        <v>3046</v>
      </c>
      <c r="C9" s="38">
        <v>1892</v>
      </c>
      <c r="D9" s="38">
        <v>2135</v>
      </c>
      <c r="E9" s="38">
        <v>2067</v>
      </c>
      <c r="F9" s="38">
        <v>2061</v>
      </c>
      <c r="G9" s="38">
        <v>2028</v>
      </c>
      <c r="H9" s="38">
        <v>2810</v>
      </c>
      <c r="I9" s="38">
        <v>2506</v>
      </c>
      <c r="J9" s="38">
        <v>3194</v>
      </c>
      <c r="K9" s="38">
        <v>3135</v>
      </c>
      <c r="L9" s="38">
        <v>3707</v>
      </c>
      <c r="M9" s="38">
        <v>2597</v>
      </c>
      <c r="N9" s="129">
        <f t="shared" ref="N9:N16" si="0">SUM(B9:M9)</f>
        <v>31178</v>
      </c>
      <c r="O9" s="388"/>
      <c r="P9" s="81"/>
    </row>
    <row r="10" spans="1:16" ht="15.95" customHeight="1" x14ac:dyDescent="0.2">
      <c r="A10" s="128" t="s">
        <v>320</v>
      </c>
      <c r="B10" s="38">
        <v>48</v>
      </c>
      <c r="C10" s="38">
        <f>169-7</f>
        <v>162</v>
      </c>
      <c r="D10" s="38">
        <v>4130</v>
      </c>
      <c r="E10" s="38">
        <v>331</v>
      </c>
      <c r="F10" s="38">
        <v>75</v>
      </c>
      <c r="G10" s="38">
        <v>62</v>
      </c>
      <c r="H10" s="38">
        <v>121</v>
      </c>
      <c r="I10" s="38">
        <v>87</v>
      </c>
      <c r="J10" s="38">
        <v>898</v>
      </c>
      <c r="K10" s="38">
        <v>50</v>
      </c>
      <c r="L10" s="38">
        <v>400</v>
      </c>
      <c r="M10" s="38">
        <v>801</v>
      </c>
      <c r="N10" s="129">
        <f t="shared" si="0"/>
        <v>7165</v>
      </c>
    </row>
    <row r="11" spans="1:16" ht="15.75" customHeight="1" x14ac:dyDescent="0.2">
      <c r="A11" s="151" t="s">
        <v>321</v>
      </c>
      <c r="B11" s="38">
        <v>226</v>
      </c>
      <c r="C11" s="38">
        <v>10</v>
      </c>
      <c r="D11" s="38">
        <v>109</v>
      </c>
      <c r="E11" s="38">
        <v>113</v>
      </c>
      <c r="F11" s="38">
        <v>118</v>
      </c>
      <c r="G11" s="38">
        <v>165</v>
      </c>
      <c r="H11" s="38">
        <v>263</v>
      </c>
      <c r="I11" s="38">
        <v>67</v>
      </c>
      <c r="J11" s="38">
        <v>72</v>
      </c>
      <c r="K11" s="38">
        <v>31</v>
      </c>
      <c r="L11" s="38">
        <v>675</v>
      </c>
      <c r="M11" s="38">
        <v>295</v>
      </c>
      <c r="N11" s="129">
        <f t="shared" si="0"/>
        <v>2144</v>
      </c>
    </row>
    <row r="12" spans="1:16" ht="15.95" customHeight="1" x14ac:dyDescent="0.2">
      <c r="A12" s="128" t="s">
        <v>322</v>
      </c>
      <c r="B12" s="38"/>
      <c r="C12" s="38">
        <v>24</v>
      </c>
      <c r="D12" s="38">
        <v>0</v>
      </c>
      <c r="E12" s="38"/>
      <c r="F12" s="38"/>
      <c r="G12" s="38"/>
      <c r="H12" s="38"/>
      <c r="I12" s="38"/>
      <c r="J12" s="38">
        <v>5</v>
      </c>
      <c r="K12" s="38">
        <v>5</v>
      </c>
      <c r="L12" s="38">
        <v>5</v>
      </c>
      <c r="M12" s="38">
        <v>135</v>
      </c>
      <c r="N12" s="129">
        <f t="shared" si="0"/>
        <v>174</v>
      </c>
    </row>
    <row r="13" spans="1:16" ht="15.95" customHeight="1" x14ac:dyDescent="0.2">
      <c r="A13" s="128" t="s">
        <v>511</v>
      </c>
      <c r="B13" s="38"/>
      <c r="C13" s="38"/>
      <c r="D13" s="38"/>
      <c r="E13" s="38"/>
      <c r="F13" s="38">
        <v>0</v>
      </c>
      <c r="G13" s="38"/>
      <c r="H13" s="38"/>
      <c r="I13" s="38"/>
      <c r="J13" s="38">
        <v>0</v>
      </c>
      <c r="K13" s="38"/>
      <c r="L13" s="38"/>
      <c r="M13" s="38"/>
      <c r="N13" s="129">
        <f t="shared" si="0"/>
        <v>0</v>
      </c>
    </row>
    <row r="14" spans="1:16" ht="15.95" customHeight="1" x14ac:dyDescent="0.2">
      <c r="A14" s="128" t="s">
        <v>323</v>
      </c>
      <c r="B14" s="38"/>
      <c r="C14" s="38"/>
      <c r="D14" s="38">
        <v>0</v>
      </c>
      <c r="E14" s="38">
        <v>3452</v>
      </c>
      <c r="F14" s="38"/>
      <c r="G14" s="38"/>
      <c r="H14" s="38"/>
      <c r="I14" s="38">
        <v>7988</v>
      </c>
      <c r="J14" s="38">
        <v>0</v>
      </c>
      <c r="K14" s="38"/>
      <c r="L14" s="38">
        <v>9105</v>
      </c>
      <c r="M14" s="38"/>
      <c r="N14" s="129">
        <f t="shared" si="0"/>
        <v>20545</v>
      </c>
    </row>
    <row r="15" spans="1:16" ht="15.95" customHeight="1" x14ac:dyDescent="0.2">
      <c r="A15" s="128" t="s">
        <v>403</v>
      </c>
      <c r="B15" s="38">
        <v>5495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129">
        <f t="shared" si="0"/>
        <v>5495</v>
      </c>
    </row>
    <row r="16" spans="1:16" ht="15.95" customHeight="1" x14ac:dyDescent="0.2">
      <c r="A16" s="128" t="s">
        <v>735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>
        <v>880</v>
      </c>
      <c r="N16" s="129">
        <f t="shared" si="0"/>
        <v>880</v>
      </c>
    </row>
    <row r="17" spans="1:15" ht="15.95" customHeight="1" x14ac:dyDescent="0.2">
      <c r="A17" s="130" t="s">
        <v>69</v>
      </c>
      <c r="B17" s="40">
        <f>SUM(B9:B16)</f>
        <v>8815</v>
      </c>
      <c r="C17" s="40">
        <f t="shared" ref="C17:M17" si="1">SUM(C9:C16)</f>
        <v>2088</v>
      </c>
      <c r="D17" s="40">
        <f t="shared" si="1"/>
        <v>6374</v>
      </c>
      <c r="E17" s="40">
        <f t="shared" si="1"/>
        <v>5963</v>
      </c>
      <c r="F17" s="40">
        <f t="shared" si="1"/>
        <v>2254</v>
      </c>
      <c r="G17" s="40">
        <f t="shared" si="1"/>
        <v>2255</v>
      </c>
      <c r="H17" s="40">
        <f t="shared" si="1"/>
        <v>3194</v>
      </c>
      <c r="I17" s="40">
        <f t="shared" si="1"/>
        <v>10648</v>
      </c>
      <c r="J17" s="40">
        <f t="shared" si="1"/>
        <v>4169</v>
      </c>
      <c r="K17" s="40">
        <f t="shared" si="1"/>
        <v>3221</v>
      </c>
      <c r="L17" s="40">
        <f t="shared" si="1"/>
        <v>13892</v>
      </c>
      <c r="M17" s="40">
        <f t="shared" si="1"/>
        <v>4708</v>
      </c>
      <c r="N17" s="129">
        <f>SUM(N9:N16)</f>
        <v>67581</v>
      </c>
    </row>
    <row r="18" spans="1:15" ht="16.5" customHeight="1" x14ac:dyDescent="0.2">
      <c r="A18" s="130" t="s">
        <v>70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129"/>
      <c r="O18" s="11"/>
    </row>
    <row r="19" spans="1:15" ht="15.95" customHeight="1" x14ac:dyDescent="0.2">
      <c r="A19" s="128" t="s">
        <v>71</v>
      </c>
      <c r="B19" s="38">
        <v>2038</v>
      </c>
      <c r="C19" s="38">
        <v>2241</v>
      </c>
      <c r="D19" s="38">
        <v>2502</v>
      </c>
      <c r="E19" s="38">
        <v>1783</v>
      </c>
      <c r="F19" s="38">
        <v>1717</v>
      </c>
      <c r="G19" s="38">
        <v>1812</v>
      </c>
      <c r="H19" s="38">
        <v>2614</v>
      </c>
      <c r="I19" s="38">
        <v>2797</v>
      </c>
      <c r="J19" s="38">
        <v>2556</v>
      </c>
      <c r="K19" s="38">
        <v>3280</v>
      </c>
      <c r="L19" s="38">
        <v>3793</v>
      </c>
      <c r="M19" s="38">
        <v>10258</v>
      </c>
      <c r="N19" s="129">
        <f>SUM(B19:M19)</f>
        <v>37391</v>
      </c>
      <c r="O19" s="388">
        <f>SUM('2.működés'!D96+'2.működés'!D97+'2.működés'!D98+'2.működés'!D99)</f>
        <v>32873</v>
      </c>
    </row>
    <row r="20" spans="1:15" ht="15.95" customHeight="1" x14ac:dyDescent="0.2">
      <c r="A20" s="128" t="s">
        <v>324</v>
      </c>
      <c r="B20" s="38">
        <v>437</v>
      </c>
      <c r="C20" s="38">
        <v>105</v>
      </c>
      <c r="D20" s="38">
        <v>1189</v>
      </c>
      <c r="E20" s="38">
        <v>425</v>
      </c>
      <c r="F20" s="38">
        <v>631</v>
      </c>
      <c r="G20" s="38">
        <v>435</v>
      </c>
      <c r="H20" s="38">
        <v>657</v>
      </c>
      <c r="I20" s="38">
        <v>446</v>
      </c>
      <c r="J20" s="38">
        <v>580</v>
      </c>
      <c r="K20" s="38">
        <v>1060</v>
      </c>
      <c r="L20" s="38">
        <v>424</v>
      </c>
      <c r="M20" s="38">
        <v>3722</v>
      </c>
      <c r="N20" s="129">
        <f>SUM(B20:M20)</f>
        <v>10111</v>
      </c>
      <c r="O20" s="41">
        <f>SUM('2.működés'!D101)</f>
        <v>14310</v>
      </c>
    </row>
    <row r="21" spans="1:15" ht="15.95" customHeight="1" x14ac:dyDescent="0.2">
      <c r="A21" s="128" t="s">
        <v>72</v>
      </c>
      <c r="B21" s="38"/>
      <c r="C21" s="38"/>
      <c r="D21" s="38">
        <v>134</v>
      </c>
      <c r="E21" s="38">
        <v>0</v>
      </c>
      <c r="F21" s="38">
        <v>137</v>
      </c>
      <c r="G21" s="38"/>
      <c r="H21" s="38"/>
      <c r="I21" s="38"/>
      <c r="J21" s="38">
        <v>7988</v>
      </c>
      <c r="K21" s="38">
        <v>0</v>
      </c>
      <c r="L21" s="38"/>
      <c r="M21" s="38"/>
      <c r="N21" s="129">
        <f>SUM(B21:M21)</f>
        <v>8259</v>
      </c>
      <c r="O21" s="11"/>
    </row>
    <row r="22" spans="1:15" ht="26.25" customHeight="1" x14ac:dyDescent="0.2">
      <c r="A22" s="132" t="s">
        <v>73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>
        <v>10879</v>
      </c>
      <c r="N22" s="129">
        <f>SUM(B22:M22)</f>
        <v>10879</v>
      </c>
      <c r="O22" s="41">
        <f>SUM('2.működés'!D102)</f>
        <v>124</v>
      </c>
    </row>
    <row r="23" spans="1:15" ht="15.95" customHeight="1" x14ac:dyDescent="0.2">
      <c r="A23" s="128" t="s">
        <v>405</v>
      </c>
      <c r="B23" s="38">
        <v>941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129">
        <f>SUM(B23:M23)</f>
        <v>941</v>
      </c>
      <c r="O23" s="81"/>
    </row>
    <row r="24" spans="1:15" ht="15.95" customHeight="1" x14ac:dyDescent="0.2">
      <c r="A24" s="130" t="s">
        <v>74</v>
      </c>
      <c r="B24" s="40">
        <f>SUM(B19:B23)</f>
        <v>3416</v>
      </c>
      <c r="C24" s="40">
        <f t="shared" ref="C24:M24" si="2">SUM(C19:C23)</f>
        <v>2346</v>
      </c>
      <c r="D24" s="40">
        <f t="shared" si="2"/>
        <v>3825</v>
      </c>
      <c r="E24" s="40">
        <f t="shared" si="2"/>
        <v>2208</v>
      </c>
      <c r="F24" s="40">
        <f t="shared" si="2"/>
        <v>2485</v>
      </c>
      <c r="G24" s="40">
        <f t="shared" si="2"/>
        <v>2247</v>
      </c>
      <c r="H24" s="40">
        <f t="shared" si="2"/>
        <v>3271</v>
      </c>
      <c r="I24" s="40">
        <f t="shared" si="2"/>
        <v>3243</v>
      </c>
      <c r="J24" s="40">
        <f t="shared" si="2"/>
        <v>11124</v>
      </c>
      <c r="K24" s="40">
        <f t="shared" si="2"/>
        <v>4340</v>
      </c>
      <c r="L24" s="40">
        <f t="shared" si="2"/>
        <v>4217</v>
      </c>
      <c r="M24" s="40">
        <f t="shared" si="2"/>
        <v>24859</v>
      </c>
      <c r="N24" s="129">
        <f>SUM(N19:N23)</f>
        <v>67581</v>
      </c>
      <c r="O24" s="81"/>
    </row>
    <row r="25" spans="1:15" ht="15.95" customHeight="1" x14ac:dyDescent="0.2">
      <c r="A25" s="130" t="s">
        <v>75</v>
      </c>
      <c r="B25" s="131">
        <f t="shared" ref="B25:N25" si="3">SUM(B17-B24)</f>
        <v>5399</v>
      </c>
      <c r="C25" s="131">
        <f t="shared" si="3"/>
        <v>-258</v>
      </c>
      <c r="D25" s="131">
        <f t="shared" si="3"/>
        <v>2549</v>
      </c>
      <c r="E25" s="131">
        <f t="shared" si="3"/>
        <v>3755</v>
      </c>
      <c r="F25" s="131">
        <f t="shared" si="3"/>
        <v>-231</v>
      </c>
      <c r="G25" s="131">
        <f t="shared" si="3"/>
        <v>8</v>
      </c>
      <c r="H25" s="131">
        <f t="shared" si="3"/>
        <v>-77</v>
      </c>
      <c r="I25" s="131">
        <f t="shared" si="3"/>
        <v>7405</v>
      </c>
      <c r="J25" s="131">
        <f t="shared" si="3"/>
        <v>-6955</v>
      </c>
      <c r="K25" s="131">
        <f t="shared" si="3"/>
        <v>-1119</v>
      </c>
      <c r="L25" s="131">
        <f t="shared" si="3"/>
        <v>9675</v>
      </c>
      <c r="M25" s="131">
        <f t="shared" si="3"/>
        <v>-20151</v>
      </c>
      <c r="N25" s="129">
        <f t="shared" si="3"/>
        <v>0</v>
      </c>
    </row>
    <row r="26" spans="1:15" ht="15.95" customHeight="1" thickBot="1" x14ac:dyDescent="0.25">
      <c r="A26" s="133" t="s">
        <v>76</v>
      </c>
      <c r="B26" s="134">
        <f>SUM(B25)</f>
        <v>5399</v>
      </c>
      <c r="C26" s="134">
        <f t="shared" ref="C26:M26" si="4">B26+C17-C24</f>
        <v>5141</v>
      </c>
      <c r="D26" s="134">
        <f t="shared" si="4"/>
        <v>7690</v>
      </c>
      <c r="E26" s="134">
        <f t="shared" si="4"/>
        <v>11445</v>
      </c>
      <c r="F26" s="134">
        <f t="shared" si="4"/>
        <v>11214</v>
      </c>
      <c r="G26" s="134">
        <f t="shared" si="4"/>
        <v>11222</v>
      </c>
      <c r="H26" s="134">
        <f t="shared" si="4"/>
        <v>11145</v>
      </c>
      <c r="I26" s="134">
        <f t="shared" si="4"/>
        <v>18550</v>
      </c>
      <c r="J26" s="134">
        <f t="shared" si="4"/>
        <v>11595</v>
      </c>
      <c r="K26" s="134">
        <f t="shared" si="4"/>
        <v>10476</v>
      </c>
      <c r="L26" s="134">
        <f t="shared" si="4"/>
        <v>20151</v>
      </c>
      <c r="M26" s="134">
        <f t="shared" si="4"/>
        <v>0</v>
      </c>
      <c r="N26" s="135">
        <f>SUM(N25)</f>
        <v>0</v>
      </c>
    </row>
    <row r="27" spans="1:15" ht="18" customHeight="1" x14ac:dyDescent="0.2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136"/>
    </row>
    <row r="28" spans="1:15" ht="18" customHeight="1" x14ac:dyDescent="0.2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136"/>
    </row>
    <row r="29" spans="1:15" ht="15.95" customHeight="1" x14ac:dyDescent="0.2">
      <c r="A29" s="58"/>
      <c r="B29" s="58"/>
      <c r="C29" s="58"/>
      <c r="D29" s="58"/>
      <c r="E29" s="58"/>
      <c r="F29" s="58"/>
      <c r="G29" s="137"/>
      <c r="H29" s="58"/>
      <c r="I29" s="58"/>
      <c r="J29" s="58"/>
      <c r="K29" s="58"/>
      <c r="L29" s="58"/>
      <c r="M29" s="58"/>
      <c r="N29" s="136"/>
    </row>
    <row r="30" spans="1:15" ht="15.95" customHeight="1" x14ac:dyDescent="0.2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136"/>
    </row>
    <row r="31" spans="1:15" ht="15.95" customHeight="1" x14ac:dyDescent="0.2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136"/>
    </row>
    <row r="32" spans="1:15" ht="15.95" customHeight="1" x14ac:dyDescent="0.2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136"/>
    </row>
    <row r="33" spans="1:14" ht="15.95" customHeight="1" x14ac:dyDescent="0.2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136"/>
    </row>
    <row r="34" spans="1:14" ht="15" customHeight="1" x14ac:dyDescent="0.2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4" ht="14.1" customHeight="1" x14ac:dyDescent="0.2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</row>
    <row r="36" spans="1:14" ht="14.1" customHeight="1" x14ac:dyDescent="0.2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</row>
    <row r="37" spans="1:14" ht="14.1" customHeight="1" x14ac:dyDescent="0.2"/>
    <row r="38" spans="1:14" ht="14.1" customHeight="1" x14ac:dyDescent="0.2"/>
  </sheetData>
  <pageMargins left="0.51" right="0.19685039370078741" top="0.74803149606299213" bottom="0.98425196850393704" header="0.51181102362204722" footer="0.51181102362204722"/>
  <pageSetup paperSize="9" scale="9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zoomScaleNormal="100" workbookViewId="0">
      <selection activeCell="J24" sqref="J24"/>
    </sheetView>
  </sheetViews>
  <sheetFormatPr defaultRowHeight="12.75" x14ac:dyDescent="0.2"/>
  <cols>
    <col min="1" max="1" width="35.28515625" customWidth="1"/>
    <col min="2" max="2" width="14.42578125" customWidth="1"/>
    <col min="3" max="3" width="10.5703125" customWidth="1"/>
    <col min="4" max="4" width="9.140625" customWidth="1"/>
    <col min="5" max="5" width="10.7109375" customWidth="1"/>
    <col min="6" max="6" width="13.28515625" customWidth="1"/>
    <col min="7" max="7" width="16.42578125" customWidth="1"/>
    <col min="8" max="9" width="16.28515625" style="121" customWidth="1"/>
    <col min="10" max="11" width="14.7109375" style="121" customWidth="1"/>
    <col min="12" max="14" width="12.7109375" customWidth="1"/>
    <col min="15" max="15" width="10.28515625" customWidth="1"/>
  </cols>
  <sheetData>
    <row r="1" spans="1:15" x14ac:dyDescent="0.2">
      <c r="A1" s="116"/>
      <c r="B1" s="116"/>
      <c r="C1" s="116"/>
      <c r="D1" s="116"/>
      <c r="E1" s="116"/>
      <c r="F1" s="116"/>
      <c r="G1" s="116"/>
      <c r="H1" s="163"/>
      <c r="I1" s="163"/>
      <c r="J1" s="163"/>
      <c r="K1" s="163"/>
    </row>
    <row r="2" spans="1:15" x14ac:dyDescent="0.2">
      <c r="A2" s="116"/>
      <c r="B2" s="116"/>
      <c r="C2" s="116"/>
      <c r="D2" s="116"/>
      <c r="E2" s="116"/>
      <c r="F2" s="116"/>
      <c r="G2" s="116"/>
      <c r="H2" s="163"/>
      <c r="I2" s="163"/>
      <c r="J2" s="163"/>
      <c r="K2" s="140" t="s">
        <v>602</v>
      </c>
    </row>
    <row r="3" spans="1:15" x14ac:dyDescent="0.2">
      <c r="A3" s="116"/>
      <c r="B3" s="116"/>
      <c r="C3" s="116"/>
      <c r="D3" s="116"/>
      <c r="E3" s="116"/>
      <c r="F3" s="116"/>
      <c r="G3" s="116"/>
      <c r="H3" s="163"/>
      <c r="I3" s="163"/>
      <c r="J3" s="163"/>
      <c r="K3" s="219" t="str">
        <f>'1.Bev-kiad.'!F2</f>
        <v>a 3/2021.(V.28.) önkormányzati rendelethez</v>
      </c>
    </row>
    <row r="4" spans="1:15" ht="16.5" customHeight="1" x14ac:dyDescent="0.2">
      <c r="A4" s="668" t="s">
        <v>370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</row>
    <row r="5" spans="1:15" ht="34.5" customHeight="1" x14ac:dyDescent="0.2">
      <c r="A5" s="695" t="s">
        <v>603</v>
      </c>
      <c r="B5" s="680"/>
      <c r="C5" s="680"/>
      <c r="D5" s="680"/>
      <c r="E5" s="680"/>
      <c r="F5" s="680"/>
      <c r="G5" s="680"/>
      <c r="H5" s="680"/>
      <c r="I5" s="680"/>
      <c r="J5" s="680"/>
      <c r="K5" s="680"/>
      <c r="L5" s="164"/>
    </row>
    <row r="6" spans="1:15" ht="12" customHeight="1" x14ac:dyDescent="0.2">
      <c r="A6" s="680"/>
      <c r="B6" s="680"/>
      <c r="C6" s="680"/>
      <c r="D6" s="680"/>
      <c r="E6" s="680"/>
      <c r="F6" s="680"/>
      <c r="G6" s="680"/>
      <c r="H6" s="680"/>
      <c r="I6" s="680"/>
      <c r="J6" s="680"/>
      <c r="K6" s="680"/>
    </row>
    <row r="7" spans="1:15" ht="12.95" customHeight="1" x14ac:dyDescent="0.2">
      <c r="A7" s="5"/>
      <c r="B7" s="5"/>
      <c r="C7" s="5"/>
      <c r="D7" s="5"/>
      <c r="E7" s="5"/>
      <c r="F7" s="5"/>
      <c r="G7" s="5"/>
      <c r="H7" s="117"/>
      <c r="I7" s="117"/>
      <c r="J7" s="117"/>
      <c r="K7" s="96" t="s">
        <v>493</v>
      </c>
    </row>
    <row r="8" spans="1:15" ht="43.5" customHeight="1" x14ac:dyDescent="0.2">
      <c r="A8" s="689" t="s">
        <v>84</v>
      </c>
      <c r="B8" s="689" t="s">
        <v>85</v>
      </c>
      <c r="C8" s="689" t="s">
        <v>86</v>
      </c>
      <c r="D8" s="698" t="s">
        <v>96</v>
      </c>
      <c r="E8" s="689" t="s">
        <v>87</v>
      </c>
      <c r="F8" s="692" t="s">
        <v>89</v>
      </c>
      <c r="G8" s="693"/>
      <c r="H8" s="693"/>
      <c r="I8" s="694"/>
      <c r="J8" s="689" t="s">
        <v>88</v>
      </c>
      <c r="K8" s="689" t="s">
        <v>94</v>
      </c>
    </row>
    <row r="9" spans="1:15" ht="51" customHeight="1" x14ac:dyDescent="0.2">
      <c r="A9" s="690"/>
      <c r="B9" s="690"/>
      <c r="C9" s="690"/>
      <c r="D9" s="699"/>
      <c r="E9" s="690"/>
      <c r="F9" s="696" t="s">
        <v>91</v>
      </c>
      <c r="G9" s="697"/>
      <c r="H9" s="690" t="s">
        <v>90</v>
      </c>
      <c r="I9" s="690" t="s">
        <v>95</v>
      </c>
      <c r="J9" s="690"/>
      <c r="K9" s="690"/>
    </row>
    <row r="10" spans="1:15" ht="26.25" customHeight="1" x14ac:dyDescent="0.2">
      <c r="A10" s="691"/>
      <c r="B10" s="691"/>
      <c r="C10" s="691"/>
      <c r="D10" s="700"/>
      <c r="E10" s="691"/>
      <c r="F10" s="166" t="s">
        <v>92</v>
      </c>
      <c r="G10" s="165" t="s">
        <v>93</v>
      </c>
      <c r="H10" s="691"/>
      <c r="I10" s="691"/>
      <c r="J10" s="691"/>
      <c r="K10" s="691"/>
    </row>
    <row r="11" spans="1:15" ht="39.75" customHeight="1" thickBot="1" x14ac:dyDescent="0.25">
      <c r="A11" s="341" t="s">
        <v>461</v>
      </c>
      <c r="B11" s="341" t="s">
        <v>459</v>
      </c>
      <c r="C11" s="84">
        <v>16248</v>
      </c>
      <c r="D11" s="171" t="s">
        <v>460</v>
      </c>
      <c r="E11" s="84">
        <v>16248</v>
      </c>
      <c r="F11" s="84">
        <v>16248</v>
      </c>
      <c r="G11" s="13">
        <v>0</v>
      </c>
      <c r="H11" s="84">
        <v>0</v>
      </c>
      <c r="I11" s="84">
        <v>16248</v>
      </c>
      <c r="J11" s="84"/>
      <c r="K11" s="352">
        <f>J11/I11</f>
        <v>0</v>
      </c>
    </row>
    <row r="12" spans="1:15" ht="19.5" customHeight="1" thickBot="1" x14ac:dyDescent="0.25">
      <c r="A12" s="167" t="s">
        <v>54</v>
      </c>
      <c r="B12" s="168"/>
      <c r="C12" s="169">
        <f>SUM(C11:C11)</f>
        <v>16248</v>
      </c>
      <c r="D12" s="168"/>
      <c r="E12" s="169">
        <f t="shared" ref="E12:J12" si="0">SUM(E11:E11)</f>
        <v>16248</v>
      </c>
      <c r="F12" s="169">
        <f t="shared" si="0"/>
        <v>16248</v>
      </c>
      <c r="G12" s="169">
        <f t="shared" si="0"/>
        <v>0</v>
      </c>
      <c r="H12" s="169">
        <f t="shared" si="0"/>
        <v>0</v>
      </c>
      <c r="I12" s="169">
        <f t="shared" si="0"/>
        <v>16248</v>
      </c>
      <c r="J12" s="169">
        <f t="shared" si="0"/>
        <v>0</v>
      </c>
      <c r="K12" s="170"/>
    </row>
    <row r="13" spans="1:15" ht="12.95" customHeight="1" x14ac:dyDescent="0.2">
      <c r="H13"/>
      <c r="I13" s="41">
        <f>SUM(F12:H12)</f>
        <v>16248</v>
      </c>
      <c r="J13"/>
      <c r="K13"/>
      <c r="L13" s="4"/>
      <c r="M13" s="4"/>
      <c r="N13" s="4"/>
      <c r="O13" s="4"/>
    </row>
    <row r="14" spans="1:15" ht="12.95" customHeight="1" x14ac:dyDescent="0.2">
      <c r="B14" s="81"/>
      <c r="C14" s="81"/>
      <c r="D14" s="81"/>
      <c r="E14" s="81"/>
      <c r="F14" s="81"/>
      <c r="G14" s="81"/>
      <c r="H14" s="120"/>
      <c r="I14" s="120"/>
      <c r="J14" s="120"/>
      <c r="K14" s="120"/>
      <c r="L14" s="4"/>
      <c r="M14" s="4"/>
      <c r="N14" s="4"/>
      <c r="O14" s="4"/>
    </row>
    <row r="15" spans="1:15" ht="12.95" customHeight="1" x14ac:dyDescent="0.2">
      <c r="B15" s="81"/>
      <c r="C15" s="81"/>
      <c r="D15" s="81"/>
      <c r="E15" s="81"/>
      <c r="F15" s="81"/>
      <c r="G15" s="81"/>
      <c r="H15" s="120"/>
      <c r="I15" s="120"/>
      <c r="J15" s="120"/>
      <c r="K15" s="120"/>
      <c r="L15" s="4"/>
      <c r="M15" s="4"/>
      <c r="N15" s="4"/>
      <c r="O15" s="4"/>
    </row>
    <row r="16" spans="1:15" ht="12.95" customHeight="1" x14ac:dyDescent="0.2">
      <c r="B16" s="81"/>
      <c r="C16" s="81"/>
      <c r="D16" s="81"/>
      <c r="E16" s="81"/>
      <c r="F16" s="81"/>
      <c r="G16" s="81"/>
      <c r="H16" s="120"/>
      <c r="I16" s="120"/>
      <c r="J16" s="120"/>
      <c r="K16" s="120"/>
      <c r="L16" s="4"/>
      <c r="M16" s="4"/>
      <c r="N16" s="4"/>
      <c r="O16" s="4"/>
    </row>
    <row r="17" spans="2:15" ht="12.95" customHeight="1" x14ac:dyDescent="0.2">
      <c r="B17" s="81"/>
      <c r="C17" s="81"/>
      <c r="D17" s="81"/>
      <c r="E17" s="81"/>
      <c r="F17" s="81"/>
      <c r="G17" s="81"/>
      <c r="H17" s="120"/>
      <c r="I17" s="120"/>
      <c r="J17" s="120"/>
      <c r="K17" s="120"/>
      <c r="L17" s="4"/>
      <c r="M17" s="4"/>
      <c r="N17" s="4"/>
      <c r="O17" s="4"/>
    </row>
    <row r="18" spans="2:15" ht="12.95" customHeight="1" x14ac:dyDescent="0.2">
      <c r="B18" s="81"/>
      <c r="C18" s="81"/>
      <c r="D18" s="81"/>
      <c r="E18" s="81"/>
      <c r="F18" s="81"/>
      <c r="G18" s="81"/>
      <c r="H18" s="120"/>
      <c r="I18" s="120"/>
      <c r="J18" s="120"/>
      <c r="K18" s="120"/>
      <c r="L18" s="4"/>
      <c r="M18" s="4"/>
      <c r="N18" s="4"/>
      <c r="O18" s="4"/>
    </row>
    <row r="19" spans="2:15" ht="12.95" customHeight="1" x14ac:dyDescent="0.2">
      <c r="B19" s="81"/>
      <c r="C19" s="81"/>
      <c r="D19" s="81"/>
      <c r="E19" s="81"/>
      <c r="F19" s="81"/>
      <c r="G19" s="81"/>
      <c r="H19" s="120"/>
      <c r="I19" s="120"/>
      <c r="J19" s="120"/>
      <c r="K19" s="120"/>
      <c r="L19" s="4"/>
      <c r="M19" s="4"/>
      <c r="N19" s="4"/>
      <c r="O19" s="4"/>
    </row>
    <row r="20" spans="2:15" ht="12.95" customHeight="1" x14ac:dyDescent="0.2">
      <c r="B20" s="81"/>
      <c r="C20" s="81"/>
      <c r="D20" s="81"/>
      <c r="E20" s="81"/>
      <c r="F20" s="81"/>
      <c r="G20" s="81"/>
      <c r="H20" s="120"/>
      <c r="I20" s="120"/>
      <c r="J20" s="120"/>
      <c r="K20" s="120"/>
      <c r="L20" s="4"/>
      <c r="M20" s="4"/>
      <c r="N20" s="4"/>
      <c r="O20" s="4"/>
    </row>
    <row r="21" spans="2:15" ht="12.95" customHeight="1" x14ac:dyDescent="0.2">
      <c r="B21" s="81"/>
      <c r="C21" s="81"/>
      <c r="D21" s="81"/>
      <c r="E21" s="81"/>
      <c r="F21" s="81"/>
      <c r="G21" s="81"/>
      <c r="H21" s="120"/>
      <c r="I21" s="120"/>
      <c r="J21" s="120"/>
      <c r="K21" s="120"/>
      <c r="L21" s="4"/>
      <c r="M21" s="4"/>
      <c r="N21" s="4"/>
      <c r="O21" s="4"/>
    </row>
    <row r="22" spans="2:15" ht="12.95" customHeight="1" x14ac:dyDescent="0.2">
      <c r="B22" s="81"/>
      <c r="C22" s="81"/>
      <c r="D22" s="81"/>
      <c r="E22" s="81"/>
      <c r="F22" s="81"/>
      <c r="G22" s="81"/>
      <c r="H22" s="120"/>
      <c r="I22" s="120"/>
      <c r="J22" s="120"/>
      <c r="K22" s="120"/>
      <c r="L22" s="4"/>
      <c r="M22" s="4"/>
      <c r="N22" s="4"/>
      <c r="O22" s="4"/>
    </row>
    <row r="23" spans="2:15" ht="12.95" customHeight="1" x14ac:dyDescent="0.2">
      <c r="B23" s="81"/>
      <c r="C23" s="81"/>
      <c r="D23" s="81"/>
      <c r="E23" s="81"/>
      <c r="F23" s="81"/>
      <c r="G23" s="81"/>
      <c r="H23" s="120"/>
      <c r="I23" s="120"/>
      <c r="J23" s="120"/>
      <c r="K23" s="120"/>
      <c r="L23" s="4"/>
      <c r="M23" s="4"/>
      <c r="N23" s="4"/>
      <c r="O23" s="4"/>
    </row>
    <row r="24" spans="2:15" ht="12.95" customHeight="1" x14ac:dyDescent="0.2">
      <c r="B24" s="81"/>
      <c r="C24" s="81"/>
      <c r="D24" s="81"/>
      <c r="E24" s="81"/>
      <c r="F24" s="81"/>
      <c r="G24" s="81"/>
      <c r="H24" s="120"/>
      <c r="I24" s="120"/>
      <c r="J24" s="120"/>
      <c r="K24" s="120"/>
      <c r="L24" s="4"/>
      <c r="M24" s="4"/>
      <c r="N24" s="4"/>
      <c r="O24" s="4"/>
    </row>
    <row r="25" spans="2:15" ht="12.95" customHeight="1" x14ac:dyDescent="0.2">
      <c r="B25" s="81"/>
      <c r="C25" s="81"/>
      <c r="D25" s="81"/>
      <c r="E25" s="81"/>
      <c r="F25" s="81"/>
      <c r="G25" s="81"/>
      <c r="H25" s="120"/>
      <c r="I25" s="120"/>
      <c r="J25" s="120"/>
      <c r="K25" s="120"/>
      <c r="L25" s="4"/>
      <c r="M25" s="4"/>
      <c r="N25" s="4"/>
      <c r="O25" s="4"/>
    </row>
    <row r="26" spans="2:15" ht="12.95" customHeight="1" x14ac:dyDescent="0.2">
      <c r="B26" s="81"/>
      <c r="C26" s="81"/>
      <c r="D26" s="81"/>
      <c r="E26" s="81"/>
      <c r="F26" s="81"/>
      <c r="G26" s="81"/>
      <c r="H26" s="120"/>
      <c r="I26" s="120"/>
      <c r="J26" s="120"/>
      <c r="K26" s="120"/>
      <c r="L26" s="4"/>
      <c r="M26" s="4"/>
      <c r="N26" s="4"/>
      <c r="O26" s="4"/>
    </row>
    <row r="27" spans="2:15" ht="12.95" customHeight="1" x14ac:dyDescent="0.2">
      <c r="B27" s="81"/>
      <c r="C27" s="81"/>
      <c r="D27" s="81"/>
      <c r="E27" s="81"/>
      <c r="F27" s="81"/>
      <c r="G27" s="81"/>
      <c r="H27" s="120"/>
      <c r="I27" s="120"/>
      <c r="J27" s="120"/>
      <c r="K27" s="120"/>
      <c r="L27" s="4"/>
      <c r="M27" s="4"/>
      <c r="N27" s="4"/>
      <c r="O27" s="4"/>
    </row>
    <row r="28" spans="2:15" ht="12.95" customHeight="1" x14ac:dyDescent="0.2">
      <c r="B28" s="81"/>
      <c r="C28" s="81"/>
      <c r="D28" s="81"/>
      <c r="E28" s="81"/>
      <c r="F28" s="81"/>
      <c r="G28" s="81"/>
      <c r="H28" s="120"/>
      <c r="I28" s="120"/>
      <c r="J28" s="120"/>
      <c r="K28" s="120"/>
      <c r="L28" s="4"/>
      <c r="M28" s="4"/>
      <c r="N28" s="4"/>
      <c r="O28" s="4"/>
    </row>
    <row r="29" spans="2:15" ht="12.95" customHeight="1" x14ac:dyDescent="0.2">
      <c r="B29" s="81"/>
      <c r="C29" s="81"/>
      <c r="D29" s="81"/>
      <c r="E29" s="81"/>
      <c r="F29" s="81"/>
      <c r="G29" s="81"/>
      <c r="H29" s="120"/>
      <c r="I29" s="120"/>
      <c r="J29" s="120"/>
      <c r="K29" s="120"/>
      <c r="L29" s="4"/>
      <c r="M29" s="4"/>
      <c r="N29" s="4"/>
      <c r="O29" s="4"/>
    </row>
    <row r="30" spans="2:15" ht="12.95" customHeight="1" x14ac:dyDescent="0.2">
      <c r="B30" s="81"/>
      <c r="C30" s="81"/>
      <c r="D30" s="81"/>
      <c r="E30" s="81"/>
      <c r="F30" s="81"/>
      <c r="G30" s="81"/>
      <c r="H30" s="120"/>
      <c r="I30" s="120"/>
      <c r="J30" s="120"/>
      <c r="K30" s="120"/>
      <c r="L30" s="4"/>
      <c r="M30" s="4"/>
      <c r="N30" s="4"/>
      <c r="O30" s="4"/>
    </row>
    <row r="31" spans="2:15" ht="12.95" customHeight="1" x14ac:dyDescent="0.2">
      <c r="B31" s="81"/>
      <c r="C31" s="81"/>
      <c r="D31" s="81"/>
      <c r="E31" s="81"/>
      <c r="F31" s="81"/>
      <c r="G31" s="81"/>
      <c r="H31" s="120"/>
      <c r="I31" s="120"/>
      <c r="J31" s="120"/>
      <c r="K31" s="120"/>
      <c r="L31" s="4"/>
      <c r="M31" s="4"/>
      <c r="N31" s="4"/>
      <c r="O31" s="4"/>
    </row>
    <row r="32" spans="2:15" ht="12.95" customHeight="1" x14ac:dyDescent="0.2">
      <c r="B32" s="81"/>
      <c r="C32" s="81"/>
      <c r="D32" s="81"/>
      <c r="E32" s="81"/>
      <c r="F32" s="81"/>
      <c r="G32" s="81"/>
      <c r="H32" s="120"/>
      <c r="I32" s="120"/>
      <c r="J32" s="120"/>
      <c r="K32" s="120"/>
      <c r="L32" s="4"/>
      <c r="M32" s="4"/>
      <c r="N32" s="4"/>
      <c r="O32" s="4"/>
    </row>
    <row r="33" spans="2:15" ht="12.95" customHeight="1" x14ac:dyDescent="0.2">
      <c r="B33" s="81"/>
      <c r="C33" s="81"/>
      <c r="D33" s="81"/>
      <c r="E33" s="81"/>
      <c r="F33" s="81"/>
      <c r="G33" s="81"/>
      <c r="H33" s="120"/>
      <c r="I33" s="120"/>
      <c r="J33" s="120"/>
      <c r="K33" s="120"/>
      <c r="L33" s="4"/>
      <c r="M33" s="4"/>
      <c r="N33" s="4"/>
      <c r="O33" s="4"/>
    </row>
    <row r="34" spans="2:15" ht="12.95" customHeight="1" x14ac:dyDescent="0.2">
      <c r="B34" s="81"/>
      <c r="C34" s="81"/>
      <c r="D34" s="81"/>
      <c r="E34" s="81"/>
      <c r="F34" s="81"/>
      <c r="G34" s="81"/>
      <c r="H34" s="120"/>
      <c r="I34" s="120"/>
      <c r="J34" s="120"/>
      <c r="K34" s="120"/>
      <c r="L34" s="4"/>
      <c r="M34" s="4"/>
      <c r="N34" s="4"/>
      <c r="O34" s="4"/>
    </row>
    <row r="35" spans="2:15" ht="12.95" customHeight="1" x14ac:dyDescent="0.2">
      <c r="B35" s="81"/>
      <c r="C35" s="81"/>
      <c r="D35" s="81"/>
      <c r="E35" s="81"/>
      <c r="F35" s="81"/>
      <c r="G35" s="81"/>
      <c r="H35" s="120"/>
      <c r="I35" s="120"/>
      <c r="J35" s="120"/>
      <c r="K35" s="120"/>
      <c r="L35" s="4"/>
      <c r="M35" s="4"/>
      <c r="N35" s="4"/>
      <c r="O35" s="4"/>
    </row>
    <row r="36" spans="2:15" ht="12.95" customHeight="1" x14ac:dyDescent="0.2">
      <c r="B36" s="81"/>
      <c r="C36" s="81"/>
      <c r="D36" s="81"/>
      <c r="E36" s="81"/>
      <c r="F36" s="81"/>
      <c r="G36" s="81"/>
      <c r="H36" s="120"/>
      <c r="I36" s="120"/>
      <c r="J36" s="120"/>
      <c r="K36" s="120"/>
      <c r="L36" s="4"/>
      <c r="M36" s="4"/>
      <c r="N36" s="4"/>
      <c r="O36" s="4"/>
    </row>
    <row r="37" spans="2:15" ht="12.95" customHeight="1" x14ac:dyDescent="0.2">
      <c r="B37" s="81"/>
      <c r="C37" s="81"/>
      <c r="D37" s="81"/>
      <c r="E37" s="81"/>
      <c r="F37" s="81"/>
      <c r="G37" s="81"/>
      <c r="H37" s="120"/>
      <c r="I37" s="120"/>
      <c r="J37" s="120"/>
      <c r="K37" s="120"/>
      <c r="L37" s="4"/>
      <c r="M37" s="4"/>
      <c r="N37" s="4"/>
      <c r="O37" s="4"/>
    </row>
    <row r="38" spans="2:15" ht="12.95" customHeight="1" x14ac:dyDescent="0.2">
      <c r="B38" s="81"/>
      <c r="C38" s="81"/>
      <c r="D38" s="81"/>
      <c r="E38" s="81"/>
      <c r="F38" s="81"/>
      <c r="G38" s="81"/>
      <c r="H38" s="120"/>
      <c r="I38" s="120"/>
      <c r="J38" s="120"/>
      <c r="K38" s="120"/>
      <c r="L38" s="4"/>
      <c r="M38" s="4"/>
      <c r="N38" s="4"/>
      <c r="O38" s="4"/>
    </row>
    <row r="39" spans="2:15" ht="12.95" customHeight="1" x14ac:dyDescent="0.2">
      <c r="B39" s="81"/>
      <c r="C39" s="81"/>
      <c r="D39" s="81"/>
      <c r="E39" s="81"/>
      <c r="F39" s="81"/>
      <c r="G39" s="81"/>
      <c r="H39" s="120"/>
      <c r="I39" s="120"/>
      <c r="J39" s="120"/>
      <c r="K39" s="120"/>
      <c r="L39" s="4"/>
      <c r="M39" s="4"/>
      <c r="N39" s="4"/>
      <c r="O39" s="4"/>
    </row>
    <row r="40" spans="2:15" ht="12.95" customHeight="1" x14ac:dyDescent="0.2">
      <c r="B40" s="81"/>
      <c r="C40" s="81"/>
      <c r="D40" s="81"/>
      <c r="E40" s="81"/>
      <c r="F40" s="81"/>
      <c r="G40" s="81"/>
      <c r="H40" s="120"/>
      <c r="I40" s="120"/>
      <c r="J40" s="120"/>
      <c r="K40" s="120"/>
      <c r="L40" s="4"/>
      <c r="M40" s="4"/>
      <c r="N40" s="4"/>
      <c r="O40" s="4"/>
    </row>
    <row r="41" spans="2:15" ht="12.95" customHeight="1" x14ac:dyDescent="0.2">
      <c r="B41" s="81"/>
      <c r="C41" s="81"/>
      <c r="D41" s="81"/>
      <c r="E41" s="81"/>
      <c r="F41" s="81"/>
      <c r="G41" s="81"/>
      <c r="H41" s="120"/>
      <c r="I41" s="120"/>
      <c r="J41" s="120"/>
      <c r="K41" s="120"/>
      <c r="L41" s="4"/>
      <c r="M41" s="4"/>
      <c r="N41" s="4"/>
      <c r="O41" s="4"/>
    </row>
    <row r="42" spans="2:15" ht="12.95" customHeight="1" x14ac:dyDescent="0.2">
      <c r="B42" s="81"/>
      <c r="C42" s="81"/>
      <c r="D42" s="81"/>
      <c r="E42" s="81"/>
      <c r="F42" s="81"/>
      <c r="G42" s="81"/>
      <c r="H42" s="120"/>
      <c r="I42" s="120"/>
      <c r="J42" s="120"/>
      <c r="K42" s="120"/>
      <c r="L42" s="4"/>
      <c r="M42" s="4"/>
      <c r="N42" s="4"/>
      <c r="O42" s="4"/>
    </row>
    <row r="43" spans="2:15" ht="12.95" customHeight="1" x14ac:dyDescent="0.2">
      <c r="B43" s="81"/>
      <c r="C43" s="81"/>
      <c r="D43" s="81"/>
      <c r="E43" s="81"/>
      <c r="F43" s="81"/>
      <c r="G43" s="81"/>
      <c r="H43" s="120"/>
      <c r="I43" s="120"/>
      <c r="J43" s="120"/>
      <c r="K43" s="120"/>
      <c r="L43" s="4"/>
      <c r="M43" s="4"/>
      <c r="N43" s="4"/>
      <c r="O43" s="4"/>
    </row>
    <row r="44" spans="2:15" ht="12.95" customHeight="1" x14ac:dyDescent="0.2">
      <c r="B44" s="81"/>
      <c r="C44" s="81"/>
      <c r="D44" s="81"/>
      <c r="E44" s="81"/>
      <c r="F44" s="81"/>
      <c r="G44" s="81"/>
      <c r="H44" s="120"/>
      <c r="I44" s="120"/>
      <c r="J44" s="120"/>
      <c r="K44" s="120"/>
      <c r="L44" s="4"/>
      <c r="M44" s="4"/>
      <c r="N44" s="4"/>
      <c r="O44" s="4"/>
    </row>
    <row r="45" spans="2:15" ht="12.95" customHeight="1" x14ac:dyDescent="0.2">
      <c r="B45" s="81"/>
      <c r="C45" s="81"/>
      <c r="D45" s="81"/>
      <c r="E45" s="81"/>
      <c r="F45" s="81"/>
      <c r="G45" s="81"/>
      <c r="H45" s="120"/>
      <c r="I45" s="120"/>
      <c r="J45" s="120"/>
      <c r="K45" s="120"/>
    </row>
    <row r="46" spans="2:15" ht="12.95" customHeight="1" x14ac:dyDescent="0.2">
      <c r="B46" s="81"/>
      <c r="C46" s="81"/>
      <c r="D46" s="81"/>
      <c r="E46" s="81"/>
      <c r="F46" s="81"/>
      <c r="G46" s="81"/>
      <c r="H46" s="120"/>
      <c r="I46" s="120"/>
      <c r="J46" s="120"/>
      <c r="K46" s="120"/>
    </row>
    <row r="47" spans="2:15" ht="12.95" customHeight="1" x14ac:dyDescent="0.2">
      <c r="B47" s="81"/>
      <c r="C47" s="81"/>
      <c r="D47" s="81"/>
      <c r="E47" s="81"/>
      <c r="F47" s="81"/>
      <c r="G47" s="81"/>
      <c r="H47" s="120"/>
      <c r="I47" s="120"/>
      <c r="J47" s="120"/>
      <c r="K47" s="120"/>
    </row>
    <row r="48" spans="2:15" ht="12.95" customHeight="1" x14ac:dyDescent="0.2">
      <c r="B48" s="81"/>
      <c r="C48" s="81"/>
      <c r="D48" s="81"/>
      <c r="E48" s="81"/>
      <c r="F48" s="81"/>
      <c r="G48" s="81"/>
      <c r="H48" s="120"/>
      <c r="I48" s="120"/>
      <c r="J48" s="120"/>
      <c r="K48" s="120"/>
    </row>
    <row r="49" spans="2:11" ht="12.95" customHeight="1" x14ac:dyDescent="0.2">
      <c r="B49" s="81"/>
      <c r="C49" s="81"/>
      <c r="D49" s="81"/>
      <c r="E49" s="81"/>
      <c r="F49" s="81"/>
      <c r="G49" s="81"/>
      <c r="H49" s="120"/>
      <c r="I49" s="120"/>
      <c r="J49" s="120"/>
      <c r="K49" s="120"/>
    </row>
    <row r="50" spans="2:11" ht="12.95" customHeight="1" x14ac:dyDescent="0.2">
      <c r="B50" s="81"/>
      <c r="C50" s="81"/>
      <c r="D50" s="81"/>
      <c r="E50" s="81"/>
      <c r="F50" s="81"/>
      <c r="G50" s="81"/>
      <c r="H50" s="120"/>
      <c r="I50" s="120"/>
      <c r="J50" s="120"/>
      <c r="K50" s="120"/>
    </row>
    <row r="51" spans="2:11" ht="12.95" customHeight="1" x14ac:dyDescent="0.2">
      <c r="B51" s="81"/>
      <c r="C51" s="81"/>
      <c r="D51" s="81"/>
      <c r="E51" s="81"/>
      <c r="F51" s="81"/>
      <c r="G51" s="81"/>
      <c r="H51" s="120"/>
      <c r="I51" s="120"/>
      <c r="J51" s="120"/>
      <c r="K51" s="120"/>
    </row>
    <row r="52" spans="2:11" ht="12.95" customHeight="1" x14ac:dyDescent="0.2">
      <c r="B52" s="81"/>
      <c r="C52" s="81"/>
      <c r="D52" s="81"/>
      <c r="E52" s="81"/>
      <c r="F52" s="81"/>
      <c r="G52" s="81"/>
      <c r="H52" s="120"/>
      <c r="I52" s="120"/>
      <c r="J52" s="120"/>
      <c r="K52" s="120"/>
    </row>
    <row r="53" spans="2:11" ht="12.95" customHeight="1" x14ac:dyDescent="0.2">
      <c r="B53" s="81"/>
      <c r="C53" s="81"/>
      <c r="D53" s="81"/>
      <c r="E53" s="81"/>
      <c r="F53" s="81"/>
      <c r="G53" s="81"/>
      <c r="H53" s="120"/>
      <c r="I53" s="120"/>
      <c r="J53" s="120"/>
      <c r="K53" s="120"/>
    </row>
    <row r="54" spans="2:11" x14ac:dyDescent="0.2">
      <c r="B54" s="81"/>
      <c r="C54" s="81"/>
      <c r="D54" s="81"/>
      <c r="E54" s="81"/>
      <c r="F54" s="81"/>
      <c r="G54" s="81"/>
      <c r="H54" s="120"/>
      <c r="I54" s="120"/>
      <c r="J54" s="120"/>
      <c r="K54" s="120"/>
    </row>
    <row r="55" spans="2:11" x14ac:dyDescent="0.2">
      <c r="B55" s="81"/>
      <c r="C55" s="81"/>
      <c r="D55" s="81"/>
      <c r="E55" s="81"/>
      <c r="F55" s="81"/>
      <c r="G55" s="81"/>
      <c r="H55" s="120"/>
      <c r="I55" s="120"/>
      <c r="J55" s="120"/>
      <c r="K55" s="120"/>
    </row>
    <row r="56" spans="2:11" x14ac:dyDescent="0.2">
      <c r="B56" s="81"/>
      <c r="C56" s="81"/>
      <c r="D56" s="81"/>
      <c r="E56" s="81"/>
      <c r="F56" s="81"/>
      <c r="G56" s="81"/>
      <c r="H56" s="120"/>
      <c r="I56" s="120"/>
      <c r="J56" s="120"/>
      <c r="K56" s="120"/>
    </row>
    <row r="57" spans="2:11" x14ac:dyDescent="0.2">
      <c r="B57" s="81"/>
      <c r="C57" s="81"/>
      <c r="D57" s="81"/>
      <c r="E57" s="81"/>
      <c r="F57" s="81"/>
      <c r="G57" s="81"/>
      <c r="H57" s="120"/>
      <c r="I57" s="120"/>
      <c r="J57" s="120"/>
      <c r="K57" s="120"/>
    </row>
    <row r="58" spans="2:11" x14ac:dyDescent="0.2">
      <c r="B58" s="81"/>
      <c r="C58" s="81"/>
      <c r="D58" s="81"/>
      <c r="E58" s="81"/>
      <c r="F58" s="81"/>
      <c r="G58" s="81"/>
      <c r="H58" s="120"/>
      <c r="I58" s="120"/>
      <c r="J58" s="120"/>
      <c r="K58" s="120"/>
    </row>
    <row r="59" spans="2:11" x14ac:dyDescent="0.2">
      <c r="B59" s="81"/>
      <c r="C59" s="81"/>
      <c r="D59" s="81"/>
      <c r="E59" s="81"/>
      <c r="F59" s="81"/>
      <c r="G59" s="81"/>
      <c r="H59" s="120"/>
      <c r="I59" s="120"/>
      <c r="J59" s="120"/>
      <c r="K59" s="120"/>
    </row>
    <row r="60" spans="2:11" x14ac:dyDescent="0.2">
      <c r="B60" s="81"/>
      <c r="C60" s="81"/>
      <c r="D60" s="81"/>
      <c r="E60" s="81"/>
      <c r="F60" s="81"/>
      <c r="G60" s="81"/>
      <c r="H60" s="120"/>
      <c r="I60" s="120"/>
      <c r="J60" s="120"/>
      <c r="K60" s="120"/>
    </row>
    <row r="61" spans="2:11" x14ac:dyDescent="0.2">
      <c r="B61" s="81"/>
      <c r="C61" s="81"/>
      <c r="D61" s="81"/>
      <c r="E61" s="81"/>
      <c r="F61" s="81"/>
      <c r="G61" s="81"/>
      <c r="H61" s="120"/>
      <c r="I61" s="120"/>
      <c r="J61" s="120"/>
      <c r="K61" s="120"/>
    </row>
    <row r="62" spans="2:11" x14ac:dyDescent="0.2">
      <c r="B62" s="81"/>
      <c r="C62" s="81"/>
      <c r="D62" s="81"/>
      <c r="E62" s="81"/>
      <c r="F62" s="81"/>
      <c r="G62" s="81"/>
      <c r="H62" s="120"/>
      <c r="I62" s="120"/>
      <c r="J62" s="120"/>
      <c r="K62" s="120"/>
    </row>
    <row r="63" spans="2:11" x14ac:dyDescent="0.2">
      <c r="B63" s="81"/>
      <c r="C63" s="81"/>
      <c r="D63" s="81"/>
      <c r="E63" s="81"/>
      <c r="F63" s="81"/>
      <c r="G63" s="81"/>
      <c r="H63" s="120"/>
      <c r="I63" s="120"/>
      <c r="J63" s="120"/>
      <c r="K63" s="120"/>
    </row>
    <row r="64" spans="2:11" x14ac:dyDescent="0.2">
      <c r="B64" s="81"/>
      <c r="C64" s="81"/>
      <c r="D64" s="81"/>
      <c r="E64" s="81"/>
      <c r="F64" s="81"/>
      <c r="G64" s="81"/>
      <c r="H64" s="120"/>
      <c r="I64" s="120"/>
      <c r="J64" s="120"/>
      <c r="K64" s="120"/>
    </row>
    <row r="65" spans="2:11" x14ac:dyDescent="0.2">
      <c r="B65" s="81"/>
      <c r="C65" s="81"/>
      <c r="D65" s="81"/>
      <c r="E65" s="81"/>
      <c r="F65" s="81"/>
      <c r="G65" s="81"/>
      <c r="H65" s="120"/>
      <c r="I65" s="120"/>
      <c r="J65" s="120"/>
      <c r="K65" s="120"/>
    </row>
    <row r="66" spans="2:11" x14ac:dyDescent="0.2">
      <c r="B66" s="81"/>
      <c r="C66" s="81"/>
      <c r="D66" s="81"/>
      <c r="E66" s="81"/>
      <c r="F66" s="81"/>
      <c r="G66" s="81"/>
      <c r="H66" s="120"/>
      <c r="I66" s="120"/>
      <c r="J66" s="120"/>
      <c r="K66" s="120"/>
    </row>
    <row r="67" spans="2:11" x14ac:dyDescent="0.2">
      <c r="B67" s="81"/>
      <c r="C67" s="81"/>
      <c r="D67" s="81"/>
      <c r="E67" s="81"/>
      <c r="F67" s="81"/>
      <c r="G67" s="81"/>
      <c r="H67" s="120"/>
      <c r="I67" s="120"/>
      <c r="J67" s="120"/>
      <c r="K67" s="120"/>
    </row>
    <row r="68" spans="2:11" x14ac:dyDescent="0.2">
      <c r="B68" s="81"/>
      <c r="C68" s="81"/>
      <c r="D68" s="81"/>
      <c r="E68" s="81"/>
      <c r="F68" s="81"/>
      <c r="G68" s="81"/>
      <c r="H68" s="120"/>
      <c r="I68" s="120"/>
      <c r="J68" s="120"/>
      <c r="K68" s="120"/>
    </row>
    <row r="69" spans="2:11" x14ac:dyDescent="0.2">
      <c r="B69" s="81"/>
      <c r="C69" s="81"/>
      <c r="D69" s="81"/>
      <c r="E69" s="81"/>
      <c r="F69" s="81"/>
      <c r="G69" s="81"/>
      <c r="H69" s="120"/>
      <c r="I69" s="120"/>
      <c r="J69" s="120"/>
      <c r="K69" s="120"/>
    </row>
    <row r="70" spans="2:11" x14ac:dyDescent="0.2">
      <c r="B70" s="81"/>
      <c r="C70" s="81"/>
      <c r="D70" s="81"/>
      <c r="E70" s="81"/>
      <c r="F70" s="81"/>
      <c r="G70" s="81"/>
      <c r="H70" s="120"/>
      <c r="I70" s="120"/>
      <c r="J70" s="120"/>
      <c r="K70" s="120"/>
    </row>
    <row r="71" spans="2:11" x14ac:dyDescent="0.2">
      <c r="B71" s="81"/>
      <c r="C71" s="81"/>
      <c r="D71" s="81"/>
      <c r="E71" s="81"/>
      <c r="F71" s="81"/>
      <c r="G71" s="81"/>
      <c r="H71" s="120"/>
      <c r="I71" s="120"/>
      <c r="J71" s="120"/>
      <c r="K71" s="120"/>
    </row>
    <row r="72" spans="2:11" x14ac:dyDescent="0.2">
      <c r="G72" s="81"/>
    </row>
  </sheetData>
  <mergeCells count="14">
    <mergeCell ref="A8:A10"/>
    <mergeCell ref="B8:B10"/>
    <mergeCell ref="C8:C10"/>
    <mergeCell ref="D8:D10"/>
    <mergeCell ref="E8:E10"/>
    <mergeCell ref="H9:H10"/>
    <mergeCell ref="F8:I8"/>
    <mergeCell ref="I9:I10"/>
    <mergeCell ref="A4:K4"/>
    <mergeCell ref="A6:K6"/>
    <mergeCell ref="A5:K5"/>
    <mergeCell ref="K8:K10"/>
    <mergeCell ref="J8:J10"/>
    <mergeCell ref="F9:G9"/>
  </mergeCells>
  <pageMargins left="0.35" right="0.16" top="0.31" bottom="1" header="0.19" footer="0.5"/>
  <pageSetup paperSize="9" scale="8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zoomScale="170" zoomScaleNormal="170" workbookViewId="0">
      <selection activeCell="A5" sqref="A5:C5"/>
    </sheetView>
  </sheetViews>
  <sheetFormatPr defaultRowHeight="12.75" x14ac:dyDescent="0.2"/>
  <cols>
    <col min="1" max="1" width="8.140625" style="495" customWidth="1"/>
    <col min="2" max="2" width="50.85546875" style="495" customWidth="1"/>
    <col min="3" max="3" width="15.28515625" style="495" customWidth="1"/>
    <col min="4" max="16384" width="9.140625" style="495"/>
  </cols>
  <sheetData>
    <row r="1" spans="1:3" x14ac:dyDescent="0.2">
      <c r="C1" s="496" t="s">
        <v>600</v>
      </c>
    </row>
    <row r="2" spans="1:3" x14ac:dyDescent="0.2">
      <c r="C2" s="497" t="str">
        <f>'1.Bev-kiad.'!F2</f>
        <v>a 3/2021.(V.28.) önkormányzati rendelethez</v>
      </c>
    </row>
    <row r="3" spans="1:3" x14ac:dyDescent="0.2">
      <c r="C3" s="496"/>
    </row>
    <row r="4" spans="1:3" ht="19.5" x14ac:dyDescent="0.35">
      <c r="A4" s="614" t="s">
        <v>992</v>
      </c>
      <c r="B4" s="701"/>
      <c r="C4" s="701"/>
    </row>
    <row r="5" spans="1:3" ht="19.5" x14ac:dyDescent="0.35">
      <c r="A5" s="614"/>
      <c r="B5" s="701"/>
      <c r="C5" s="701"/>
    </row>
    <row r="6" spans="1:3" ht="20.25" thickBot="1" x14ac:dyDescent="0.4">
      <c r="B6" s="492"/>
      <c r="C6" s="496" t="s">
        <v>739</v>
      </c>
    </row>
    <row r="7" spans="1:3" s="500" customFormat="1" ht="15.75" customHeight="1" thickBot="1" x14ac:dyDescent="0.25">
      <c r="A7" s="498"/>
      <c r="B7" s="499" t="s">
        <v>55</v>
      </c>
      <c r="C7" s="499" t="s">
        <v>740</v>
      </c>
    </row>
    <row r="8" spans="1:3" x14ac:dyDescent="0.2">
      <c r="A8" s="501" t="s">
        <v>741</v>
      </c>
      <c r="B8" s="502" t="s">
        <v>742</v>
      </c>
      <c r="C8" s="599">
        <v>62082</v>
      </c>
    </row>
    <row r="9" spans="1:3" x14ac:dyDescent="0.2">
      <c r="A9" s="503" t="s">
        <v>743</v>
      </c>
      <c r="B9" s="504" t="s">
        <v>744</v>
      </c>
      <c r="C9" s="600">
        <v>49889</v>
      </c>
    </row>
    <row r="10" spans="1:3" x14ac:dyDescent="0.2">
      <c r="A10" s="506" t="s">
        <v>745</v>
      </c>
      <c r="B10" s="507" t="s">
        <v>746</v>
      </c>
      <c r="C10" s="601">
        <f>C8-C9</f>
        <v>12193</v>
      </c>
    </row>
    <row r="11" spans="1:3" x14ac:dyDescent="0.2">
      <c r="A11" s="503" t="s">
        <v>747</v>
      </c>
      <c r="B11" s="504" t="s">
        <v>748</v>
      </c>
      <c r="C11" s="600">
        <v>6837</v>
      </c>
    </row>
    <row r="12" spans="1:3" x14ac:dyDescent="0.2">
      <c r="A12" s="503" t="s">
        <v>749</v>
      </c>
      <c r="B12" s="504" t="s">
        <v>750</v>
      </c>
      <c r="C12" s="600">
        <v>941</v>
      </c>
    </row>
    <row r="13" spans="1:3" ht="14.25" customHeight="1" x14ac:dyDescent="0.2">
      <c r="A13" s="506" t="s">
        <v>751</v>
      </c>
      <c r="B13" s="507" t="s">
        <v>752</v>
      </c>
      <c r="C13" s="601">
        <f>C11-C12</f>
        <v>5896</v>
      </c>
    </row>
    <row r="14" spans="1:3" x14ac:dyDescent="0.2">
      <c r="A14" s="506" t="s">
        <v>753</v>
      </c>
      <c r="B14" s="507" t="s">
        <v>754</v>
      </c>
      <c r="C14" s="601">
        <f>C10+C13</f>
        <v>18089</v>
      </c>
    </row>
    <row r="15" spans="1:3" x14ac:dyDescent="0.2">
      <c r="A15" s="506">
        <v>15</v>
      </c>
      <c r="B15" s="507" t="s">
        <v>755</v>
      </c>
      <c r="C15" s="601">
        <f>C14</f>
        <v>18089</v>
      </c>
    </row>
    <row r="16" spans="1:3" ht="25.5" hidden="1" x14ac:dyDescent="0.2">
      <c r="A16" s="509" t="s">
        <v>756</v>
      </c>
      <c r="B16" s="507" t="s">
        <v>757</v>
      </c>
      <c r="C16" s="602">
        <v>0</v>
      </c>
    </row>
    <row r="17" spans="1:3" ht="13.5" thickBot="1" x14ac:dyDescent="0.25">
      <c r="A17" s="511">
        <v>17</v>
      </c>
      <c r="B17" s="512" t="s">
        <v>758</v>
      </c>
      <c r="C17" s="603">
        <f>C14-C16</f>
        <v>18089</v>
      </c>
    </row>
  </sheetData>
  <mergeCells count="2">
    <mergeCell ref="A4:C4"/>
    <mergeCell ref="A5:C5"/>
  </mergeCells>
  <pageMargins left="0.7" right="0.7" top="0.75" bottom="0.75" header="0.3" footer="0.3"/>
  <pageSetup paperSize="9" scale="12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82"/>
  <sheetViews>
    <sheetView zoomScale="110" zoomScaleNormal="110" workbookViewId="0">
      <selection activeCell="B4" sqref="B4:F4"/>
    </sheetView>
  </sheetViews>
  <sheetFormatPr defaultRowHeight="12.75" x14ac:dyDescent="0.2"/>
  <cols>
    <col min="1" max="1" width="0.28515625" style="495" customWidth="1"/>
    <col min="2" max="2" width="8.140625" style="495" customWidth="1"/>
    <col min="3" max="3" width="78.5703125" style="495" customWidth="1"/>
    <col min="4" max="4" width="13.42578125" style="495" customWidth="1"/>
    <col min="5" max="5" width="14.140625" style="495" customWidth="1"/>
    <col min="6" max="6" width="12.42578125" style="495" customWidth="1"/>
    <col min="7" max="16384" width="9.140625" style="495"/>
  </cols>
  <sheetData>
    <row r="1" spans="2:8" x14ac:dyDescent="0.2">
      <c r="F1" s="496" t="s">
        <v>602</v>
      </c>
    </row>
    <row r="2" spans="2:8" x14ac:dyDescent="0.2">
      <c r="F2" s="497" t="str">
        <f>'1.Bev-kiad.'!F2</f>
        <v>a 3/2021.(V.28.) önkormányzati rendelethez</v>
      </c>
    </row>
    <row r="3" spans="2:8" ht="19.5" x14ac:dyDescent="0.35">
      <c r="B3" s="614" t="s">
        <v>993</v>
      </c>
      <c r="C3" s="701"/>
      <c r="D3" s="701"/>
      <c r="E3" s="701"/>
      <c r="F3" s="701"/>
      <c r="G3"/>
      <c r="H3"/>
    </row>
    <row r="4" spans="2:8" ht="19.5" x14ac:dyDescent="0.35">
      <c r="B4" s="614"/>
      <c r="C4" s="701"/>
      <c r="D4" s="701"/>
      <c r="E4" s="701"/>
      <c r="F4" s="701"/>
      <c r="G4"/>
      <c r="H4"/>
    </row>
    <row r="5" spans="2:8" x14ac:dyDescent="0.2">
      <c r="F5" s="496"/>
    </row>
    <row r="6" spans="2:8" x14ac:dyDescent="0.2">
      <c r="F6" s="496" t="s">
        <v>739</v>
      </c>
    </row>
    <row r="7" spans="2:8" s="500" customFormat="1" ht="31.5" x14ac:dyDescent="0.2">
      <c r="B7" s="513"/>
      <c r="C7" s="514" t="s">
        <v>55</v>
      </c>
      <c r="D7" s="514" t="s">
        <v>759</v>
      </c>
      <c r="E7" s="513" t="s">
        <v>760</v>
      </c>
      <c r="F7" s="513" t="s">
        <v>761</v>
      </c>
    </row>
    <row r="8" spans="2:8" hidden="1" x14ac:dyDescent="0.2">
      <c r="B8" s="515" t="s">
        <v>741</v>
      </c>
      <c r="C8" s="504" t="s">
        <v>762</v>
      </c>
      <c r="D8" s="505">
        <v>0</v>
      </c>
      <c r="E8" s="505">
        <v>0</v>
      </c>
      <c r="F8" s="505">
        <v>0</v>
      </c>
    </row>
    <row r="9" spans="2:8" x14ac:dyDescent="0.2">
      <c r="B9" s="515" t="s">
        <v>743</v>
      </c>
      <c r="C9" s="504" t="s">
        <v>763</v>
      </c>
      <c r="D9" s="505">
        <v>256</v>
      </c>
      <c r="E9" s="505">
        <v>0</v>
      </c>
      <c r="F9" s="600">
        <v>0</v>
      </c>
    </row>
    <row r="10" spans="2:8" x14ac:dyDescent="0.2">
      <c r="B10" s="516" t="s">
        <v>747</v>
      </c>
      <c r="C10" s="507" t="s">
        <v>764</v>
      </c>
      <c r="D10" s="508">
        <f>D8+D9</f>
        <v>256</v>
      </c>
      <c r="E10" s="508">
        <f>E8+E9</f>
        <v>0</v>
      </c>
      <c r="F10" s="601">
        <f>F8+F9</f>
        <v>0</v>
      </c>
    </row>
    <row r="11" spans="2:8" x14ac:dyDescent="0.2">
      <c r="B11" s="515" t="s">
        <v>749</v>
      </c>
      <c r="C11" s="504" t="s">
        <v>765</v>
      </c>
      <c r="D11" s="505">
        <v>457101</v>
      </c>
      <c r="E11" s="505">
        <v>0</v>
      </c>
      <c r="F11" s="600">
        <v>442018</v>
      </c>
    </row>
    <row r="12" spans="2:8" x14ac:dyDescent="0.2">
      <c r="B12" s="515" t="s">
        <v>751</v>
      </c>
      <c r="C12" s="504" t="s">
        <v>766</v>
      </c>
      <c r="D12" s="505">
        <v>2059</v>
      </c>
      <c r="E12" s="505">
        <v>0</v>
      </c>
      <c r="F12" s="600">
        <v>6796</v>
      </c>
    </row>
    <row r="13" spans="2:8" x14ac:dyDescent="0.2">
      <c r="B13" s="515" t="s">
        <v>767</v>
      </c>
      <c r="C13" s="504" t="s">
        <v>768</v>
      </c>
      <c r="D13" s="505">
        <v>0</v>
      </c>
      <c r="E13" s="505">
        <v>0</v>
      </c>
      <c r="F13" s="600">
        <v>0</v>
      </c>
    </row>
    <row r="14" spans="2:8" x14ac:dyDescent="0.2">
      <c r="B14" s="516" t="s">
        <v>769</v>
      </c>
      <c r="C14" s="507" t="s">
        <v>770</v>
      </c>
      <c r="D14" s="508">
        <f>D11+D12+D13</f>
        <v>459160</v>
      </c>
      <c r="E14" s="508">
        <f>E11+E12+E13</f>
        <v>0</v>
      </c>
      <c r="F14" s="601">
        <f>F11+F12+F13</f>
        <v>448814</v>
      </c>
    </row>
    <row r="15" spans="2:8" s="500" customFormat="1" x14ac:dyDescent="0.2">
      <c r="B15" s="516" t="s">
        <v>771</v>
      </c>
      <c r="C15" s="507" t="s">
        <v>772</v>
      </c>
      <c r="D15" s="508">
        <f>SUM(D16:D17)</f>
        <v>14</v>
      </c>
      <c r="E15" s="508">
        <f>SUM(E16:E17)</f>
        <v>0</v>
      </c>
      <c r="F15" s="601">
        <f>SUM(F16:F17)</f>
        <v>14</v>
      </c>
    </row>
    <row r="16" spans="2:8" hidden="1" x14ac:dyDescent="0.2">
      <c r="B16" s="515" t="s">
        <v>773</v>
      </c>
      <c r="C16" s="504" t="s">
        <v>774</v>
      </c>
      <c r="D16" s="505">
        <v>0</v>
      </c>
      <c r="E16" s="505">
        <v>0</v>
      </c>
      <c r="F16" s="600">
        <v>0</v>
      </c>
    </row>
    <row r="17" spans="2:6" x14ac:dyDescent="0.2">
      <c r="B17" s="515" t="s">
        <v>775</v>
      </c>
      <c r="C17" s="504" t="s">
        <v>776</v>
      </c>
      <c r="D17" s="505">
        <v>14</v>
      </c>
      <c r="E17" s="505">
        <v>0</v>
      </c>
      <c r="F17" s="600">
        <v>14</v>
      </c>
    </row>
    <row r="18" spans="2:6" hidden="1" x14ac:dyDescent="0.2">
      <c r="B18" s="515">
        <v>17</v>
      </c>
      <c r="C18" s="504" t="s">
        <v>777</v>
      </c>
      <c r="D18" s="505">
        <v>0</v>
      </c>
      <c r="E18" s="505">
        <v>0</v>
      </c>
      <c r="F18" s="600">
        <v>0</v>
      </c>
    </row>
    <row r="19" spans="2:6" x14ac:dyDescent="0.2">
      <c r="B19" s="516" t="s">
        <v>778</v>
      </c>
      <c r="C19" s="507" t="s">
        <v>779</v>
      </c>
      <c r="D19" s="508">
        <f>D15+D18</f>
        <v>14</v>
      </c>
      <c r="E19" s="508">
        <f>E15+E18</f>
        <v>0</v>
      </c>
      <c r="F19" s="601">
        <f>F15+F18</f>
        <v>14</v>
      </c>
    </row>
    <row r="20" spans="2:6" x14ac:dyDescent="0.2">
      <c r="B20" s="516" t="s">
        <v>780</v>
      </c>
      <c r="C20" s="507" t="s">
        <v>781</v>
      </c>
      <c r="D20" s="508">
        <f>D10+D14+D19</f>
        <v>459430</v>
      </c>
      <c r="E20" s="508">
        <f>E10+E14+E19</f>
        <v>0</v>
      </c>
      <c r="F20" s="601">
        <f>F10+F14+F19</f>
        <v>448828</v>
      </c>
    </row>
    <row r="21" spans="2:6" hidden="1" x14ac:dyDescent="0.2">
      <c r="B21" s="515" t="s">
        <v>782</v>
      </c>
      <c r="C21" s="504" t="s">
        <v>783</v>
      </c>
      <c r="D21" s="505">
        <v>0</v>
      </c>
      <c r="E21" s="505">
        <v>0</v>
      </c>
      <c r="F21" s="505">
        <v>0</v>
      </c>
    </row>
    <row r="22" spans="2:6" hidden="1" x14ac:dyDescent="0.2">
      <c r="B22" s="516" t="s">
        <v>784</v>
      </c>
      <c r="C22" s="507" t="s">
        <v>785</v>
      </c>
      <c r="D22" s="508">
        <f t="shared" ref="D22:F23" si="0">D21</f>
        <v>0</v>
      </c>
      <c r="E22" s="508">
        <f t="shared" si="0"/>
        <v>0</v>
      </c>
      <c r="F22" s="508">
        <f t="shared" si="0"/>
        <v>0</v>
      </c>
    </row>
    <row r="23" spans="2:6" hidden="1" x14ac:dyDescent="0.2">
      <c r="B23" s="516" t="s">
        <v>786</v>
      </c>
      <c r="C23" s="507" t="s">
        <v>787</v>
      </c>
      <c r="D23" s="508">
        <f t="shared" si="0"/>
        <v>0</v>
      </c>
      <c r="E23" s="508">
        <f t="shared" si="0"/>
        <v>0</v>
      </c>
      <c r="F23" s="508">
        <f t="shared" si="0"/>
        <v>0</v>
      </c>
    </row>
    <row r="24" spans="2:6" hidden="1" x14ac:dyDescent="0.2">
      <c r="B24" s="515">
        <v>44</v>
      </c>
      <c r="C24" s="504" t="s">
        <v>788</v>
      </c>
      <c r="D24" s="505">
        <v>0</v>
      </c>
      <c r="E24" s="505">
        <v>0</v>
      </c>
      <c r="F24" s="505">
        <v>0</v>
      </c>
    </row>
    <row r="25" spans="2:6" hidden="1" x14ac:dyDescent="0.2">
      <c r="B25" s="516">
        <v>46</v>
      </c>
      <c r="C25" s="507" t="s">
        <v>789</v>
      </c>
      <c r="D25" s="508">
        <f>D24</f>
        <v>0</v>
      </c>
      <c r="E25" s="508">
        <f>E24</f>
        <v>0</v>
      </c>
      <c r="F25" s="508">
        <f>F24</f>
        <v>0</v>
      </c>
    </row>
    <row r="26" spans="2:6" x14ac:dyDescent="0.2">
      <c r="B26" s="515" t="s">
        <v>790</v>
      </c>
      <c r="C26" s="504" t="s">
        <v>791</v>
      </c>
      <c r="D26" s="505">
        <v>69</v>
      </c>
      <c r="E26" s="505">
        <v>0</v>
      </c>
      <c r="F26" s="505">
        <v>181</v>
      </c>
    </row>
    <row r="27" spans="2:6" x14ac:dyDescent="0.2">
      <c r="B27" s="516" t="s">
        <v>792</v>
      </c>
      <c r="C27" s="507" t="s">
        <v>793</v>
      </c>
      <c r="D27" s="508">
        <f>D26</f>
        <v>69</v>
      </c>
      <c r="E27" s="508">
        <f>E26</f>
        <v>0</v>
      </c>
      <c r="F27" s="508">
        <f>F26</f>
        <v>181</v>
      </c>
    </row>
    <row r="28" spans="2:6" x14ac:dyDescent="0.2">
      <c r="B28" s="515" t="s">
        <v>794</v>
      </c>
      <c r="C28" s="504" t="s">
        <v>795</v>
      </c>
      <c r="D28" s="505">
        <v>4812</v>
      </c>
      <c r="E28" s="505">
        <v>0</v>
      </c>
      <c r="F28" s="505">
        <v>7449</v>
      </c>
    </row>
    <row r="29" spans="2:6" x14ac:dyDescent="0.2">
      <c r="B29" s="515">
        <v>52</v>
      </c>
      <c r="C29" s="504" t="s">
        <v>796</v>
      </c>
      <c r="D29" s="505">
        <v>3012</v>
      </c>
      <c r="E29" s="505">
        <v>0</v>
      </c>
      <c r="F29" s="505">
        <v>11179</v>
      </c>
    </row>
    <row r="30" spans="2:6" x14ac:dyDescent="0.2">
      <c r="B30" s="516" t="s">
        <v>797</v>
      </c>
      <c r="C30" s="507" t="s">
        <v>798</v>
      </c>
      <c r="D30" s="508">
        <f>D28+D29</f>
        <v>7824</v>
      </c>
      <c r="E30" s="508">
        <f>E28+E29</f>
        <v>0</v>
      </c>
      <c r="F30" s="508">
        <f>F28+F29</f>
        <v>18628</v>
      </c>
    </row>
    <row r="31" spans="2:6" x14ac:dyDescent="0.2">
      <c r="B31" s="516" t="s">
        <v>799</v>
      </c>
      <c r="C31" s="507" t="s">
        <v>800</v>
      </c>
      <c r="D31" s="508">
        <f>D27+D30+D25</f>
        <v>7893</v>
      </c>
      <c r="E31" s="508">
        <f>E27+E30+E25</f>
        <v>0</v>
      </c>
      <c r="F31" s="508">
        <f>F27+F30+F25</f>
        <v>18809</v>
      </c>
    </row>
    <row r="32" spans="2:6" s="500" customFormat="1" x14ac:dyDescent="0.2">
      <c r="B32" s="516">
        <v>62</v>
      </c>
      <c r="C32" s="507" t="s">
        <v>801</v>
      </c>
      <c r="D32" s="508">
        <f>SUM(D33:D35)</f>
        <v>5450</v>
      </c>
      <c r="E32" s="508">
        <f>SUM(E33:E35)</f>
        <v>0</v>
      </c>
      <c r="F32" s="508">
        <f>SUM(F33:F35)</f>
        <v>9560</v>
      </c>
    </row>
    <row r="33" spans="2:6" x14ac:dyDescent="0.2">
      <c r="B33" s="515">
        <v>66</v>
      </c>
      <c r="C33" s="504" t="s">
        <v>802</v>
      </c>
      <c r="D33" s="505">
        <v>970</v>
      </c>
      <c r="E33" s="505">
        <v>0</v>
      </c>
      <c r="F33" s="505">
        <v>860</v>
      </c>
    </row>
    <row r="34" spans="2:6" x14ac:dyDescent="0.2">
      <c r="B34" s="515">
        <v>67</v>
      </c>
      <c r="C34" s="504" t="s">
        <v>803</v>
      </c>
      <c r="D34" s="505">
        <v>4163</v>
      </c>
      <c r="E34" s="505">
        <v>0</v>
      </c>
      <c r="F34" s="505">
        <v>8329</v>
      </c>
    </row>
    <row r="35" spans="2:6" x14ac:dyDescent="0.2">
      <c r="B35" s="515">
        <v>68</v>
      </c>
      <c r="C35" s="504" t="s">
        <v>804</v>
      </c>
      <c r="D35" s="505">
        <v>317</v>
      </c>
      <c r="E35" s="505">
        <v>0</v>
      </c>
      <c r="F35" s="505">
        <v>371</v>
      </c>
    </row>
    <row r="36" spans="2:6" s="500" customFormat="1" x14ac:dyDescent="0.2">
      <c r="B36" s="516" t="s">
        <v>805</v>
      </c>
      <c r="C36" s="507" t="s">
        <v>806</v>
      </c>
      <c r="D36" s="508">
        <f>SUM(D37)</f>
        <v>65</v>
      </c>
      <c r="E36" s="508">
        <f>SUM(E37)</f>
        <v>0</v>
      </c>
      <c r="F36" s="508">
        <f>SUM(F37)</f>
        <v>0</v>
      </c>
    </row>
    <row r="37" spans="2:6" ht="25.5" x14ac:dyDescent="0.2">
      <c r="B37" s="517">
        <v>70</v>
      </c>
      <c r="C37" s="504" t="s">
        <v>807</v>
      </c>
      <c r="D37" s="510">
        <v>65</v>
      </c>
      <c r="E37" s="510">
        <v>0</v>
      </c>
      <c r="F37" s="510">
        <v>0</v>
      </c>
    </row>
    <row r="38" spans="2:6" x14ac:dyDescent="0.2">
      <c r="B38" s="515">
        <v>73</v>
      </c>
      <c r="C38" s="504" t="s">
        <v>808</v>
      </c>
      <c r="D38" s="505">
        <v>0</v>
      </c>
      <c r="E38" s="505">
        <v>0</v>
      </c>
      <c r="F38" s="505">
        <v>0</v>
      </c>
    </row>
    <row r="39" spans="2:6" x14ac:dyDescent="0.2">
      <c r="B39" s="515">
        <v>78</v>
      </c>
      <c r="C39" s="504" t="s">
        <v>809</v>
      </c>
      <c r="D39" s="505">
        <v>0</v>
      </c>
      <c r="E39" s="505">
        <v>0</v>
      </c>
      <c r="F39" s="505">
        <v>0</v>
      </c>
    </row>
    <row r="40" spans="2:6" x14ac:dyDescent="0.2">
      <c r="B40" s="515">
        <v>79</v>
      </c>
      <c r="C40" s="504" t="s">
        <v>810</v>
      </c>
      <c r="D40" s="505">
        <v>0</v>
      </c>
      <c r="E40" s="505">
        <v>0</v>
      </c>
      <c r="F40" s="505">
        <v>0</v>
      </c>
    </row>
    <row r="41" spans="2:6" x14ac:dyDescent="0.2">
      <c r="B41" s="515">
        <v>81</v>
      </c>
      <c r="C41" s="504" t="s">
        <v>811</v>
      </c>
      <c r="D41" s="505">
        <v>0</v>
      </c>
      <c r="E41" s="505">
        <v>0</v>
      </c>
      <c r="F41" s="505">
        <v>0</v>
      </c>
    </row>
    <row r="42" spans="2:6" ht="25.5" x14ac:dyDescent="0.2">
      <c r="B42" s="517">
        <v>85</v>
      </c>
      <c r="C42" s="504" t="s">
        <v>980</v>
      </c>
      <c r="D42" s="510">
        <v>0</v>
      </c>
      <c r="E42" s="510">
        <v>0</v>
      </c>
      <c r="F42" s="510">
        <v>40</v>
      </c>
    </row>
    <row r="43" spans="2:6" ht="25.5" x14ac:dyDescent="0.2">
      <c r="B43" s="517">
        <v>88</v>
      </c>
      <c r="C43" s="504" t="s">
        <v>981</v>
      </c>
      <c r="D43" s="510">
        <v>0</v>
      </c>
      <c r="E43" s="510">
        <v>0</v>
      </c>
      <c r="F43" s="510">
        <v>40</v>
      </c>
    </row>
    <row r="44" spans="2:6" x14ac:dyDescent="0.2">
      <c r="B44" s="516" t="s">
        <v>812</v>
      </c>
      <c r="C44" s="507" t="s">
        <v>813</v>
      </c>
      <c r="D44" s="508">
        <f>D32+D36+D40+D42</f>
        <v>5515</v>
      </c>
      <c r="E44" s="508">
        <f>E32+E36+E40+E42</f>
        <v>0</v>
      </c>
      <c r="F44" s="508">
        <f>F32+F36+F40+F42</f>
        <v>9600</v>
      </c>
    </row>
    <row r="45" spans="2:6" ht="25.5" x14ac:dyDescent="0.2">
      <c r="B45" s="516">
        <v>106</v>
      </c>
      <c r="C45" s="507" t="s">
        <v>814</v>
      </c>
      <c r="D45" s="508">
        <f>D46</f>
        <v>2259</v>
      </c>
      <c r="E45" s="508">
        <v>0</v>
      </c>
      <c r="F45" s="508">
        <f>F46</f>
        <v>3762</v>
      </c>
    </row>
    <row r="46" spans="2:6" ht="25.5" x14ac:dyDescent="0.2">
      <c r="B46" s="515">
        <v>111</v>
      </c>
      <c r="C46" s="504" t="s">
        <v>815</v>
      </c>
      <c r="D46" s="505">
        <v>2259</v>
      </c>
      <c r="E46" s="505">
        <v>0</v>
      </c>
      <c r="F46" s="505">
        <v>3762</v>
      </c>
    </row>
    <row r="47" spans="2:6" x14ac:dyDescent="0.2">
      <c r="B47" s="516">
        <v>142</v>
      </c>
      <c r="C47" s="507" t="s">
        <v>816</v>
      </c>
      <c r="D47" s="508">
        <f>D45</f>
        <v>2259</v>
      </c>
      <c r="E47" s="508">
        <f>E45</f>
        <v>0</v>
      </c>
      <c r="F47" s="508">
        <f>F45</f>
        <v>3762</v>
      </c>
    </row>
    <row r="48" spans="2:6" s="500" customFormat="1" x14ac:dyDescent="0.2">
      <c r="B48" s="516">
        <v>143</v>
      </c>
      <c r="C48" s="507" t="s">
        <v>817</v>
      </c>
      <c r="D48" s="508">
        <f>SUM(D49)</f>
        <v>194</v>
      </c>
      <c r="E48" s="508">
        <f>SUM(E49)</f>
        <v>0</v>
      </c>
      <c r="F48" s="508">
        <f>SUM(F49)</f>
        <v>0</v>
      </c>
    </row>
    <row r="49" spans="2:6" x14ac:dyDescent="0.2">
      <c r="B49" s="515">
        <v>148</v>
      </c>
      <c r="C49" s="504" t="s">
        <v>818</v>
      </c>
      <c r="D49" s="505">
        <v>194</v>
      </c>
      <c r="E49" s="505">
        <v>0</v>
      </c>
      <c r="F49" s="505">
        <v>0</v>
      </c>
    </row>
    <row r="50" spans="2:6" x14ac:dyDescent="0.2">
      <c r="B50" s="515">
        <v>152</v>
      </c>
      <c r="C50" s="504" t="s">
        <v>819</v>
      </c>
      <c r="D50" s="505">
        <v>25</v>
      </c>
      <c r="E50" s="505">
        <v>0</v>
      </c>
      <c r="F50" s="505">
        <v>75</v>
      </c>
    </row>
    <row r="51" spans="2:6" x14ac:dyDescent="0.2">
      <c r="B51" s="516">
        <v>158</v>
      </c>
      <c r="C51" s="507" t="s">
        <v>820</v>
      </c>
      <c r="D51" s="508">
        <f>D48+D50</f>
        <v>219</v>
      </c>
      <c r="E51" s="508">
        <f>E48+E50</f>
        <v>0</v>
      </c>
      <c r="F51" s="508">
        <f>F48+F50</f>
        <v>75</v>
      </c>
    </row>
    <row r="52" spans="2:6" x14ac:dyDescent="0.2">
      <c r="B52" s="516">
        <v>159</v>
      </c>
      <c r="C52" s="507" t="s">
        <v>821</v>
      </c>
      <c r="D52" s="508">
        <f>D44+D47+D51</f>
        <v>7993</v>
      </c>
      <c r="E52" s="508">
        <f>E44+E47+E51</f>
        <v>0</v>
      </c>
      <c r="F52" s="508">
        <f>F44+F47+F51</f>
        <v>13437</v>
      </c>
    </row>
    <row r="53" spans="2:6" x14ac:dyDescent="0.2">
      <c r="B53" s="515">
        <v>168</v>
      </c>
      <c r="C53" s="504" t="s">
        <v>822</v>
      </c>
      <c r="D53" s="505">
        <v>0</v>
      </c>
      <c r="E53" s="505">
        <v>0</v>
      </c>
      <c r="F53" s="505">
        <v>4</v>
      </c>
    </row>
    <row r="54" spans="2:6" ht="25.5" hidden="1" x14ac:dyDescent="0.2">
      <c r="B54" s="517">
        <v>169</v>
      </c>
      <c r="C54" s="504" t="s">
        <v>823</v>
      </c>
      <c r="D54" s="510">
        <v>0</v>
      </c>
      <c r="E54" s="510">
        <v>0</v>
      </c>
      <c r="F54" s="510">
        <v>0</v>
      </c>
    </row>
    <row r="55" spans="2:6" x14ac:dyDescent="0.2">
      <c r="B55" s="516">
        <v>170</v>
      </c>
      <c r="C55" s="507" t="s">
        <v>824</v>
      </c>
      <c r="D55" s="508">
        <f>D54+D53</f>
        <v>0</v>
      </c>
      <c r="E55" s="508">
        <f>E54+E53</f>
        <v>0</v>
      </c>
      <c r="F55" s="508">
        <f>F54+F53</f>
        <v>4</v>
      </c>
    </row>
    <row r="56" spans="2:6" x14ac:dyDescent="0.2">
      <c r="B56" s="516">
        <v>171</v>
      </c>
      <c r="C56" s="507" t="s">
        <v>825</v>
      </c>
      <c r="D56" s="508">
        <f>D55</f>
        <v>0</v>
      </c>
      <c r="E56" s="508">
        <f>E55</f>
        <v>0</v>
      </c>
      <c r="F56" s="508">
        <f>F55</f>
        <v>4</v>
      </c>
    </row>
    <row r="57" spans="2:6" hidden="1" x14ac:dyDescent="0.2">
      <c r="B57" s="515">
        <v>172</v>
      </c>
      <c r="C57" s="504" t="s">
        <v>826</v>
      </c>
      <c r="D57" s="505">
        <v>0</v>
      </c>
      <c r="E57" s="505">
        <v>0</v>
      </c>
      <c r="F57" s="505">
        <v>0</v>
      </c>
    </row>
    <row r="58" spans="2:6" hidden="1" x14ac:dyDescent="0.2">
      <c r="B58" s="515">
        <v>173</v>
      </c>
      <c r="C58" s="504" t="s">
        <v>827</v>
      </c>
      <c r="D58" s="505">
        <v>0</v>
      </c>
      <c r="E58" s="505">
        <v>0</v>
      </c>
      <c r="F58" s="505">
        <v>0</v>
      </c>
    </row>
    <row r="59" spans="2:6" x14ac:dyDescent="0.2">
      <c r="B59" s="516">
        <v>175</v>
      </c>
      <c r="C59" s="507" t="s">
        <v>828</v>
      </c>
      <c r="D59" s="508">
        <f>D57+D58</f>
        <v>0</v>
      </c>
      <c r="E59" s="508">
        <f>E57+E58</f>
        <v>0</v>
      </c>
      <c r="F59" s="508">
        <f>F57+F58</f>
        <v>0</v>
      </c>
    </row>
    <row r="60" spans="2:6" x14ac:dyDescent="0.2">
      <c r="B60" s="518">
        <v>176</v>
      </c>
      <c r="C60" s="519" t="s">
        <v>829</v>
      </c>
      <c r="D60" s="520">
        <f>D20+D23+D31+D52+D55+D59</f>
        <v>475316</v>
      </c>
      <c r="E60" s="520">
        <f>E20+E23+E31+E52+E55+E59</f>
        <v>0</v>
      </c>
      <c r="F60" s="520">
        <f>F20+F23+F31+F52+F55+F59</f>
        <v>481078</v>
      </c>
    </row>
    <row r="61" spans="2:6" x14ac:dyDescent="0.2">
      <c r="B61" s="515">
        <v>177</v>
      </c>
      <c r="C61" s="504" t="s">
        <v>830</v>
      </c>
      <c r="D61" s="505">
        <v>125087</v>
      </c>
      <c r="E61" s="505">
        <v>0</v>
      </c>
      <c r="F61" s="505">
        <v>125087</v>
      </c>
    </row>
    <row r="62" spans="2:6" x14ac:dyDescent="0.2">
      <c r="B62" s="515">
        <v>179</v>
      </c>
      <c r="C62" s="504" t="s">
        <v>831</v>
      </c>
      <c r="D62" s="505">
        <v>2506</v>
      </c>
      <c r="E62" s="505">
        <v>0</v>
      </c>
      <c r="F62" s="505">
        <v>2506</v>
      </c>
    </row>
    <row r="63" spans="2:6" hidden="1" x14ac:dyDescent="0.2">
      <c r="B63" s="516">
        <v>182</v>
      </c>
      <c r="C63" s="507" t="s">
        <v>832</v>
      </c>
      <c r="D63" s="508">
        <f>D62</f>
        <v>2506</v>
      </c>
      <c r="E63" s="508">
        <f>E62</f>
        <v>0</v>
      </c>
      <c r="F63" s="508">
        <f>F62</f>
        <v>2506</v>
      </c>
    </row>
    <row r="64" spans="2:6" x14ac:dyDescent="0.2">
      <c r="B64" s="515">
        <v>180</v>
      </c>
      <c r="C64" s="504" t="s">
        <v>833</v>
      </c>
      <c r="D64" s="505">
        <v>362031</v>
      </c>
      <c r="E64" s="505">
        <v>0</v>
      </c>
      <c r="F64" s="505">
        <v>342523</v>
      </c>
    </row>
    <row r="65" spans="2:6" x14ac:dyDescent="0.2">
      <c r="B65" s="515">
        <v>182</v>
      </c>
      <c r="C65" s="504" t="s">
        <v>834</v>
      </c>
      <c r="D65" s="505">
        <v>-19508</v>
      </c>
      <c r="E65" s="505">
        <v>0</v>
      </c>
      <c r="F65" s="505">
        <v>6946</v>
      </c>
    </row>
    <row r="66" spans="2:6" x14ac:dyDescent="0.2">
      <c r="B66" s="516">
        <v>183</v>
      </c>
      <c r="C66" s="507" t="s">
        <v>835</v>
      </c>
      <c r="D66" s="508">
        <f>D61+D62+D64+D65</f>
        <v>470116</v>
      </c>
      <c r="E66" s="508">
        <f>E61+E62+E64+E65</f>
        <v>0</v>
      </c>
      <c r="F66" s="508">
        <f>F61+F62+F64+F65</f>
        <v>477062</v>
      </c>
    </row>
    <row r="67" spans="2:6" x14ac:dyDescent="0.2">
      <c r="B67" s="515">
        <v>186</v>
      </c>
      <c r="C67" s="504" t="s">
        <v>836</v>
      </c>
      <c r="D67" s="505">
        <v>0</v>
      </c>
      <c r="E67" s="505">
        <v>0</v>
      </c>
      <c r="F67" s="505">
        <v>2</v>
      </c>
    </row>
    <row r="68" spans="2:6" x14ac:dyDescent="0.2">
      <c r="B68" s="515">
        <v>188</v>
      </c>
      <c r="C68" s="504" t="s">
        <v>982</v>
      </c>
      <c r="D68" s="505">
        <v>0</v>
      </c>
      <c r="E68" s="505">
        <v>0</v>
      </c>
      <c r="F68" s="505">
        <v>809</v>
      </c>
    </row>
    <row r="69" spans="2:6" hidden="1" x14ac:dyDescent="0.2">
      <c r="B69" s="515">
        <v>186</v>
      </c>
      <c r="C69" s="504" t="s">
        <v>837</v>
      </c>
      <c r="D69" s="505">
        <v>0</v>
      </c>
      <c r="E69" s="505">
        <v>0</v>
      </c>
      <c r="F69" s="505">
        <v>0</v>
      </c>
    </row>
    <row r="70" spans="2:6" x14ac:dyDescent="0.2">
      <c r="B70" s="516">
        <v>212</v>
      </c>
      <c r="C70" s="507" t="s">
        <v>838</v>
      </c>
      <c r="D70" s="508">
        <f>D68+D67+D69</f>
        <v>0</v>
      </c>
      <c r="E70" s="508">
        <f>E68+E67+E69</f>
        <v>0</v>
      </c>
      <c r="F70" s="508">
        <f>F68+F67+F69</f>
        <v>811</v>
      </c>
    </row>
    <row r="71" spans="2:6" ht="25.5" x14ac:dyDescent="0.2">
      <c r="B71" s="517">
        <v>222</v>
      </c>
      <c r="C71" s="504" t="s">
        <v>839</v>
      </c>
      <c r="D71" s="510">
        <f>D72</f>
        <v>941</v>
      </c>
      <c r="E71" s="510">
        <f>E72</f>
        <v>0</v>
      </c>
      <c r="F71" s="510">
        <f>F72</f>
        <v>880</v>
      </c>
    </row>
    <row r="72" spans="2:6" ht="25.5" x14ac:dyDescent="0.2">
      <c r="B72" s="517">
        <v>227</v>
      </c>
      <c r="C72" s="504" t="s">
        <v>840</v>
      </c>
      <c r="D72" s="510">
        <v>941</v>
      </c>
      <c r="E72" s="510">
        <v>0</v>
      </c>
      <c r="F72" s="510">
        <v>880</v>
      </c>
    </row>
    <row r="73" spans="2:6" x14ac:dyDescent="0.2">
      <c r="B73" s="516">
        <v>233</v>
      </c>
      <c r="C73" s="507" t="s">
        <v>841</v>
      </c>
      <c r="D73" s="508">
        <f>D71</f>
        <v>941</v>
      </c>
      <c r="E73" s="508">
        <f>E71</f>
        <v>0</v>
      </c>
      <c r="F73" s="508">
        <f>F71</f>
        <v>880</v>
      </c>
    </row>
    <row r="74" spans="2:6" x14ac:dyDescent="0.2">
      <c r="B74" s="515">
        <v>234</v>
      </c>
      <c r="C74" s="504" t="s">
        <v>842</v>
      </c>
      <c r="D74" s="505">
        <v>2149</v>
      </c>
      <c r="E74" s="505">
        <v>0</v>
      </c>
      <c r="F74" s="505">
        <v>742</v>
      </c>
    </row>
    <row r="75" spans="2:6" x14ac:dyDescent="0.2">
      <c r="B75" s="515">
        <v>235</v>
      </c>
      <c r="C75" s="504" t="s">
        <v>843</v>
      </c>
      <c r="D75" s="505">
        <v>6</v>
      </c>
      <c r="E75" s="505">
        <v>0</v>
      </c>
      <c r="F75" s="505">
        <v>0</v>
      </c>
    </row>
    <row r="76" spans="2:6" x14ac:dyDescent="0.2">
      <c r="B76" s="515">
        <v>236</v>
      </c>
      <c r="C76" s="504" t="s">
        <v>844</v>
      </c>
      <c r="D76" s="505">
        <v>0</v>
      </c>
      <c r="E76" s="505">
        <v>0</v>
      </c>
      <c r="F76" s="505">
        <v>58</v>
      </c>
    </row>
    <row r="77" spans="2:6" x14ac:dyDescent="0.2">
      <c r="B77" s="516">
        <v>243</v>
      </c>
      <c r="C77" s="507" t="s">
        <v>845</v>
      </c>
      <c r="D77" s="508">
        <f>D74+D75+D76</f>
        <v>2155</v>
      </c>
      <c r="E77" s="508">
        <f>E74+E75+E76</f>
        <v>0</v>
      </c>
      <c r="F77" s="508">
        <f>F74+F75+F76</f>
        <v>800</v>
      </c>
    </row>
    <row r="78" spans="2:6" x14ac:dyDescent="0.2">
      <c r="B78" s="516">
        <v>244</v>
      </c>
      <c r="C78" s="507" t="s">
        <v>846</v>
      </c>
      <c r="D78" s="508">
        <f>D70+D77+D73</f>
        <v>3096</v>
      </c>
      <c r="E78" s="508">
        <f>E70+E77+E73</f>
        <v>0</v>
      </c>
      <c r="F78" s="508">
        <f>F70+F77+F73</f>
        <v>2491</v>
      </c>
    </row>
    <row r="79" spans="2:6" x14ac:dyDescent="0.2">
      <c r="B79" s="515">
        <v>247</v>
      </c>
      <c r="C79" s="504" t="s">
        <v>847</v>
      </c>
      <c r="D79" s="505">
        <v>2104</v>
      </c>
      <c r="E79" s="505">
        <v>0</v>
      </c>
      <c r="F79" s="505">
        <v>1525</v>
      </c>
    </row>
    <row r="80" spans="2:6" hidden="1" x14ac:dyDescent="0.2">
      <c r="B80" s="515" t="s">
        <v>848</v>
      </c>
      <c r="C80" s="504" t="s">
        <v>849</v>
      </c>
      <c r="D80" s="505">
        <v>0</v>
      </c>
      <c r="E80" s="505">
        <v>0</v>
      </c>
      <c r="F80" s="505">
        <v>0</v>
      </c>
    </row>
    <row r="81" spans="2:6" x14ac:dyDescent="0.2">
      <c r="B81" s="516">
        <v>249</v>
      </c>
      <c r="C81" s="507" t="s">
        <v>850</v>
      </c>
      <c r="D81" s="508">
        <f>D79+D80</f>
        <v>2104</v>
      </c>
      <c r="E81" s="508">
        <f>E79+E80</f>
        <v>0</v>
      </c>
      <c r="F81" s="508">
        <f>F79+F80</f>
        <v>1525</v>
      </c>
    </row>
    <row r="82" spans="2:6" x14ac:dyDescent="0.2">
      <c r="B82" s="518">
        <v>250</v>
      </c>
      <c r="C82" s="519" t="s">
        <v>851</v>
      </c>
      <c r="D82" s="520">
        <f>D66+D78+D81</f>
        <v>475316</v>
      </c>
      <c r="E82" s="520">
        <f>E66+E78+E81</f>
        <v>0</v>
      </c>
      <c r="F82" s="520">
        <f>F66+F78+F81</f>
        <v>481078</v>
      </c>
    </row>
  </sheetData>
  <mergeCells count="2">
    <mergeCell ref="B3:F3"/>
    <mergeCell ref="B4:F4"/>
  </mergeCells>
  <pageMargins left="0.7" right="0.7" top="0.75" bottom="0.75" header="0.3" footer="0.3"/>
  <pageSetup paperSize="9" scale="7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zoomScale="150" zoomScaleNormal="150" workbookViewId="0">
      <selection activeCell="A4" sqref="A4:F4"/>
    </sheetView>
  </sheetViews>
  <sheetFormatPr defaultRowHeight="12.75" x14ac:dyDescent="0.2"/>
  <cols>
    <col min="1" max="1" width="8.140625" customWidth="1"/>
    <col min="2" max="2" width="62.28515625" customWidth="1"/>
    <col min="3" max="3" width="14.28515625" customWidth="1"/>
    <col min="4" max="4" width="16" customWidth="1"/>
    <col min="5" max="5" width="13.85546875" customWidth="1"/>
    <col min="6" max="6" width="1" customWidth="1"/>
  </cols>
  <sheetData>
    <row r="1" spans="1:8" s="495" customFormat="1" x14ac:dyDescent="0.2">
      <c r="E1" s="496" t="s">
        <v>604</v>
      </c>
    </row>
    <row r="2" spans="1:8" s="495" customFormat="1" x14ac:dyDescent="0.2">
      <c r="E2" s="497" t="str">
        <f>'1.Bev-kiad.'!F2</f>
        <v>a 3/2021.(V.28.) önkormányzati rendelethez</v>
      </c>
    </row>
    <row r="3" spans="1:8" s="495" customFormat="1" ht="19.5" x14ac:dyDescent="0.35">
      <c r="A3" s="614" t="s">
        <v>994</v>
      </c>
      <c r="B3" s="701"/>
      <c r="C3" s="701"/>
      <c r="D3" s="701"/>
      <c r="E3" s="701"/>
      <c r="F3" s="701"/>
      <c r="G3"/>
      <c r="H3"/>
    </row>
    <row r="4" spans="1:8" s="495" customFormat="1" ht="19.5" x14ac:dyDescent="0.35">
      <c r="A4" s="614"/>
      <c r="B4" s="701"/>
      <c r="C4" s="701"/>
      <c r="D4" s="701"/>
      <c r="E4" s="701"/>
      <c r="F4" s="701"/>
      <c r="G4"/>
      <c r="H4"/>
    </row>
    <row r="5" spans="1:8" x14ac:dyDescent="0.2">
      <c r="E5" s="496" t="s">
        <v>739</v>
      </c>
    </row>
    <row r="6" spans="1:8" ht="31.5" x14ac:dyDescent="0.2">
      <c r="A6" s="521"/>
      <c r="B6" s="522" t="s">
        <v>55</v>
      </c>
      <c r="C6" s="522" t="s">
        <v>759</v>
      </c>
      <c r="D6" s="522" t="s">
        <v>760</v>
      </c>
      <c r="E6" s="522" t="s">
        <v>761</v>
      </c>
    </row>
    <row r="7" spans="1:8" x14ac:dyDescent="0.2">
      <c r="A7" s="523" t="s">
        <v>741</v>
      </c>
      <c r="B7" s="524" t="s">
        <v>852</v>
      </c>
      <c r="C7" s="525">
        <v>9161</v>
      </c>
      <c r="D7" s="525">
        <v>0</v>
      </c>
      <c r="E7" s="604">
        <v>14786</v>
      </c>
    </row>
    <row r="8" spans="1:8" x14ac:dyDescent="0.2">
      <c r="A8" s="523" t="s">
        <v>743</v>
      </c>
      <c r="B8" s="524" t="s">
        <v>853</v>
      </c>
      <c r="C8" s="525">
        <v>1480</v>
      </c>
      <c r="D8" s="525">
        <v>0</v>
      </c>
      <c r="E8" s="604">
        <v>1789</v>
      </c>
    </row>
    <row r="9" spans="1:8" hidden="1" x14ac:dyDescent="0.2">
      <c r="A9" s="523" t="s">
        <v>745</v>
      </c>
      <c r="B9" s="524" t="s">
        <v>854</v>
      </c>
      <c r="C9" s="525">
        <v>0</v>
      </c>
      <c r="D9" s="525">
        <v>0</v>
      </c>
      <c r="E9" s="604">
        <v>0</v>
      </c>
    </row>
    <row r="10" spans="1:8" x14ac:dyDescent="0.2">
      <c r="A10" s="526" t="s">
        <v>747</v>
      </c>
      <c r="B10" s="527" t="s">
        <v>855</v>
      </c>
      <c r="C10" s="528">
        <f>SUM(C7:C9)</f>
        <v>10641</v>
      </c>
      <c r="D10" s="528">
        <f>SUM(D7:D9)</f>
        <v>0</v>
      </c>
      <c r="E10" s="605">
        <f>SUM(E7:E9)</f>
        <v>16575</v>
      </c>
    </row>
    <row r="11" spans="1:8" x14ac:dyDescent="0.2">
      <c r="A11" s="523" t="s">
        <v>767</v>
      </c>
      <c r="B11" s="524" t="s">
        <v>856</v>
      </c>
      <c r="C11" s="525">
        <v>22318</v>
      </c>
      <c r="D11" s="525">
        <v>0</v>
      </c>
      <c r="E11" s="604">
        <v>26228</v>
      </c>
    </row>
    <row r="12" spans="1:8" x14ac:dyDescent="0.2">
      <c r="A12" s="523" t="s">
        <v>756</v>
      </c>
      <c r="B12" s="524" t="s">
        <v>857</v>
      </c>
      <c r="C12" s="525">
        <v>3176</v>
      </c>
      <c r="D12" s="525">
        <v>0</v>
      </c>
      <c r="E12" s="604">
        <v>5061</v>
      </c>
    </row>
    <row r="13" spans="1:8" x14ac:dyDescent="0.2">
      <c r="A13" s="523">
        <v>10</v>
      </c>
      <c r="B13" s="524" t="s">
        <v>858</v>
      </c>
      <c r="C13" s="525">
        <v>2984</v>
      </c>
      <c r="D13" s="525">
        <v>0</v>
      </c>
      <c r="E13" s="604">
        <v>20545</v>
      </c>
    </row>
    <row r="14" spans="1:8" x14ac:dyDescent="0.2">
      <c r="A14" s="523">
        <v>11</v>
      </c>
      <c r="B14" s="524" t="s">
        <v>859</v>
      </c>
      <c r="C14" s="525">
        <v>2949</v>
      </c>
      <c r="D14" s="525">
        <v>0</v>
      </c>
      <c r="E14" s="604">
        <v>115</v>
      </c>
    </row>
    <row r="15" spans="1:8" x14ac:dyDescent="0.2">
      <c r="A15" s="526">
        <v>12</v>
      </c>
      <c r="B15" s="527" t="s">
        <v>860</v>
      </c>
      <c r="C15" s="528">
        <f>SUM(C11:C14)</f>
        <v>31427</v>
      </c>
      <c r="D15" s="528">
        <f>SUM(D11:D14)</f>
        <v>0</v>
      </c>
      <c r="E15" s="605">
        <f>SUM(E11:E14)</f>
        <v>51949</v>
      </c>
    </row>
    <row r="16" spans="1:8" x14ac:dyDescent="0.2">
      <c r="A16" s="523">
        <v>13</v>
      </c>
      <c r="B16" s="524" t="s">
        <v>861</v>
      </c>
      <c r="C16" s="525">
        <v>2263</v>
      </c>
      <c r="D16" s="525">
        <v>0</v>
      </c>
      <c r="E16" s="604">
        <v>1996</v>
      </c>
    </row>
    <row r="17" spans="1:5" x14ac:dyDescent="0.2">
      <c r="A17" s="523">
        <v>14</v>
      </c>
      <c r="B17" s="524" t="s">
        <v>862</v>
      </c>
      <c r="C17" s="525">
        <v>7369</v>
      </c>
      <c r="D17" s="525">
        <v>0</v>
      </c>
      <c r="E17" s="604">
        <v>9828</v>
      </c>
    </row>
    <row r="18" spans="1:5" hidden="1" x14ac:dyDescent="0.2">
      <c r="A18" s="523">
        <v>16</v>
      </c>
      <c r="B18" s="524" t="s">
        <v>863</v>
      </c>
      <c r="C18" s="525">
        <v>0</v>
      </c>
      <c r="D18" s="525">
        <v>0</v>
      </c>
      <c r="E18" s="604">
        <v>0</v>
      </c>
    </row>
    <row r="19" spans="1:5" x14ac:dyDescent="0.2">
      <c r="A19" s="526">
        <v>17</v>
      </c>
      <c r="B19" s="527" t="s">
        <v>864</v>
      </c>
      <c r="C19" s="528">
        <f>SUM(C16:C18)</f>
        <v>9632</v>
      </c>
      <c r="D19" s="528">
        <f>SUM(D16:D18)</f>
        <v>0</v>
      </c>
      <c r="E19" s="605">
        <f>SUM(E16:E18)</f>
        <v>11824</v>
      </c>
    </row>
    <row r="20" spans="1:5" x14ac:dyDescent="0.2">
      <c r="A20" s="523">
        <v>18</v>
      </c>
      <c r="B20" s="524" t="s">
        <v>865</v>
      </c>
      <c r="C20" s="525">
        <v>9597</v>
      </c>
      <c r="D20" s="525">
        <v>0</v>
      </c>
      <c r="E20" s="604">
        <v>8087</v>
      </c>
    </row>
    <row r="21" spans="1:5" x14ac:dyDescent="0.2">
      <c r="A21" s="523">
        <v>19</v>
      </c>
      <c r="B21" s="524" t="s">
        <v>866</v>
      </c>
      <c r="C21" s="525">
        <v>6429</v>
      </c>
      <c r="D21" s="525">
        <v>0</v>
      </c>
      <c r="E21" s="604">
        <v>6078</v>
      </c>
    </row>
    <row r="22" spans="1:5" x14ac:dyDescent="0.2">
      <c r="A22" s="523">
        <v>20</v>
      </c>
      <c r="B22" s="524" t="s">
        <v>867</v>
      </c>
      <c r="C22" s="525">
        <v>2696</v>
      </c>
      <c r="D22" s="525">
        <v>0</v>
      </c>
      <c r="E22" s="604">
        <v>2020</v>
      </c>
    </row>
    <row r="23" spans="1:5" x14ac:dyDescent="0.2">
      <c r="A23" s="526">
        <v>21</v>
      </c>
      <c r="B23" s="527" t="s">
        <v>868</v>
      </c>
      <c r="C23" s="528">
        <f>SUM(C20:C22)</f>
        <v>18722</v>
      </c>
      <c r="D23" s="528">
        <f>SUM(D20:D22)</f>
        <v>0</v>
      </c>
      <c r="E23" s="605">
        <f>SUM(E20:E22)</f>
        <v>16185</v>
      </c>
    </row>
    <row r="24" spans="1:5" x14ac:dyDescent="0.2">
      <c r="A24" s="523">
        <v>22</v>
      </c>
      <c r="B24" s="524" t="s">
        <v>869</v>
      </c>
      <c r="C24" s="525">
        <v>20450</v>
      </c>
      <c r="D24" s="525">
        <v>0</v>
      </c>
      <c r="E24" s="604">
        <v>17129</v>
      </c>
    </row>
    <row r="25" spans="1:5" x14ac:dyDescent="0.2">
      <c r="A25" s="523">
        <v>23</v>
      </c>
      <c r="B25" s="524" t="s">
        <v>870</v>
      </c>
      <c r="C25" s="525">
        <v>12770</v>
      </c>
      <c r="D25" s="525">
        <v>0</v>
      </c>
      <c r="E25" s="604">
        <v>16441</v>
      </c>
    </row>
    <row r="26" spans="1:5" x14ac:dyDescent="0.2">
      <c r="A26" s="526">
        <v>24</v>
      </c>
      <c r="B26" s="527" t="s">
        <v>871</v>
      </c>
      <c r="C26" s="528">
        <f>C10+C15-C19-C23-C24-C25</f>
        <v>-19506</v>
      </c>
      <c r="D26" s="528">
        <f>D10+D15-D19-D23-D24-D25</f>
        <v>0</v>
      </c>
      <c r="E26" s="605">
        <f>E10+E15-E19-E23-E24-E25</f>
        <v>6945</v>
      </c>
    </row>
    <row r="27" spans="1:5" hidden="1" x14ac:dyDescent="0.2">
      <c r="A27" s="523">
        <v>25</v>
      </c>
      <c r="B27" s="524" t="s">
        <v>872</v>
      </c>
      <c r="C27" s="525">
        <v>0</v>
      </c>
      <c r="D27" s="525">
        <v>0</v>
      </c>
      <c r="E27" s="604">
        <v>0</v>
      </c>
    </row>
    <row r="28" spans="1:5" x14ac:dyDescent="0.2">
      <c r="A28" s="523">
        <v>28</v>
      </c>
      <c r="B28" s="524" t="s">
        <v>873</v>
      </c>
      <c r="C28" s="525">
        <v>1</v>
      </c>
      <c r="D28" s="525">
        <v>0</v>
      </c>
      <c r="E28" s="604">
        <v>1</v>
      </c>
    </row>
    <row r="29" spans="1:5" hidden="1" x14ac:dyDescent="0.2">
      <c r="A29" s="523">
        <v>29</v>
      </c>
      <c r="B29" s="524" t="s">
        <v>874</v>
      </c>
      <c r="C29" s="525">
        <v>0</v>
      </c>
      <c r="D29" s="525">
        <v>0</v>
      </c>
      <c r="E29" s="604">
        <v>0</v>
      </c>
    </row>
    <row r="30" spans="1:5" x14ac:dyDescent="0.2">
      <c r="A30" s="526">
        <v>32</v>
      </c>
      <c r="B30" s="527" t="s">
        <v>875</v>
      </c>
      <c r="C30" s="528">
        <f>SUM(C27:C29)</f>
        <v>1</v>
      </c>
      <c r="D30" s="528">
        <f>SUM(D27:D29)</f>
        <v>0</v>
      </c>
      <c r="E30" s="605">
        <f>SUM(E27:E29)</f>
        <v>1</v>
      </c>
    </row>
    <row r="31" spans="1:5" x14ac:dyDescent="0.2">
      <c r="A31" s="523">
        <v>35</v>
      </c>
      <c r="B31" s="524" t="s">
        <v>876</v>
      </c>
      <c r="C31" s="525">
        <v>3</v>
      </c>
      <c r="D31" s="525">
        <v>0</v>
      </c>
      <c r="E31" s="604">
        <v>0</v>
      </c>
    </row>
    <row r="32" spans="1:5" hidden="1" x14ac:dyDescent="0.2">
      <c r="A32" s="523">
        <v>39</v>
      </c>
      <c r="B32" s="524" t="s">
        <v>877</v>
      </c>
      <c r="C32" s="525">
        <v>0</v>
      </c>
      <c r="D32" s="525">
        <v>0</v>
      </c>
      <c r="E32" s="604">
        <v>0</v>
      </c>
    </row>
    <row r="33" spans="1:7" x14ac:dyDescent="0.2">
      <c r="A33" s="526">
        <v>42</v>
      </c>
      <c r="B33" s="527" t="s">
        <v>878</v>
      </c>
      <c r="C33" s="528">
        <f>SUM(C31:C32)</f>
        <v>3</v>
      </c>
      <c r="D33" s="528">
        <f>SUM(D31:D32)</f>
        <v>0</v>
      </c>
      <c r="E33" s="605">
        <f>SUM(E31:E32)</f>
        <v>0</v>
      </c>
    </row>
    <row r="34" spans="1:7" x14ac:dyDescent="0.2">
      <c r="A34" s="526">
        <v>43</v>
      </c>
      <c r="B34" s="527" t="s">
        <v>879</v>
      </c>
      <c r="C34" s="528">
        <f>C30-C33</f>
        <v>-2</v>
      </c>
      <c r="D34" s="528">
        <f>D30-D33</f>
        <v>0</v>
      </c>
      <c r="E34" s="605">
        <f>E30-E33</f>
        <v>1</v>
      </c>
    </row>
    <row r="35" spans="1:7" x14ac:dyDescent="0.2">
      <c r="A35" s="526">
        <v>44</v>
      </c>
      <c r="B35" s="527" t="s">
        <v>880</v>
      </c>
      <c r="C35" s="528">
        <f>C26+C34</f>
        <v>-19508</v>
      </c>
      <c r="D35" s="528">
        <f>D26+D34</f>
        <v>0</v>
      </c>
      <c r="E35" s="605">
        <f>E26+E34</f>
        <v>6946</v>
      </c>
      <c r="G35" s="81"/>
    </row>
    <row r="36" spans="1:7" x14ac:dyDescent="0.2">
      <c r="A36" s="2"/>
      <c r="B36" s="2"/>
      <c r="C36" s="2"/>
      <c r="D36" s="2"/>
      <c r="E36" s="2"/>
    </row>
  </sheetData>
  <mergeCells count="2">
    <mergeCell ref="A3:F3"/>
    <mergeCell ref="A4:F4"/>
  </mergeCells>
  <pageMargins left="0.7" right="0.7" top="0.75" bottom="0.75" header="0.3" footer="0.3"/>
  <pageSetup paperSize="9" scale="11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5"/>
  <sheetViews>
    <sheetView zoomScale="120" zoomScaleNormal="120" workbookViewId="0">
      <selection activeCell="A4" sqref="A4:E4"/>
    </sheetView>
  </sheetViews>
  <sheetFormatPr defaultRowHeight="12.75" x14ac:dyDescent="0.2"/>
  <cols>
    <col min="1" max="2" width="4.7109375" style="529" customWidth="1"/>
    <col min="3" max="3" width="69.140625" style="529" customWidth="1"/>
    <col min="4" max="4" width="16.5703125" style="529" customWidth="1"/>
    <col min="5" max="5" width="16.140625" style="529" customWidth="1"/>
    <col min="6" max="6" width="0.5703125" style="531" customWidth="1"/>
    <col min="7" max="7" width="9.140625" style="531"/>
    <col min="8" max="8" width="9.140625" style="531" customWidth="1"/>
    <col min="9" max="16384" width="9.140625" style="529"/>
  </cols>
  <sheetData>
    <row r="1" spans="1:7" x14ac:dyDescent="0.2">
      <c r="E1" s="530" t="s">
        <v>881</v>
      </c>
    </row>
    <row r="2" spans="1:7" x14ac:dyDescent="0.2">
      <c r="E2" s="532" t="str">
        <f>'1.Bev-kiad.'!F2</f>
        <v>a 3/2021.(V.28.) önkormányzati rendelethez</v>
      </c>
    </row>
    <row r="3" spans="1:7" ht="23.25" customHeight="1" x14ac:dyDescent="0.35">
      <c r="A3" s="713" t="s">
        <v>995</v>
      </c>
      <c r="B3" s="713"/>
      <c r="C3" s="713"/>
      <c r="D3" s="713"/>
      <c r="E3" s="713"/>
      <c r="F3" s="533"/>
      <c r="G3" s="533"/>
    </row>
    <row r="4" spans="1:7" ht="21" customHeight="1" x14ac:dyDescent="0.35">
      <c r="A4" s="713"/>
      <c r="B4" s="713"/>
      <c r="C4" s="713"/>
      <c r="D4" s="713"/>
      <c r="E4" s="713"/>
      <c r="F4" s="533"/>
      <c r="G4" s="533"/>
    </row>
    <row r="5" spans="1:7" ht="13.5" customHeight="1" thickBot="1" x14ac:dyDescent="0.25">
      <c r="E5" s="534" t="s">
        <v>512</v>
      </c>
    </row>
    <row r="6" spans="1:7" ht="19.5" customHeight="1" x14ac:dyDescent="0.2">
      <c r="A6" s="714" t="s">
        <v>882</v>
      </c>
      <c r="B6" s="715"/>
      <c r="C6" s="715"/>
      <c r="D6" s="716" t="s">
        <v>956</v>
      </c>
      <c r="E6" s="717"/>
    </row>
    <row r="7" spans="1:7" ht="15" customHeight="1" thickBot="1" x14ac:dyDescent="0.25">
      <c r="A7" s="535"/>
      <c r="B7" s="536"/>
      <c r="C7" s="536"/>
      <c r="D7" s="537" t="s">
        <v>883</v>
      </c>
      <c r="E7" s="538" t="s">
        <v>884</v>
      </c>
    </row>
    <row r="8" spans="1:7" ht="22.5" customHeight="1" x14ac:dyDescent="0.2">
      <c r="A8" s="539" t="s">
        <v>885</v>
      </c>
      <c r="B8" s="718" t="s">
        <v>886</v>
      </c>
      <c r="C8" s="718"/>
      <c r="D8" s="540">
        <f>SUM(D9+D18+D64)</f>
        <v>448828</v>
      </c>
      <c r="E8" s="611">
        <f>SUM(E9+E18+E64)</f>
        <v>562651</v>
      </c>
    </row>
    <row r="9" spans="1:7" ht="12.75" customHeight="1" x14ac:dyDescent="0.2">
      <c r="A9" s="541"/>
      <c r="B9" s="542" t="s">
        <v>887</v>
      </c>
      <c r="C9" s="542" t="s">
        <v>888</v>
      </c>
      <c r="D9" s="543">
        <f>D11+D17</f>
        <v>0</v>
      </c>
      <c r="E9" s="612">
        <f>E11+E17</f>
        <v>0</v>
      </c>
    </row>
    <row r="10" spans="1:7" x14ac:dyDescent="0.2">
      <c r="A10" s="541"/>
      <c r="B10" s="541"/>
      <c r="C10" s="541" t="s">
        <v>889</v>
      </c>
      <c r="D10" s="544"/>
      <c r="E10" s="612"/>
    </row>
    <row r="11" spans="1:7" ht="12.75" customHeight="1" x14ac:dyDescent="0.2">
      <c r="A11" s="541"/>
      <c r="B11" s="541"/>
      <c r="C11" s="545" t="s">
        <v>890</v>
      </c>
      <c r="D11" s="544">
        <f>D13+D16</f>
        <v>0</v>
      </c>
      <c r="E11" s="613">
        <f>E13+E16</f>
        <v>0</v>
      </c>
    </row>
    <row r="12" spans="1:7" ht="12.75" customHeight="1" x14ac:dyDescent="0.2">
      <c r="A12" s="541"/>
      <c r="B12" s="541"/>
      <c r="C12" s="541" t="s">
        <v>891</v>
      </c>
      <c r="D12" s="544"/>
      <c r="E12" s="612"/>
    </row>
    <row r="13" spans="1:7" ht="12.75" customHeight="1" x14ac:dyDescent="0.2">
      <c r="A13" s="541"/>
      <c r="B13" s="541"/>
      <c r="C13" s="545" t="s">
        <v>892</v>
      </c>
      <c r="D13" s="544"/>
      <c r="E13" s="612"/>
    </row>
    <row r="14" spans="1:7" ht="12.75" customHeight="1" x14ac:dyDescent="0.2">
      <c r="A14" s="541"/>
      <c r="B14" s="541"/>
      <c r="C14" s="545" t="s">
        <v>893</v>
      </c>
      <c r="D14" s="544"/>
      <c r="E14" s="612"/>
    </row>
    <row r="15" spans="1:7" x14ac:dyDescent="0.2">
      <c r="A15" s="541"/>
      <c r="B15" s="541"/>
      <c r="C15" s="546" t="s">
        <v>894</v>
      </c>
      <c r="D15" s="544"/>
      <c r="E15" s="612"/>
    </row>
    <row r="16" spans="1:7" ht="12.75" customHeight="1" x14ac:dyDescent="0.2">
      <c r="A16" s="541"/>
      <c r="B16" s="541"/>
      <c r="C16" s="545" t="s">
        <v>895</v>
      </c>
      <c r="D16" s="544">
        <v>0</v>
      </c>
      <c r="E16" s="613">
        <v>0</v>
      </c>
    </row>
    <row r="17" spans="1:6" ht="12.75" customHeight="1" x14ac:dyDescent="0.2">
      <c r="A17" s="541"/>
      <c r="B17" s="541"/>
      <c r="C17" s="545" t="s">
        <v>896</v>
      </c>
      <c r="D17" s="544"/>
      <c r="E17" s="613"/>
    </row>
    <row r="18" spans="1:6" ht="12.75" customHeight="1" x14ac:dyDescent="0.2">
      <c r="A18" s="541"/>
      <c r="B18" s="542" t="s">
        <v>897</v>
      </c>
      <c r="C18" s="542" t="s">
        <v>898</v>
      </c>
      <c r="D18" s="543">
        <f>SUM(D19+D28+D37+D46+D55)</f>
        <v>448814</v>
      </c>
      <c r="E18" s="612">
        <f>SUM(E19+E28+E37+E46+E55)</f>
        <v>562637</v>
      </c>
    </row>
    <row r="19" spans="1:6" ht="12.75" customHeight="1" x14ac:dyDescent="0.2">
      <c r="A19" s="547"/>
      <c r="B19" s="547"/>
      <c r="C19" s="542" t="s">
        <v>899</v>
      </c>
      <c r="D19" s="543">
        <f>SUM(D21+D27)</f>
        <v>442018</v>
      </c>
      <c r="E19" s="543">
        <f>SUM(E21+E27)</f>
        <v>554517</v>
      </c>
      <c r="F19" s="548"/>
    </row>
    <row r="20" spans="1:6" x14ac:dyDescent="0.2">
      <c r="A20" s="547"/>
      <c r="B20" s="547"/>
      <c r="C20" s="541" t="s">
        <v>900</v>
      </c>
      <c r="D20" s="544"/>
      <c r="E20" s="543"/>
    </row>
    <row r="21" spans="1:6" ht="12.75" customHeight="1" x14ac:dyDescent="0.2">
      <c r="A21" s="547"/>
      <c r="B21" s="547"/>
      <c r="C21" s="545" t="s">
        <v>890</v>
      </c>
      <c r="D21" s="544">
        <f>SUM(D23+D26)</f>
        <v>427705</v>
      </c>
      <c r="E21" s="544">
        <f>SUM(E23+E26)</f>
        <v>537130</v>
      </c>
    </row>
    <row r="22" spans="1:6" ht="12.75" customHeight="1" x14ac:dyDescent="0.2">
      <c r="A22" s="547"/>
      <c r="B22" s="547"/>
      <c r="C22" s="541" t="s">
        <v>901</v>
      </c>
      <c r="D22" s="544"/>
      <c r="E22" s="543"/>
    </row>
    <row r="23" spans="1:6" ht="12.75" customHeight="1" x14ac:dyDescent="0.2">
      <c r="A23" s="547"/>
      <c r="B23" s="547"/>
      <c r="C23" s="545" t="s">
        <v>892</v>
      </c>
      <c r="D23" s="544">
        <f>D24+D25</f>
        <v>166095</v>
      </c>
      <c r="E23" s="544">
        <f>E24+E25</f>
        <v>217003</v>
      </c>
    </row>
    <row r="24" spans="1:6" ht="12.75" customHeight="1" x14ac:dyDescent="0.2">
      <c r="A24" s="547"/>
      <c r="B24" s="547"/>
      <c r="C24" s="545" t="s">
        <v>902</v>
      </c>
      <c r="D24" s="549">
        <f>26204+136+139755</f>
        <v>166095</v>
      </c>
      <c r="E24" s="549">
        <f>26204+136+190663</f>
        <v>217003</v>
      </c>
    </row>
    <row r="25" spans="1:6" x14ac:dyDescent="0.2">
      <c r="A25" s="547"/>
      <c r="B25" s="547"/>
      <c r="C25" s="545" t="s">
        <v>903</v>
      </c>
      <c r="D25" s="549"/>
      <c r="E25" s="550"/>
    </row>
    <row r="26" spans="1:6" ht="12.75" customHeight="1" x14ac:dyDescent="0.2">
      <c r="A26" s="547"/>
      <c r="B26" s="547"/>
      <c r="C26" s="545" t="s">
        <v>895</v>
      </c>
      <c r="D26" s="544">
        <f>717+493+38697+311+3894+217498</f>
        <v>261610</v>
      </c>
      <c r="E26" s="544">
        <f>717+493+48549+311+5346+264711</f>
        <v>320127</v>
      </c>
    </row>
    <row r="27" spans="1:6" ht="12.75" customHeight="1" x14ac:dyDescent="0.2">
      <c r="A27" s="547"/>
      <c r="B27" s="547"/>
      <c r="C27" s="545" t="s">
        <v>904</v>
      </c>
      <c r="D27" s="544">
        <f>2607+664+1018+9134+118+772</f>
        <v>14313</v>
      </c>
      <c r="E27" s="544">
        <f>2607+664+1300+11664+118+1034</f>
        <v>17387</v>
      </c>
    </row>
    <row r="28" spans="1:6" ht="12.75" customHeight="1" x14ac:dyDescent="0.2">
      <c r="A28" s="541"/>
      <c r="B28" s="541"/>
      <c r="C28" s="542" t="s">
        <v>905</v>
      </c>
      <c r="D28" s="543">
        <f>SUM(D30+D36)</f>
        <v>6796</v>
      </c>
      <c r="E28" s="543">
        <f>SUM(E30+E36)</f>
        <v>8120</v>
      </c>
    </row>
    <row r="29" spans="1:6" ht="12.75" customHeight="1" x14ac:dyDescent="0.2">
      <c r="A29" s="541"/>
      <c r="B29" s="541"/>
      <c r="C29" s="541" t="s">
        <v>906</v>
      </c>
      <c r="D29" s="544"/>
      <c r="E29" s="543"/>
    </row>
    <row r="30" spans="1:6" ht="12.75" customHeight="1" x14ac:dyDescent="0.2">
      <c r="A30" s="541"/>
      <c r="B30" s="541"/>
      <c r="C30" s="545" t="s">
        <v>890</v>
      </c>
      <c r="D30" s="544">
        <f>D32+D35</f>
        <v>480</v>
      </c>
      <c r="E30" s="544">
        <f>E32+E35</f>
        <v>1602</v>
      </c>
    </row>
    <row r="31" spans="1:6" ht="12.75" customHeight="1" x14ac:dyDescent="0.2">
      <c r="A31" s="541"/>
      <c r="B31" s="541"/>
      <c r="C31" s="541" t="s">
        <v>901</v>
      </c>
      <c r="D31" s="544"/>
      <c r="E31" s="543"/>
    </row>
    <row r="32" spans="1:6" ht="12.75" customHeight="1" x14ac:dyDescent="0.2">
      <c r="A32" s="541"/>
      <c r="B32" s="541"/>
      <c r="C32" s="545" t="s">
        <v>892</v>
      </c>
      <c r="D32" s="544">
        <f>D33+D34</f>
        <v>480</v>
      </c>
      <c r="E32" s="544">
        <f>E33+E34</f>
        <v>1602</v>
      </c>
    </row>
    <row r="33" spans="1:5" ht="12.75" customHeight="1" x14ac:dyDescent="0.2">
      <c r="A33" s="541"/>
      <c r="B33" s="541"/>
      <c r="C33" s="545" t="s">
        <v>902</v>
      </c>
      <c r="D33" s="549">
        <v>480</v>
      </c>
      <c r="E33" s="549">
        <v>1602</v>
      </c>
    </row>
    <row r="34" spans="1:5" x14ac:dyDescent="0.2">
      <c r="A34" s="541"/>
      <c r="B34" s="541"/>
      <c r="C34" s="545" t="s">
        <v>903</v>
      </c>
      <c r="D34" s="544"/>
      <c r="E34" s="543"/>
    </row>
    <row r="35" spans="1:5" ht="12.75" customHeight="1" x14ac:dyDescent="0.2">
      <c r="A35" s="541"/>
      <c r="B35" s="541"/>
      <c r="C35" s="545" t="s">
        <v>895</v>
      </c>
      <c r="D35" s="544"/>
      <c r="E35" s="543"/>
    </row>
    <row r="36" spans="1:5" ht="12.75" customHeight="1" x14ac:dyDescent="0.2">
      <c r="A36" s="541"/>
      <c r="B36" s="541"/>
      <c r="C36" s="545" t="s">
        <v>904</v>
      </c>
      <c r="D36" s="544">
        <f>1848+4468</f>
        <v>6316</v>
      </c>
      <c r="E36" s="544">
        <f>1963+4555</f>
        <v>6518</v>
      </c>
    </row>
    <row r="37" spans="1:5" ht="12.75" customHeight="1" x14ac:dyDescent="0.2">
      <c r="A37" s="541"/>
      <c r="B37" s="541"/>
      <c r="C37" s="542" t="s">
        <v>907</v>
      </c>
      <c r="D37" s="543">
        <v>0</v>
      </c>
      <c r="E37" s="543">
        <v>0</v>
      </c>
    </row>
    <row r="38" spans="1:5" ht="12.75" customHeight="1" x14ac:dyDescent="0.2">
      <c r="A38" s="541"/>
      <c r="B38" s="541"/>
      <c r="C38" s="541" t="s">
        <v>906</v>
      </c>
      <c r="D38" s="544"/>
      <c r="E38" s="543"/>
    </row>
    <row r="39" spans="1:5" ht="12.75" customHeight="1" x14ac:dyDescent="0.2">
      <c r="A39" s="541"/>
      <c r="B39" s="541"/>
      <c r="C39" s="545" t="s">
        <v>890</v>
      </c>
      <c r="D39" s="544"/>
      <c r="E39" s="543"/>
    </row>
    <row r="40" spans="1:5" ht="12.75" customHeight="1" x14ac:dyDescent="0.2">
      <c r="A40" s="541"/>
      <c r="B40" s="541"/>
      <c r="C40" s="541" t="s">
        <v>901</v>
      </c>
      <c r="D40" s="544"/>
      <c r="E40" s="543"/>
    </row>
    <row r="41" spans="1:5" ht="12.75" customHeight="1" x14ac:dyDescent="0.2">
      <c r="A41" s="541"/>
      <c r="B41" s="541"/>
      <c r="C41" s="545" t="s">
        <v>892</v>
      </c>
      <c r="D41" s="544"/>
      <c r="E41" s="543"/>
    </row>
    <row r="42" spans="1:5" ht="12.75" customHeight="1" x14ac:dyDescent="0.2">
      <c r="A42" s="541"/>
      <c r="B42" s="541"/>
      <c r="C42" s="545" t="s">
        <v>902</v>
      </c>
      <c r="D42" s="544"/>
      <c r="E42" s="543"/>
    </row>
    <row r="43" spans="1:5" x14ac:dyDescent="0.2">
      <c r="A43" s="541"/>
      <c r="B43" s="541"/>
      <c r="C43" s="545" t="s">
        <v>903</v>
      </c>
      <c r="D43" s="544"/>
      <c r="E43" s="543"/>
    </row>
    <row r="44" spans="1:5" ht="12.75" customHeight="1" x14ac:dyDescent="0.2">
      <c r="A44" s="541"/>
      <c r="B44" s="541"/>
      <c r="C44" s="545" t="s">
        <v>895</v>
      </c>
      <c r="D44" s="544"/>
      <c r="E44" s="543"/>
    </row>
    <row r="45" spans="1:5" ht="12.75" customHeight="1" x14ac:dyDescent="0.2">
      <c r="A45" s="551"/>
      <c r="B45" s="551"/>
      <c r="C45" s="545" t="s">
        <v>904</v>
      </c>
      <c r="D45" s="544"/>
      <c r="E45" s="552"/>
    </row>
    <row r="46" spans="1:5" ht="12.75" customHeight="1" x14ac:dyDescent="0.2">
      <c r="A46" s="541"/>
      <c r="B46" s="551"/>
      <c r="C46" s="542" t="s">
        <v>908</v>
      </c>
      <c r="D46" s="543">
        <f>SUM(D48+D54)</f>
        <v>0</v>
      </c>
      <c r="E46" s="543">
        <f>SUM(E48+E54)</f>
        <v>0</v>
      </c>
    </row>
    <row r="47" spans="1:5" ht="12.75" customHeight="1" x14ac:dyDescent="0.2">
      <c r="A47" s="541"/>
      <c r="B47" s="551"/>
      <c r="C47" s="541" t="s">
        <v>906</v>
      </c>
      <c r="D47" s="544"/>
      <c r="E47" s="552"/>
    </row>
    <row r="48" spans="1:5" ht="12.75" customHeight="1" x14ac:dyDescent="0.2">
      <c r="A48" s="541"/>
      <c r="B48" s="551"/>
      <c r="C48" s="545" t="s">
        <v>890</v>
      </c>
      <c r="D48" s="544"/>
      <c r="E48" s="553"/>
    </row>
    <row r="49" spans="1:5" ht="12.75" customHeight="1" x14ac:dyDescent="0.2">
      <c r="A49" s="541"/>
      <c r="B49" s="551"/>
      <c r="C49" s="541" t="s">
        <v>901</v>
      </c>
      <c r="D49" s="544"/>
      <c r="E49" s="552"/>
    </row>
    <row r="50" spans="1:5" ht="12.75" customHeight="1" x14ac:dyDescent="0.2">
      <c r="A50" s="541"/>
      <c r="B50" s="551"/>
      <c r="C50" s="545" t="s">
        <v>892</v>
      </c>
      <c r="D50" s="544"/>
      <c r="E50" s="552"/>
    </row>
    <row r="51" spans="1:5" ht="12.75" customHeight="1" x14ac:dyDescent="0.2">
      <c r="A51" s="541"/>
      <c r="B51" s="551"/>
      <c r="C51" s="545" t="s">
        <v>902</v>
      </c>
      <c r="D51" s="544"/>
      <c r="E51" s="552"/>
    </row>
    <row r="52" spans="1:5" x14ac:dyDescent="0.2">
      <c r="A52" s="541"/>
      <c r="B52" s="551"/>
      <c r="C52" s="545" t="s">
        <v>903</v>
      </c>
      <c r="D52" s="544"/>
      <c r="E52" s="552"/>
    </row>
    <row r="53" spans="1:5" ht="12.75" customHeight="1" x14ac:dyDescent="0.2">
      <c r="A53" s="541"/>
      <c r="B53" s="551"/>
      <c r="C53" s="545" t="s">
        <v>895</v>
      </c>
      <c r="D53" s="544"/>
      <c r="E53" s="553"/>
    </row>
    <row r="54" spans="1:5" ht="12.75" customHeight="1" x14ac:dyDescent="0.2">
      <c r="A54" s="541"/>
      <c r="B54" s="551"/>
      <c r="C54" s="545" t="s">
        <v>909</v>
      </c>
      <c r="D54" s="544">
        <f>'[4]11.Mérleg'!F13</f>
        <v>0</v>
      </c>
      <c r="E54" s="544">
        <f>D54</f>
        <v>0</v>
      </c>
    </row>
    <row r="55" spans="1:5" ht="12.75" customHeight="1" x14ac:dyDescent="0.2">
      <c r="A55" s="541"/>
      <c r="B55" s="541"/>
      <c r="C55" s="542" t="s">
        <v>910</v>
      </c>
      <c r="D55" s="543"/>
      <c r="E55" s="552"/>
    </row>
    <row r="56" spans="1:5" x14ac:dyDescent="0.2">
      <c r="A56" s="541"/>
      <c r="B56" s="541"/>
      <c r="C56" s="541" t="s">
        <v>906</v>
      </c>
      <c r="D56" s="544"/>
      <c r="E56" s="552"/>
    </row>
    <row r="57" spans="1:5" ht="12.75" customHeight="1" x14ac:dyDescent="0.2">
      <c r="A57" s="541"/>
      <c r="B57" s="541"/>
      <c r="C57" s="545" t="s">
        <v>890</v>
      </c>
      <c r="D57" s="544"/>
      <c r="E57" s="552"/>
    </row>
    <row r="58" spans="1:5" ht="12.75" customHeight="1" x14ac:dyDescent="0.2">
      <c r="A58" s="541"/>
      <c r="B58" s="541"/>
      <c r="C58" s="541" t="s">
        <v>901</v>
      </c>
      <c r="D58" s="544"/>
      <c r="E58" s="552"/>
    </row>
    <row r="59" spans="1:5" ht="12.75" customHeight="1" x14ac:dyDescent="0.2">
      <c r="A59" s="541"/>
      <c r="B59" s="541"/>
      <c r="C59" s="545" t="s">
        <v>892</v>
      </c>
      <c r="D59" s="544"/>
      <c r="E59" s="552"/>
    </row>
    <row r="60" spans="1:5" ht="12.75" customHeight="1" x14ac:dyDescent="0.2">
      <c r="A60" s="541"/>
      <c r="B60" s="541"/>
      <c r="C60" s="545" t="s">
        <v>902</v>
      </c>
      <c r="D60" s="544"/>
      <c r="E60" s="552"/>
    </row>
    <row r="61" spans="1:5" x14ac:dyDescent="0.2">
      <c r="A61" s="541"/>
      <c r="B61" s="541"/>
      <c r="C61" s="545" t="s">
        <v>903</v>
      </c>
      <c r="D61" s="544"/>
      <c r="E61" s="552"/>
    </row>
    <row r="62" spans="1:5" ht="12.75" customHeight="1" x14ac:dyDescent="0.2">
      <c r="A62" s="541"/>
      <c r="B62" s="541"/>
      <c r="C62" s="545" t="s">
        <v>895</v>
      </c>
      <c r="D62" s="544"/>
      <c r="E62" s="552"/>
    </row>
    <row r="63" spans="1:5" ht="12.75" customHeight="1" x14ac:dyDescent="0.2">
      <c r="A63" s="541"/>
      <c r="B63" s="541"/>
      <c r="C63" s="545" t="s">
        <v>909</v>
      </c>
      <c r="D63" s="544"/>
      <c r="E63" s="552"/>
    </row>
    <row r="64" spans="1:5" ht="12.75" customHeight="1" x14ac:dyDescent="0.2">
      <c r="A64" s="541"/>
      <c r="B64" s="542" t="s">
        <v>911</v>
      </c>
      <c r="C64" s="554" t="s">
        <v>912</v>
      </c>
      <c r="D64" s="543">
        <f>SUM(D67+D73)</f>
        <v>14</v>
      </c>
      <c r="E64" s="543">
        <f>SUM(E67+E73)</f>
        <v>14</v>
      </c>
    </row>
    <row r="65" spans="1:5" ht="12.75" customHeight="1" x14ac:dyDescent="0.2">
      <c r="A65" s="541"/>
      <c r="B65" s="541"/>
      <c r="C65" s="541" t="s">
        <v>913</v>
      </c>
      <c r="D65" s="544"/>
      <c r="E65" s="552"/>
    </row>
    <row r="66" spans="1:5" ht="12.75" customHeight="1" x14ac:dyDescent="0.2">
      <c r="A66" s="541"/>
      <c r="B66" s="541"/>
      <c r="C66" s="541" t="s">
        <v>906</v>
      </c>
      <c r="D66" s="544"/>
      <c r="E66" s="552"/>
    </row>
    <row r="67" spans="1:5" ht="12.75" customHeight="1" x14ac:dyDescent="0.2">
      <c r="A67" s="551"/>
      <c r="B67" s="551"/>
      <c r="C67" s="545" t="s">
        <v>890</v>
      </c>
      <c r="D67" s="544"/>
      <c r="E67" s="552"/>
    </row>
    <row r="68" spans="1:5" ht="12.75" customHeight="1" x14ac:dyDescent="0.2">
      <c r="A68" s="551"/>
      <c r="B68" s="551"/>
      <c r="C68" s="541" t="s">
        <v>901</v>
      </c>
      <c r="D68" s="544"/>
      <c r="E68" s="552"/>
    </row>
    <row r="69" spans="1:5" ht="12.75" customHeight="1" x14ac:dyDescent="0.2">
      <c r="A69" s="551"/>
      <c r="B69" s="551"/>
      <c r="C69" s="545" t="s">
        <v>892</v>
      </c>
      <c r="D69" s="544"/>
      <c r="E69" s="552"/>
    </row>
    <row r="70" spans="1:5" ht="12.75" customHeight="1" x14ac:dyDescent="0.2">
      <c r="A70" s="551"/>
      <c r="B70" s="551"/>
      <c r="C70" s="545" t="s">
        <v>902</v>
      </c>
      <c r="D70" s="544"/>
      <c r="E70" s="552"/>
    </row>
    <row r="71" spans="1:5" x14ac:dyDescent="0.2">
      <c r="A71" s="551"/>
      <c r="B71" s="551"/>
      <c r="C71" s="545" t="s">
        <v>903</v>
      </c>
      <c r="D71" s="544"/>
      <c r="E71" s="552"/>
    </row>
    <row r="72" spans="1:5" ht="12.75" customHeight="1" x14ac:dyDescent="0.2">
      <c r="A72" s="551"/>
      <c r="B72" s="551"/>
      <c r="C72" s="545" t="s">
        <v>895</v>
      </c>
      <c r="D72" s="544"/>
      <c r="E72" s="552"/>
    </row>
    <row r="73" spans="1:5" ht="12.75" customHeight="1" x14ac:dyDescent="0.2">
      <c r="A73" s="551"/>
      <c r="B73" s="551"/>
      <c r="C73" s="545" t="s">
        <v>909</v>
      </c>
      <c r="D73" s="544">
        <f>'11.Mérleg'!F19</f>
        <v>14</v>
      </c>
      <c r="E73" s="555">
        <f>D73</f>
        <v>14</v>
      </c>
    </row>
    <row r="74" spans="1:5" ht="12.75" customHeight="1" x14ac:dyDescent="0.2">
      <c r="A74" s="551"/>
      <c r="B74" s="551"/>
      <c r="C74" s="541" t="s">
        <v>914</v>
      </c>
      <c r="D74" s="544"/>
      <c r="E74" s="552"/>
    </row>
    <row r="75" spans="1:5" ht="12.75" customHeight="1" x14ac:dyDescent="0.2">
      <c r="A75" s="551"/>
      <c r="B75" s="551"/>
      <c r="C75" s="541" t="s">
        <v>906</v>
      </c>
      <c r="D75" s="544"/>
      <c r="E75" s="552"/>
    </row>
    <row r="76" spans="1:5" ht="12.75" customHeight="1" x14ac:dyDescent="0.2">
      <c r="A76" s="551"/>
      <c r="B76" s="551"/>
      <c r="C76" s="545" t="s">
        <v>890</v>
      </c>
      <c r="D76" s="544"/>
      <c r="E76" s="552"/>
    </row>
    <row r="77" spans="1:5" ht="12.75" customHeight="1" x14ac:dyDescent="0.2">
      <c r="A77" s="551"/>
      <c r="B77" s="551"/>
      <c r="C77" s="541" t="s">
        <v>915</v>
      </c>
      <c r="D77" s="544"/>
      <c r="E77" s="552"/>
    </row>
    <row r="78" spans="1:5" ht="12.75" customHeight="1" x14ac:dyDescent="0.2">
      <c r="A78" s="551"/>
      <c r="B78" s="551"/>
      <c r="C78" s="545" t="s">
        <v>892</v>
      </c>
      <c r="D78" s="544"/>
      <c r="E78" s="552"/>
    </row>
    <row r="79" spans="1:5" ht="12.75" customHeight="1" x14ac:dyDescent="0.2">
      <c r="A79" s="551"/>
      <c r="B79" s="551"/>
      <c r="C79" s="545" t="s">
        <v>902</v>
      </c>
      <c r="D79" s="544"/>
      <c r="E79" s="552"/>
    </row>
    <row r="80" spans="1:5" x14ac:dyDescent="0.2">
      <c r="A80" s="551"/>
      <c r="B80" s="551"/>
      <c r="C80" s="545" t="s">
        <v>903</v>
      </c>
      <c r="D80" s="544"/>
      <c r="E80" s="552"/>
    </row>
    <row r="81" spans="1:9" ht="12.75" customHeight="1" x14ac:dyDescent="0.2">
      <c r="A81" s="551"/>
      <c r="B81" s="551"/>
      <c r="C81" s="545" t="s">
        <v>895</v>
      </c>
      <c r="D81" s="544"/>
      <c r="E81" s="552"/>
    </row>
    <row r="82" spans="1:9" ht="12.75" customHeight="1" x14ac:dyDescent="0.2">
      <c r="A82" s="551"/>
      <c r="B82" s="551"/>
      <c r="C82" s="545" t="s">
        <v>904</v>
      </c>
      <c r="D82" s="544"/>
      <c r="E82" s="552"/>
    </row>
    <row r="83" spans="1:9" ht="12.75" customHeight="1" x14ac:dyDescent="0.2">
      <c r="A83" s="551"/>
      <c r="B83" s="551"/>
      <c r="C83" s="541" t="s">
        <v>916</v>
      </c>
      <c r="D83" s="544"/>
      <c r="E83" s="552"/>
    </row>
    <row r="84" spans="1:9" ht="12.75" customHeight="1" x14ac:dyDescent="0.2">
      <c r="A84" s="551"/>
      <c r="B84" s="551"/>
      <c r="C84" s="541" t="s">
        <v>906</v>
      </c>
      <c r="D84" s="544"/>
      <c r="E84" s="552"/>
    </row>
    <row r="85" spans="1:9" ht="12.75" customHeight="1" x14ac:dyDescent="0.2">
      <c r="A85" s="551"/>
      <c r="B85" s="551"/>
      <c r="C85" s="545" t="s">
        <v>890</v>
      </c>
      <c r="D85" s="544"/>
      <c r="E85" s="552"/>
    </row>
    <row r="86" spans="1:9" ht="12.75" customHeight="1" x14ac:dyDescent="0.2">
      <c r="A86" s="551"/>
      <c r="B86" s="551"/>
      <c r="C86" s="541" t="s">
        <v>901</v>
      </c>
      <c r="D86" s="544"/>
      <c r="E86" s="552"/>
    </row>
    <row r="87" spans="1:9" ht="12.75" customHeight="1" x14ac:dyDescent="0.2">
      <c r="A87" s="551"/>
      <c r="B87" s="551"/>
      <c r="C87" s="545" t="s">
        <v>892</v>
      </c>
      <c r="D87" s="544"/>
      <c r="E87" s="552"/>
    </row>
    <row r="88" spans="1:9" ht="12.75" customHeight="1" x14ac:dyDescent="0.2">
      <c r="A88" s="551"/>
      <c r="B88" s="551"/>
      <c r="C88" s="545" t="s">
        <v>902</v>
      </c>
      <c r="D88" s="544"/>
      <c r="E88" s="552"/>
    </row>
    <row r="89" spans="1:9" x14ac:dyDescent="0.2">
      <c r="A89" s="551"/>
      <c r="B89" s="551"/>
      <c r="C89" s="545" t="s">
        <v>903</v>
      </c>
      <c r="D89" s="544"/>
      <c r="E89" s="552"/>
    </row>
    <row r="90" spans="1:9" ht="12.75" customHeight="1" x14ac:dyDescent="0.2">
      <c r="A90" s="551"/>
      <c r="B90" s="551"/>
      <c r="C90" s="545" t="s">
        <v>895</v>
      </c>
      <c r="D90" s="544"/>
      <c r="E90" s="552"/>
    </row>
    <row r="91" spans="1:9" ht="12.75" customHeight="1" x14ac:dyDescent="0.2">
      <c r="A91" s="551"/>
      <c r="B91" s="551"/>
      <c r="C91" s="545" t="s">
        <v>909</v>
      </c>
      <c r="D91" s="544"/>
      <c r="E91" s="552"/>
    </row>
    <row r="92" spans="1:9" ht="14.25" customHeight="1" x14ac:dyDescent="0.2">
      <c r="A92" s="547"/>
      <c r="B92" s="542" t="s">
        <v>917</v>
      </c>
      <c r="C92" s="556" t="s">
        <v>918</v>
      </c>
      <c r="D92" s="544"/>
      <c r="E92" s="543"/>
      <c r="F92" s="719"/>
      <c r="G92" s="719"/>
      <c r="H92" s="557"/>
      <c r="I92" s="557"/>
    </row>
    <row r="93" spans="1:9" ht="12.75" customHeight="1" x14ac:dyDescent="0.2">
      <c r="A93" s="558" t="s">
        <v>919</v>
      </c>
      <c r="B93" s="558"/>
      <c r="C93" s="558" t="s">
        <v>920</v>
      </c>
      <c r="D93" s="543">
        <f>SUM(D94:D95)</f>
        <v>0</v>
      </c>
      <c r="E93" s="543">
        <f>SUM(E94:E95)</f>
        <v>0</v>
      </c>
    </row>
    <row r="94" spans="1:9" ht="12.75" customHeight="1" x14ac:dyDescent="0.2">
      <c r="A94" s="551"/>
      <c r="B94" s="542" t="s">
        <v>887</v>
      </c>
      <c r="C94" s="541" t="s">
        <v>921</v>
      </c>
      <c r="D94" s="544">
        <v>0</v>
      </c>
      <c r="E94" s="555">
        <v>0</v>
      </c>
    </row>
    <row r="95" spans="1:9" ht="12.75" customHeight="1" x14ac:dyDescent="0.2">
      <c r="A95" s="551"/>
      <c r="B95" s="542" t="s">
        <v>897</v>
      </c>
      <c r="C95" s="541" t="s">
        <v>922</v>
      </c>
      <c r="D95" s="544"/>
      <c r="E95" s="552"/>
    </row>
    <row r="96" spans="1:9" ht="12.75" customHeight="1" x14ac:dyDescent="0.2">
      <c r="A96" s="559" t="s">
        <v>923</v>
      </c>
      <c r="B96" s="542"/>
      <c r="C96" s="558" t="s">
        <v>924</v>
      </c>
      <c r="D96" s="543">
        <f>'11.Mérleg'!F31</f>
        <v>18809</v>
      </c>
      <c r="E96" s="552">
        <f>D96</f>
        <v>18809</v>
      </c>
    </row>
    <row r="97" spans="1:5" ht="12.75" customHeight="1" x14ac:dyDescent="0.2">
      <c r="A97" s="559" t="s">
        <v>925</v>
      </c>
      <c r="B97" s="542"/>
      <c r="C97" s="558" t="s">
        <v>926</v>
      </c>
      <c r="D97" s="543">
        <f>'11.Mérleg'!F52</f>
        <v>13437</v>
      </c>
      <c r="E97" s="552">
        <f t="shared" ref="E97:E102" si="0">D97</f>
        <v>13437</v>
      </c>
    </row>
    <row r="98" spans="1:5" ht="12.75" hidden="1" customHeight="1" x14ac:dyDescent="0.2">
      <c r="A98" s="560"/>
      <c r="B98" s="541" t="s">
        <v>887</v>
      </c>
      <c r="C98" s="541" t="s">
        <v>927</v>
      </c>
      <c r="D98" s="544"/>
      <c r="E98" s="552">
        <f t="shared" si="0"/>
        <v>0</v>
      </c>
    </row>
    <row r="99" spans="1:5" ht="12.75" hidden="1" customHeight="1" x14ac:dyDescent="0.2">
      <c r="A99" s="560"/>
      <c r="B99" s="541" t="s">
        <v>897</v>
      </c>
      <c r="C99" s="541" t="s">
        <v>928</v>
      </c>
      <c r="D99" s="544"/>
      <c r="E99" s="552">
        <f t="shared" si="0"/>
        <v>0</v>
      </c>
    </row>
    <row r="100" spans="1:5" ht="12.75" hidden="1" customHeight="1" x14ac:dyDescent="0.2">
      <c r="A100" s="560"/>
      <c r="B100" s="541" t="s">
        <v>911</v>
      </c>
      <c r="C100" s="541" t="s">
        <v>929</v>
      </c>
      <c r="D100" s="544"/>
      <c r="E100" s="552">
        <f t="shared" si="0"/>
        <v>0</v>
      </c>
    </row>
    <row r="101" spans="1:5" ht="12.75" customHeight="1" x14ac:dyDescent="0.2">
      <c r="A101" s="559" t="s">
        <v>930</v>
      </c>
      <c r="B101" s="542"/>
      <c r="C101" s="558" t="s">
        <v>931</v>
      </c>
      <c r="D101" s="543">
        <f>'11.Mérleg'!F56</f>
        <v>4</v>
      </c>
      <c r="E101" s="552">
        <f t="shared" si="0"/>
        <v>4</v>
      </c>
    </row>
    <row r="102" spans="1:5" ht="12.75" customHeight="1" x14ac:dyDescent="0.2">
      <c r="A102" s="559" t="s">
        <v>932</v>
      </c>
      <c r="B102" s="542"/>
      <c r="C102" s="558" t="s">
        <v>933</v>
      </c>
      <c r="D102" s="543">
        <f>'11.Mérleg'!F59</f>
        <v>0</v>
      </c>
      <c r="E102" s="552">
        <f t="shared" si="0"/>
        <v>0</v>
      </c>
    </row>
    <row r="103" spans="1:5" ht="21.75" customHeight="1" x14ac:dyDescent="0.2">
      <c r="A103" s="707" t="s">
        <v>934</v>
      </c>
      <c r="B103" s="707"/>
      <c r="C103" s="707"/>
      <c r="D103" s="561">
        <f>SUM(D8+D93+D96+D97+D101+D102)</f>
        <v>481078</v>
      </c>
      <c r="E103" s="561">
        <f>SUM(E8+E93+E96+E97+E101+E102)</f>
        <v>594901</v>
      </c>
    </row>
    <row r="104" spans="1:5" ht="16.5" customHeight="1" x14ac:dyDescent="0.2">
      <c r="A104" s="562"/>
      <c r="E104" s="563"/>
    </row>
    <row r="105" spans="1:5" ht="26.25" customHeight="1" x14ac:dyDescent="0.2">
      <c r="A105" s="708" t="s">
        <v>935</v>
      </c>
      <c r="B105" s="708"/>
      <c r="C105" s="708"/>
      <c r="D105" s="708"/>
      <c r="E105" s="708"/>
    </row>
    <row r="106" spans="1:5" ht="13.5" thickBot="1" x14ac:dyDescent="0.25">
      <c r="B106" s="564"/>
      <c r="C106" s="564"/>
      <c r="D106" s="564"/>
      <c r="E106" s="565" t="s">
        <v>512</v>
      </c>
    </row>
    <row r="107" spans="1:5" ht="26.25" customHeight="1" thickBot="1" x14ac:dyDescent="0.25">
      <c r="A107" s="709" t="s">
        <v>55</v>
      </c>
      <c r="B107" s="710"/>
      <c r="C107" s="710"/>
      <c r="D107" s="711"/>
      <c r="E107" s="566" t="s">
        <v>956</v>
      </c>
    </row>
    <row r="108" spans="1:5" ht="13.5" customHeight="1" x14ac:dyDescent="0.2">
      <c r="A108" s="567" t="s">
        <v>936</v>
      </c>
      <c r="B108" s="712" t="s">
        <v>937</v>
      </c>
      <c r="C108" s="712"/>
      <c r="D108" s="568"/>
      <c r="E108" s="569">
        <v>28578</v>
      </c>
    </row>
    <row r="109" spans="1:5" ht="13.5" customHeight="1" x14ac:dyDescent="0.2">
      <c r="A109" s="570" t="s">
        <v>938</v>
      </c>
      <c r="B109" s="704" t="s">
        <v>939</v>
      </c>
      <c r="C109" s="704"/>
      <c r="D109" s="551"/>
      <c r="E109" s="544"/>
    </row>
    <row r="110" spans="1:5" ht="13.5" customHeight="1" x14ac:dyDescent="0.2">
      <c r="A110" s="570" t="s">
        <v>940</v>
      </c>
      <c r="B110" s="704" t="s">
        <v>941</v>
      </c>
      <c r="C110" s="704"/>
      <c r="D110" s="551"/>
      <c r="E110" s="544"/>
    </row>
    <row r="111" spans="1:5" ht="13.5" customHeight="1" x14ac:dyDescent="0.2">
      <c r="A111" s="570" t="s">
        <v>942</v>
      </c>
      <c r="B111" s="704" t="s">
        <v>943</v>
      </c>
      <c r="C111" s="704"/>
      <c r="D111" s="551"/>
      <c r="E111" s="543"/>
    </row>
    <row r="112" spans="1:5" ht="12.75" customHeight="1" x14ac:dyDescent="0.2">
      <c r="A112" s="570" t="s">
        <v>944</v>
      </c>
      <c r="B112" s="704" t="s">
        <v>945</v>
      </c>
      <c r="C112" s="704"/>
      <c r="D112" s="551"/>
      <c r="E112" s="543"/>
    </row>
    <row r="113" spans="1:5" ht="13.5" customHeight="1" x14ac:dyDescent="0.2">
      <c r="A113" s="705" t="s">
        <v>946</v>
      </c>
      <c r="B113" s="705"/>
      <c r="C113" s="705"/>
      <c r="D113" s="571"/>
      <c r="E113" s="543">
        <f>SUM(E108:E112)</f>
        <v>28578</v>
      </c>
    </row>
    <row r="114" spans="1:5" ht="15.75" x14ac:dyDescent="0.2">
      <c r="A114" s="572"/>
    </row>
    <row r="115" spans="1:5" ht="15.75" x14ac:dyDescent="0.2">
      <c r="A115" s="706" t="s">
        <v>947</v>
      </c>
      <c r="B115" s="706"/>
      <c r="C115" s="706"/>
      <c r="D115" s="706"/>
      <c r="E115" s="706"/>
    </row>
    <row r="116" spans="1:5" ht="15.75" x14ac:dyDescent="0.2">
      <c r="A116" s="706" t="s">
        <v>948</v>
      </c>
      <c r="B116" s="706"/>
      <c r="C116" s="706"/>
      <c r="D116" s="706"/>
      <c r="E116" s="706"/>
    </row>
    <row r="117" spans="1:5" ht="15.75" x14ac:dyDescent="0.2">
      <c r="A117" s="706" t="s">
        <v>949</v>
      </c>
      <c r="B117" s="706"/>
      <c r="C117" s="706"/>
      <c r="D117" s="706"/>
      <c r="E117" s="706"/>
    </row>
    <row r="118" spans="1:5" ht="15.75" x14ac:dyDescent="0.2">
      <c r="A118" s="573"/>
      <c r="B118" s="573"/>
      <c r="C118" s="573"/>
      <c r="D118" s="574" t="s">
        <v>950</v>
      </c>
      <c r="E118" s="574" t="s">
        <v>951</v>
      </c>
    </row>
    <row r="119" spans="1:5" x14ac:dyDescent="0.2">
      <c r="A119" s="575" t="s">
        <v>936</v>
      </c>
      <c r="B119" s="702" t="s">
        <v>952</v>
      </c>
      <c r="C119" s="702"/>
      <c r="D119" s="576"/>
      <c r="E119" s="577" t="s">
        <v>50</v>
      </c>
    </row>
    <row r="120" spans="1:5" x14ac:dyDescent="0.2">
      <c r="A120" s="575"/>
      <c r="B120" s="570"/>
      <c r="C120" s="578"/>
      <c r="D120" s="578"/>
      <c r="E120" s="577"/>
    </row>
    <row r="121" spans="1:5" x14ac:dyDescent="0.2">
      <c r="A121" s="575"/>
      <c r="B121" s="570"/>
      <c r="C121" s="578"/>
      <c r="D121" s="578"/>
      <c r="E121" s="577"/>
    </row>
    <row r="122" spans="1:5" x14ac:dyDescent="0.2">
      <c r="A122" s="579"/>
      <c r="B122" s="580"/>
      <c r="C122" s="581"/>
      <c r="D122" s="581"/>
      <c r="E122" s="582"/>
    </row>
    <row r="123" spans="1:5" x14ac:dyDescent="0.2">
      <c r="A123" s="575" t="s">
        <v>938</v>
      </c>
      <c r="B123" s="702" t="s">
        <v>953</v>
      </c>
      <c r="C123" s="702"/>
      <c r="D123" s="576"/>
      <c r="E123" s="577" t="s">
        <v>50</v>
      </c>
    </row>
    <row r="124" spans="1:5" x14ac:dyDescent="0.2">
      <c r="A124" s="575"/>
      <c r="B124" s="570"/>
      <c r="C124" s="578"/>
      <c r="D124" s="578"/>
      <c r="E124" s="577"/>
    </row>
    <row r="125" spans="1:5" x14ac:dyDescent="0.2">
      <c r="A125" s="575"/>
      <c r="B125" s="570"/>
      <c r="C125" s="578"/>
      <c r="D125" s="578"/>
      <c r="E125" s="577"/>
    </row>
    <row r="126" spans="1:5" x14ac:dyDescent="0.2">
      <c r="A126" s="579"/>
      <c r="B126" s="583"/>
      <c r="C126" s="583"/>
      <c r="D126" s="583"/>
      <c r="E126" s="582"/>
    </row>
    <row r="127" spans="1:5" x14ac:dyDescent="0.2">
      <c r="A127" s="575" t="s">
        <v>940</v>
      </c>
      <c r="B127" s="702" t="s">
        <v>954</v>
      </c>
      <c r="C127" s="702"/>
      <c r="D127" s="576"/>
      <c r="E127" s="577" t="s">
        <v>50</v>
      </c>
    </row>
    <row r="128" spans="1:5" x14ac:dyDescent="0.2">
      <c r="A128" s="575"/>
      <c r="B128" s="584"/>
      <c r="C128" s="584"/>
      <c r="D128" s="584"/>
      <c r="E128" s="577"/>
    </row>
    <row r="129" spans="1:5" x14ac:dyDescent="0.2">
      <c r="A129" s="575"/>
      <c r="B129" s="584"/>
      <c r="C129" s="584"/>
      <c r="D129" s="584"/>
      <c r="E129" s="577"/>
    </row>
    <row r="130" spans="1:5" ht="11.25" customHeight="1" x14ac:dyDescent="0.2">
      <c r="A130" s="580"/>
      <c r="B130" s="580"/>
      <c r="C130" s="583"/>
      <c r="D130" s="583"/>
      <c r="E130" s="582"/>
    </row>
    <row r="131" spans="1:5" ht="13.5" customHeight="1" x14ac:dyDescent="0.2">
      <c r="A131" s="575" t="s">
        <v>942</v>
      </c>
      <c r="B131" s="703" t="s">
        <v>955</v>
      </c>
      <c r="C131" s="703"/>
      <c r="D131" s="542"/>
      <c r="E131" s="577" t="s">
        <v>50</v>
      </c>
    </row>
    <row r="132" spans="1:5" x14ac:dyDescent="0.2">
      <c r="A132" s="575"/>
      <c r="B132" s="575"/>
      <c r="C132" s="585"/>
      <c r="D132" s="585"/>
      <c r="E132" s="577"/>
    </row>
    <row r="133" spans="1:5" x14ac:dyDescent="0.2">
      <c r="A133" s="575"/>
      <c r="B133" s="575"/>
      <c r="C133" s="570"/>
      <c r="D133" s="570"/>
      <c r="E133" s="577"/>
    </row>
    <row r="134" spans="1:5" ht="15.75" x14ac:dyDescent="0.2">
      <c r="A134" s="572"/>
    </row>
    <row r="135" spans="1:5" ht="15.75" x14ac:dyDescent="0.2">
      <c r="A135" s="572"/>
    </row>
  </sheetData>
  <mergeCells count="22">
    <mergeCell ref="A3:E3"/>
    <mergeCell ref="A4:E4"/>
    <mergeCell ref="A6:C6"/>
    <mergeCell ref="D6:E6"/>
    <mergeCell ref="B8:C8"/>
    <mergeCell ref="F92:G92"/>
    <mergeCell ref="A103:C103"/>
    <mergeCell ref="A105:E105"/>
    <mergeCell ref="A107:D107"/>
    <mergeCell ref="B108:C108"/>
    <mergeCell ref="B109:C109"/>
    <mergeCell ref="B110:C110"/>
    <mergeCell ref="B119:C119"/>
    <mergeCell ref="B123:C123"/>
    <mergeCell ref="B127:C127"/>
    <mergeCell ref="B131:C131"/>
    <mergeCell ref="B111:C111"/>
    <mergeCell ref="B112:C112"/>
    <mergeCell ref="A113:C113"/>
    <mergeCell ref="A115:E115"/>
    <mergeCell ref="A116:E116"/>
    <mergeCell ref="A117:E117"/>
  </mergeCells>
  <pageMargins left="0.7" right="0.7" top="0.75" bottom="0.75" header="0.3" footer="0.3"/>
  <pageSetup paperSize="9" scale="78" orientation="portrait" r:id="rId1"/>
  <rowBreaks count="1" manualBreakCount="1">
    <brk id="73" max="4" man="1"/>
  </rowBreaks>
  <colBreaks count="1" manualBreakCount="1">
    <brk id="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zoomScale="160" zoomScaleNormal="160" workbookViewId="0">
      <selection activeCell="A5" sqref="A5"/>
    </sheetView>
  </sheetViews>
  <sheetFormatPr defaultRowHeight="12.75" x14ac:dyDescent="0.2"/>
  <cols>
    <col min="1" max="1" width="65.140625" customWidth="1"/>
    <col min="2" max="2" width="17.28515625" customWidth="1"/>
    <col min="4" max="4" width="9.140625" hidden="1" customWidth="1"/>
    <col min="5" max="5" width="0" hidden="1" customWidth="1"/>
  </cols>
  <sheetData>
    <row r="1" spans="1:5" x14ac:dyDescent="0.2">
      <c r="A1" s="5"/>
      <c r="B1" s="96" t="s">
        <v>957</v>
      </c>
    </row>
    <row r="2" spans="1:5" x14ac:dyDescent="0.2">
      <c r="A2" s="5"/>
      <c r="B2" s="586" t="str">
        <f>'1.Bev-kiad.'!F2</f>
        <v>a 3/2021.(V.28.) önkormányzati rendelethez</v>
      </c>
    </row>
    <row r="3" spans="1:5" x14ac:dyDescent="0.2">
      <c r="A3" s="5"/>
      <c r="B3" s="96"/>
    </row>
    <row r="4" spans="1:5" ht="60" customHeight="1" x14ac:dyDescent="0.35">
      <c r="A4" s="720" t="s">
        <v>996</v>
      </c>
      <c r="B4" s="721"/>
    </row>
    <row r="5" spans="1:5" x14ac:dyDescent="0.2">
      <c r="A5" s="5"/>
      <c r="B5" s="96"/>
    </row>
    <row r="6" spans="1:5" ht="13.5" thickBot="1" x14ac:dyDescent="0.25">
      <c r="A6" s="5"/>
      <c r="B6" s="96" t="s">
        <v>0</v>
      </c>
    </row>
    <row r="7" spans="1:5" ht="34.5" customHeight="1" thickBot="1" x14ac:dyDescent="0.25">
      <c r="A7" s="123" t="s">
        <v>55</v>
      </c>
      <c r="B7" s="587" t="s">
        <v>38</v>
      </c>
    </row>
    <row r="8" spans="1:5" ht="15.95" customHeight="1" x14ac:dyDescent="0.2">
      <c r="A8" s="126" t="s">
        <v>964</v>
      </c>
      <c r="B8" s="606">
        <f>'11.Mérleg'!D31</f>
        <v>7893</v>
      </c>
    </row>
    <row r="9" spans="1:5" ht="15.95" customHeight="1" x14ac:dyDescent="0.2">
      <c r="A9" s="130" t="s">
        <v>958</v>
      </c>
      <c r="B9" s="607">
        <v>61026</v>
      </c>
    </row>
    <row r="10" spans="1:5" ht="15.95" customHeight="1" x14ac:dyDescent="0.2">
      <c r="A10" s="130" t="s">
        <v>959</v>
      </c>
      <c r="B10" s="607">
        <f>SUM(B8:B9)</f>
        <v>68919</v>
      </c>
      <c r="C10" s="81"/>
      <c r="D10" s="81">
        <f>'1.Bev-kiad.'!F62</f>
        <v>68919</v>
      </c>
      <c r="E10" s="81">
        <f>D10-B8</f>
        <v>61026</v>
      </c>
    </row>
    <row r="11" spans="1:5" ht="16.5" customHeight="1" x14ac:dyDescent="0.2">
      <c r="A11" s="130" t="s">
        <v>960</v>
      </c>
      <c r="B11" s="607">
        <f>'1.Bev-kiad.'!F75</f>
        <v>50830</v>
      </c>
      <c r="D11" s="81"/>
    </row>
    <row r="12" spans="1:5" ht="16.5" customHeight="1" x14ac:dyDescent="0.2">
      <c r="A12" s="130" t="s">
        <v>961</v>
      </c>
      <c r="B12" s="607">
        <f>SUM(B10-B11)</f>
        <v>18089</v>
      </c>
      <c r="D12" s="81"/>
    </row>
    <row r="13" spans="1:5" ht="16.5" customHeight="1" x14ac:dyDescent="0.2">
      <c r="A13" s="130" t="s">
        <v>962</v>
      </c>
      <c r="B13" s="607"/>
    </row>
    <row r="14" spans="1:5" ht="15.95" customHeight="1" x14ac:dyDescent="0.2">
      <c r="A14" s="589" t="s">
        <v>965</v>
      </c>
      <c r="B14" s="608">
        <f>'11.Mérleg'!F31</f>
        <v>18809</v>
      </c>
    </row>
    <row r="15" spans="1:5" ht="15.95" customHeight="1" thickBot="1" x14ac:dyDescent="0.25">
      <c r="A15" s="590" t="s">
        <v>963</v>
      </c>
      <c r="B15" s="609">
        <f>SUM(B14-B8)</f>
        <v>10916</v>
      </c>
    </row>
    <row r="16" spans="1:5" ht="18" customHeight="1" x14ac:dyDescent="0.2"/>
    <row r="17" ht="18" customHeight="1" x14ac:dyDescent="0.2"/>
    <row r="18" ht="15.95" customHeight="1" x14ac:dyDescent="0.2"/>
    <row r="19" ht="15.95" customHeight="1" x14ac:dyDescent="0.2"/>
    <row r="20" ht="15.95" customHeight="1" x14ac:dyDescent="0.2"/>
    <row r="21" ht="15.95" customHeight="1" x14ac:dyDescent="0.2"/>
    <row r="22" ht="15.95" customHeight="1" x14ac:dyDescent="0.2"/>
    <row r="23" ht="15" customHeight="1" x14ac:dyDescent="0.2"/>
    <row r="24" ht="14.1" customHeight="1" x14ac:dyDescent="0.2"/>
    <row r="25" ht="14.1" customHeight="1" x14ac:dyDescent="0.2"/>
    <row r="26" ht="14.1" customHeight="1" x14ac:dyDescent="0.2"/>
    <row r="27" ht="14.1" customHeight="1" x14ac:dyDescent="0.2"/>
  </sheetData>
  <mergeCells count="1">
    <mergeCell ref="A4:B4"/>
  </mergeCells>
  <pageMargins left="0.7" right="0.7" top="0.75" bottom="0.75" header="0.3" footer="0.3"/>
  <pageSetup paperSize="9" scale="10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4" zoomScale="150" zoomScaleNormal="150" workbookViewId="0">
      <selection activeCell="A5" sqref="A5"/>
    </sheetView>
  </sheetViews>
  <sheetFormatPr defaultRowHeight="12.75" x14ac:dyDescent="0.2"/>
  <cols>
    <col min="1" max="1" width="69" customWidth="1"/>
    <col min="2" max="2" width="16" customWidth="1"/>
    <col min="3" max="3" width="12.28515625" customWidth="1"/>
    <col min="4" max="4" width="9.42578125" style="11" customWidth="1"/>
  </cols>
  <sheetData>
    <row r="1" spans="1:4" x14ac:dyDescent="0.2">
      <c r="A1" s="5"/>
      <c r="B1" s="96" t="s">
        <v>966</v>
      </c>
    </row>
    <row r="2" spans="1:4" x14ac:dyDescent="0.2">
      <c r="A2" s="5"/>
      <c r="B2" s="586" t="str">
        <f>'1.Bev-kiad.'!F2</f>
        <v>a 3/2021.(V.28.) önkormányzati rendelethez</v>
      </c>
    </row>
    <row r="3" spans="1:4" x14ac:dyDescent="0.2">
      <c r="A3" s="5"/>
      <c r="B3" s="96"/>
    </row>
    <row r="4" spans="1:4" ht="62.25" customHeight="1" x14ac:dyDescent="0.35">
      <c r="A4" s="720" t="s">
        <v>997</v>
      </c>
      <c r="B4" s="721"/>
    </row>
    <row r="5" spans="1:4" x14ac:dyDescent="0.2">
      <c r="A5" s="5"/>
      <c r="B5" s="96"/>
    </row>
    <row r="6" spans="1:4" ht="13.5" thickBot="1" x14ac:dyDescent="0.25">
      <c r="A6" s="5"/>
      <c r="B6" s="96" t="s">
        <v>0</v>
      </c>
    </row>
    <row r="7" spans="1:4" ht="34.5" customHeight="1" thickBot="1" x14ac:dyDescent="0.25">
      <c r="A7" s="123" t="s">
        <v>55</v>
      </c>
      <c r="B7" s="587" t="s">
        <v>38</v>
      </c>
    </row>
    <row r="8" spans="1:4" ht="31.5" customHeight="1" x14ac:dyDescent="0.2">
      <c r="A8" s="591" t="s">
        <v>967</v>
      </c>
      <c r="B8" s="588">
        <f>SUM(B9)</f>
        <v>0</v>
      </c>
    </row>
    <row r="9" spans="1:4" ht="15.95" customHeight="1" x14ac:dyDescent="0.2">
      <c r="A9" s="128" t="s">
        <v>50</v>
      </c>
      <c r="B9" s="592"/>
      <c r="D9" s="41"/>
    </row>
    <row r="10" spans="1:4" ht="25.5" x14ac:dyDescent="0.2">
      <c r="A10" s="593" t="s">
        <v>968</v>
      </c>
      <c r="B10" s="129">
        <f>SUM(B11)</f>
        <v>0</v>
      </c>
      <c r="D10" s="41"/>
    </row>
    <row r="11" spans="1:4" ht="15.95" customHeight="1" x14ac:dyDescent="0.2">
      <c r="A11" s="128" t="s">
        <v>50</v>
      </c>
      <c r="B11" s="592"/>
      <c r="D11" s="41"/>
    </row>
    <row r="12" spans="1:4" s="271" customFormat="1" ht="19.5" customHeight="1" x14ac:dyDescent="0.2">
      <c r="A12" s="594" t="s">
        <v>969</v>
      </c>
      <c r="B12" s="595">
        <f>SUM(B13)</f>
        <v>14</v>
      </c>
      <c r="D12" s="596"/>
    </row>
    <row r="13" spans="1:4" ht="16.5" customHeight="1" thickBot="1" x14ac:dyDescent="0.25">
      <c r="A13" s="597" t="s">
        <v>970</v>
      </c>
      <c r="B13" s="610">
        <v>14</v>
      </c>
      <c r="D13" s="41"/>
    </row>
    <row r="14" spans="1:4" ht="18" customHeight="1" x14ac:dyDescent="0.2">
      <c r="A14" s="116" t="s">
        <v>971</v>
      </c>
      <c r="B14" s="378" t="s">
        <v>50</v>
      </c>
      <c r="C14" s="81"/>
      <c r="D14" s="41"/>
    </row>
    <row r="15" spans="1:4" ht="18" customHeight="1" x14ac:dyDescent="0.2">
      <c r="A15" s="116"/>
      <c r="B15" s="598"/>
    </row>
    <row r="16" spans="1:4" ht="15.95" customHeight="1" x14ac:dyDescent="0.2">
      <c r="A16" s="116"/>
      <c r="B16" s="598"/>
    </row>
    <row r="17" spans="1:2" ht="15.95" customHeight="1" x14ac:dyDescent="0.2">
      <c r="A17" s="116"/>
      <c r="B17" s="598"/>
    </row>
    <row r="18" spans="1:2" ht="15.95" customHeight="1" x14ac:dyDescent="0.2">
      <c r="A18" s="116"/>
      <c r="B18" s="598"/>
    </row>
    <row r="19" spans="1:2" ht="15" customHeight="1" x14ac:dyDescent="0.2">
      <c r="A19" s="116"/>
      <c r="B19" s="116"/>
    </row>
    <row r="20" spans="1:2" ht="14.1" customHeight="1" x14ac:dyDescent="0.2">
      <c r="A20" s="116"/>
      <c r="B20" s="116"/>
    </row>
    <row r="21" spans="1:2" ht="14.1" customHeight="1" x14ac:dyDescent="0.2">
      <c r="A21" s="116"/>
      <c r="B21" s="116"/>
    </row>
    <row r="22" spans="1:2" ht="14.1" customHeight="1" x14ac:dyDescent="0.2"/>
    <row r="23" spans="1:2" ht="14.1" customHeight="1" x14ac:dyDescent="0.2"/>
  </sheetData>
  <mergeCells count="1">
    <mergeCell ref="A4:B4"/>
  </mergeCells>
  <pageMargins left="0.7" right="0.7" top="0.75" bottom="0.75" header="0.3" footer="0.3"/>
  <pageSetup paperSize="9" scale="10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opLeftCell="A15" zoomScaleNormal="100" workbookViewId="0">
      <selection activeCell="C33" sqref="C33"/>
    </sheetView>
  </sheetViews>
  <sheetFormatPr defaultRowHeight="12.75" x14ac:dyDescent="0.2"/>
  <cols>
    <col min="1" max="1" width="34.28515625" customWidth="1"/>
    <col min="2" max="2" width="17.85546875" customWidth="1"/>
    <col min="3" max="3" width="17.140625" customWidth="1"/>
    <col min="4" max="4" width="16.7109375" customWidth="1"/>
    <col min="5" max="5" width="16.85546875" customWidth="1"/>
    <col min="6" max="6" width="18.7109375" customWidth="1"/>
    <col min="7" max="7" width="9.5703125" customWidth="1"/>
  </cols>
  <sheetData>
    <row r="1" spans="1:10" ht="30.75" customHeight="1" x14ac:dyDescent="0.25">
      <c r="A1" s="620" t="s">
        <v>625</v>
      </c>
      <c r="B1" s="620"/>
      <c r="C1" s="620"/>
      <c r="D1" s="620"/>
      <c r="E1" s="620"/>
      <c r="F1" s="620"/>
      <c r="G1" s="397"/>
      <c r="H1" s="397"/>
      <c r="I1" s="397"/>
      <c r="J1" s="398"/>
    </row>
    <row r="2" spans="1:10" ht="21.75" customHeight="1" thickBot="1" x14ac:dyDescent="0.25">
      <c r="A2" s="116"/>
      <c r="B2" s="116"/>
      <c r="C2" s="116"/>
      <c r="D2" s="116"/>
      <c r="E2" s="116"/>
      <c r="F2" s="378" t="s">
        <v>0</v>
      </c>
    </row>
    <row r="3" spans="1:10" ht="63.75" customHeight="1" thickBot="1" x14ac:dyDescent="0.25">
      <c r="A3" s="355" t="s">
        <v>497</v>
      </c>
      <c r="B3" s="356" t="s">
        <v>494</v>
      </c>
      <c r="C3" s="356" t="s">
        <v>495</v>
      </c>
      <c r="D3" s="367" t="s">
        <v>501</v>
      </c>
      <c r="E3" s="367" t="s">
        <v>496</v>
      </c>
      <c r="F3" s="357" t="s">
        <v>508</v>
      </c>
    </row>
    <row r="4" spans="1:10" ht="24.75" customHeight="1" x14ac:dyDescent="0.2">
      <c r="A4" s="358" t="s">
        <v>498</v>
      </c>
      <c r="B4" s="372">
        <f>SUM('7.Önk.'!C19+'7.Önk.'!C22+'7.Önk.'!C69)-'4. Átadott p.eszk.'!C18</f>
        <v>9180</v>
      </c>
      <c r="C4" s="372">
        <f>SUM('2.működés'!D22)</f>
        <v>1909</v>
      </c>
      <c r="D4" s="373"/>
      <c r="E4" s="373">
        <f t="shared" ref="E4:E9" si="0">SUM(C4-B4)</f>
        <v>-7271</v>
      </c>
      <c r="F4" s="464">
        <f t="shared" ref="F4:F12" si="1">(E4/$E$16)</f>
        <v>0.40089320174229476</v>
      </c>
    </row>
    <row r="5" spans="1:10" ht="25.5" customHeight="1" x14ac:dyDescent="0.2">
      <c r="A5" s="358" t="s">
        <v>499</v>
      </c>
      <c r="B5" s="372">
        <f>SUM('7.Önk.'!C71)</f>
        <v>14310</v>
      </c>
      <c r="C5" s="372">
        <f>SUM('2.működés'!D18)</f>
        <v>4664</v>
      </c>
      <c r="D5" s="373"/>
      <c r="E5" s="373">
        <f t="shared" si="0"/>
        <v>-9646</v>
      </c>
      <c r="F5" s="374">
        <f t="shared" si="1"/>
        <v>0.5318409880355075</v>
      </c>
      <c r="G5" s="465"/>
      <c r="H5" s="81"/>
    </row>
    <row r="6" spans="1:10" ht="24.95" customHeight="1" x14ac:dyDescent="0.2">
      <c r="A6" s="359" t="s">
        <v>360</v>
      </c>
      <c r="B6" s="361">
        <f>SUM('7.Önk.'!D73)</f>
        <v>1975</v>
      </c>
      <c r="C6" s="361">
        <f>SUM('2.működés'!D14+'2.működés'!D19+'2.működés'!D20)</f>
        <v>1711</v>
      </c>
      <c r="D6" s="369"/>
      <c r="E6" s="373">
        <f t="shared" si="0"/>
        <v>-264</v>
      </c>
      <c r="F6" s="374">
        <f t="shared" si="1"/>
        <v>1.455588024480344E-2</v>
      </c>
      <c r="G6" s="465"/>
    </row>
    <row r="7" spans="1:10" ht="24.95" customHeight="1" x14ac:dyDescent="0.2">
      <c r="A7" s="359" t="s">
        <v>361</v>
      </c>
      <c r="B7" s="361">
        <f>SUM('7.Önk.'!E73)</f>
        <v>4271</v>
      </c>
      <c r="C7" s="361">
        <f>SUM('2.működés'!D33+'2.működés'!D48)</f>
        <v>4367</v>
      </c>
      <c r="D7" s="369"/>
      <c r="E7" s="373">
        <f t="shared" si="0"/>
        <v>96</v>
      </c>
      <c r="F7" s="374">
        <f t="shared" si="1"/>
        <v>-5.2930473617467059E-3</v>
      </c>
    </row>
    <row r="8" spans="1:10" ht="24.95" customHeight="1" x14ac:dyDescent="0.2">
      <c r="A8" s="359" t="s">
        <v>372</v>
      </c>
      <c r="B8" s="361">
        <f>SUM('7.Önk.'!F73)</f>
        <v>298</v>
      </c>
      <c r="C8" s="361">
        <f>SUM('2.működés'!D16)</f>
        <v>100</v>
      </c>
      <c r="D8" s="369"/>
      <c r="E8" s="373">
        <f t="shared" si="0"/>
        <v>-198</v>
      </c>
      <c r="F8" s="374">
        <f t="shared" si="1"/>
        <v>1.0916910183602581E-2</v>
      </c>
    </row>
    <row r="9" spans="1:10" ht="24.95" customHeight="1" x14ac:dyDescent="0.2">
      <c r="A9" s="359" t="s">
        <v>509</v>
      </c>
      <c r="B9" s="361">
        <f>SUM('7.Önk.'!G73)</f>
        <v>1143</v>
      </c>
      <c r="C9" s="361">
        <f>SUM('2.működés'!D15)</f>
        <v>1536</v>
      </c>
      <c r="D9" s="369"/>
      <c r="E9" s="373">
        <f t="shared" si="0"/>
        <v>393</v>
      </c>
      <c r="F9" s="374">
        <f t="shared" si="1"/>
        <v>-2.1668412637150577E-2</v>
      </c>
    </row>
    <row r="10" spans="1:10" ht="24.95" customHeight="1" x14ac:dyDescent="0.2">
      <c r="A10" s="359" t="s">
        <v>431</v>
      </c>
      <c r="B10" s="361">
        <f>SUM('7.Önk.'!I73)+'4. Átadott p.eszk.'!C18</f>
        <v>1603</v>
      </c>
      <c r="C10" s="361">
        <f>SUM('2.működés'!D29)+'2.működés'!D40</f>
        <v>1008</v>
      </c>
      <c r="D10" s="369">
        <f>SUM('2.működés'!D76)</f>
        <v>884</v>
      </c>
      <c r="E10" s="373">
        <f>SUM(C10+D10-B10)</f>
        <v>289</v>
      </c>
      <c r="F10" s="374">
        <f t="shared" si="1"/>
        <v>-1.5934277995258313E-2</v>
      </c>
    </row>
    <row r="11" spans="1:10" ht="24.95" customHeight="1" x14ac:dyDescent="0.2">
      <c r="A11" s="359" t="s">
        <v>384</v>
      </c>
      <c r="B11" s="361">
        <f>SUM('7.Önk.'!J70+'7.Önk.'!C70)</f>
        <v>4740</v>
      </c>
      <c r="C11" s="361">
        <f>SUM('2.működés'!D25)</f>
        <v>5539</v>
      </c>
      <c r="D11" s="369"/>
      <c r="E11" s="373">
        <f>SUM(C11-B11)</f>
        <v>799</v>
      </c>
      <c r="F11" s="374">
        <f t="shared" si="1"/>
        <v>-4.4053592104537687E-2</v>
      </c>
    </row>
    <row r="12" spans="1:10" ht="24.95" customHeight="1" x14ac:dyDescent="0.2">
      <c r="A12" s="359" t="s">
        <v>500</v>
      </c>
      <c r="B12" s="361">
        <f>SUM('7.Önk.'!K73)</f>
        <v>935</v>
      </c>
      <c r="C12" s="616">
        <f>SUM('2.működés'!D43)</f>
        <v>1800</v>
      </c>
      <c r="D12" s="623"/>
      <c r="E12" s="618">
        <f>SUM(C12-B12-B13)</f>
        <v>-155</v>
      </c>
      <c r="F12" s="621">
        <f t="shared" si="1"/>
        <v>8.5460660528202011E-3</v>
      </c>
    </row>
    <row r="13" spans="1:10" ht="24.95" customHeight="1" x14ac:dyDescent="0.2">
      <c r="A13" s="359" t="s">
        <v>510</v>
      </c>
      <c r="B13" s="361">
        <f>SUM('7.Önk.'!N73)</f>
        <v>1020</v>
      </c>
      <c r="C13" s="617"/>
      <c r="D13" s="624"/>
      <c r="E13" s="619"/>
      <c r="F13" s="622"/>
    </row>
    <row r="14" spans="1:10" ht="24.95" customHeight="1" x14ac:dyDescent="0.2">
      <c r="A14" s="359" t="s">
        <v>313</v>
      </c>
      <c r="B14" s="361">
        <f>SUM('7.Önk.'!L73)</f>
        <v>0</v>
      </c>
      <c r="C14" s="361">
        <f>SUM('2.működés'!D17)</f>
        <v>1012</v>
      </c>
      <c r="D14" s="369"/>
      <c r="E14" s="373">
        <f>SUM(C14-B14)</f>
        <v>1012</v>
      </c>
      <c r="F14" s="374">
        <f>(E14/$E$16)</f>
        <v>-5.5797540938413187E-2</v>
      </c>
    </row>
    <row r="15" spans="1:10" ht="24.95" customHeight="1" thickBot="1" x14ac:dyDescent="0.25">
      <c r="A15" s="360" t="s">
        <v>333</v>
      </c>
      <c r="B15" s="364">
        <f>SUM('7.Önk.'!O73)</f>
        <v>3192</v>
      </c>
      <c r="C15" s="364">
        <f>SUM('2.működés'!D56)</f>
        <v>0</v>
      </c>
      <c r="D15" s="370"/>
      <c r="E15" s="375">
        <f>SUM(C15-B15)</f>
        <v>-3192</v>
      </c>
      <c r="F15" s="376">
        <f>(E15/$E$16)</f>
        <v>0.17599382477807796</v>
      </c>
    </row>
    <row r="16" spans="1:10" ht="30" customHeight="1" thickBot="1" x14ac:dyDescent="0.3">
      <c r="A16" s="366" t="s">
        <v>38</v>
      </c>
      <c r="B16" s="365">
        <f>SUM(B4:B15)</f>
        <v>42667</v>
      </c>
      <c r="C16" s="365">
        <f>SUM(C4:C15)</f>
        <v>23646</v>
      </c>
      <c r="D16" s="371">
        <f>SUM(D4:D15)</f>
        <v>884</v>
      </c>
      <c r="E16" s="368">
        <f>SUM(C16+D16-B16)</f>
        <v>-18137</v>
      </c>
      <c r="F16" s="377">
        <f>SUM(F4:F15)</f>
        <v>1</v>
      </c>
    </row>
    <row r="17" spans="1:6" x14ac:dyDescent="0.2">
      <c r="B17" s="362"/>
      <c r="C17" s="463">
        <f>SUM(C16-C15)</f>
        <v>23646</v>
      </c>
      <c r="D17" s="362"/>
      <c r="E17" s="363">
        <f>SUM(E4:E15)</f>
        <v>-18137</v>
      </c>
      <c r="F17" s="363"/>
    </row>
    <row r="18" spans="1:6" ht="22.5" customHeight="1" x14ac:dyDescent="0.2">
      <c r="A18" s="379" t="s">
        <v>502</v>
      </c>
      <c r="D18" s="81">
        <f>SUM('2.működés'!D57)</f>
        <v>6905</v>
      </c>
    </row>
    <row r="19" spans="1:6" ht="20.25" customHeight="1" x14ac:dyDescent="0.2">
      <c r="A19" s="379" t="s">
        <v>503</v>
      </c>
      <c r="D19" s="81">
        <f>SUM('2.működés'!D73+'2.működés'!D74+'2.működés'!D79+'2.működés'!D82)</f>
        <v>927</v>
      </c>
    </row>
    <row r="20" spans="1:6" ht="20.25" customHeight="1" x14ac:dyDescent="0.2">
      <c r="A20" s="379" t="s">
        <v>506</v>
      </c>
      <c r="D20" s="384">
        <f>SUM(D16+D18+D19)</f>
        <v>8716</v>
      </c>
    </row>
    <row r="21" spans="1:6" ht="24.75" customHeight="1" x14ac:dyDescent="0.2">
      <c r="A21" s="379" t="s">
        <v>505</v>
      </c>
      <c r="D21" s="384">
        <f>SUM(C16+D18+D19+D16)</f>
        <v>32362</v>
      </c>
      <c r="F21" s="81"/>
    </row>
    <row r="22" spans="1:6" ht="22.5" customHeight="1" thickBot="1" x14ac:dyDescent="0.25">
      <c r="A22" s="382" t="s">
        <v>504</v>
      </c>
      <c r="D22" s="81">
        <f>SUM('1.Bev-kiad.'!C55-'7.Önk.'!M73)</f>
        <v>2476</v>
      </c>
    </row>
    <row r="23" spans="1:6" ht="24" customHeight="1" thickBot="1" x14ac:dyDescent="0.25">
      <c r="A23" s="380" t="s">
        <v>507</v>
      </c>
      <c r="B23" s="381"/>
      <c r="C23" s="381"/>
      <c r="D23" s="383">
        <f>SUM(E17+D20+D22)</f>
        <v>-6945</v>
      </c>
    </row>
  </sheetData>
  <mergeCells count="5">
    <mergeCell ref="C12:C13"/>
    <mergeCell ref="E12:E13"/>
    <mergeCell ref="A1:F1"/>
    <mergeCell ref="F12:F13"/>
    <mergeCell ref="D12:D13"/>
  </mergeCells>
  <pageMargins left="0.4" right="0.18" top="0.75" bottom="0.75" header="0.3" footer="0.3"/>
  <pageSetup paperSize="9" scale="75" orientation="portrait" horizontalDpi="4294967293" r:id="rId1"/>
  <colBreaks count="1" manualBreakCount="1">
    <brk id="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38"/>
  <sheetViews>
    <sheetView zoomScale="150" zoomScaleNormal="150" workbookViewId="0">
      <selection activeCell="B4" sqref="B4:F4"/>
    </sheetView>
  </sheetViews>
  <sheetFormatPr defaultRowHeight="12.75" x14ac:dyDescent="0.2"/>
  <cols>
    <col min="1" max="1" width="6.28515625" style="2" customWidth="1"/>
    <col min="2" max="2" width="57.85546875" customWidth="1"/>
    <col min="3" max="4" width="13.85546875" style="41" customWidth="1"/>
    <col min="5" max="5" width="13.7109375" style="41" customWidth="1"/>
    <col min="6" max="6" width="12.85546875" style="41" customWidth="1"/>
    <col min="7" max="7" width="18.7109375" style="11" customWidth="1"/>
    <col min="8" max="8" width="18.7109375" customWidth="1"/>
  </cols>
  <sheetData>
    <row r="1" spans="1:47" ht="15" customHeight="1" x14ac:dyDescent="0.3">
      <c r="A1" s="59"/>
      <c r="B1" s="258"/>
      <c r="C1" s="259"/>
      <c r="D1" s="260"/>
      <c r="E1" s="260"/>
      <c r="F1" s="140" t="s">
        <v>972</v>
      </c>
      <c r="G1" s="3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 ht="15" customHeight="1" x14ac:dyDescent="0.3">
      <c r="A2" s="59"/>
      <c r="B2" s="258"/>
      <c r="C2" s="259"/>
      <c r="D2" s="260"/>
      <c r="E2" s="260"/>
      <c r="F2" s="219" t="str">
        <f>'1.Bev-kiad.'!F2</f>
        <v>a 3/2021.(V.28.) önkormányzati rendelethez</v>
      </c>
      <c r="G2" s="3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 ht="19.5" x14ac:dyDescent="0.35">
      <c r="A3" s="59"/>
      <c r="B3" s="722" t="s">
        <v>998</v>
      </c>
      <c r="C3" s="722"/>
      <c r="D3" s="722"/>
      <c r="E3" s="722"/>
      <c r="F3" s="722"/>
      <c r="G3" s="3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spans="1:47" ht="19.5" x14ac:dyDescent="0.35">
      <c r="A4" s="59"/>
      <c r="B4" s="722"/>
      <c r="C4" s="722"/>
      <c r="D4" s="722"/>
      <c r="E4" s="722"/>
      <c r="F4" s="722"/>
      <c r="G4" s="35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</row>
    <row r="5" spans="1:47" ht="13.5" thickBot="1" x14ac:dyDescent="0.25">
      <c r="A5" s="59"/>
      <c r="B5" s="59"/>
      <c r="C5" s="259"/>
      <c r="D5" s="260"/>
      <c r="E5" s="260"/>
      <c r="F5" s="260" t="s">
        <v>0</v>
      </c>
      <c r="G5" s="35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47" ht="53.25" customHeight="1" thickBot="1" x14ac:dyDescent="0.25">
      <c r="A6" s="250" t="s">
        <v>99</v>
      </c>
      <c r="B6" s="254" t="s">
        <v>12</v>
      </c>
      <c r="C6" s="255" t="s">
        <v>973</v>
      </c>
      <c r="D6" s="255" t="s">
        <v>454</v>
      </c>
      <c r="E6" s="255" t="s">
        <v>492</v>
      </c>
      <c r="F6" s="48" t="s">
        <v>605</v>
      </c>
      <c r="G6" s="35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</row>
    <row r="7" spans="1:47" ht="20.25" customHeight="1" x14ac:dyDescent="0.2">
      <c r="A7" s="190" t="s">
        <v>100</v>
      </c>
      <c r="B7" s="182" t="s">
        <v>350</v>
      </c>
      <c r="C7" s="238">
        <f>SUM(C8+C15+C21+C28+C39+C45+C49)</f>
        <v>62082</v>
      </c>
      <c r="D7" s="238">
        <f>SUM(D8+D15+D21+D28+D39+D45+D49)</f>
        <v>34600</v>
      </c>
      <c r="E7" s="238">
        <f>SUM(E8+E15+E21+E28+E39+E45+E49)</f>
        <v>34500</v>
      </c>
      <c r="F7" s="238">
        <f>SUM(F8+F15+F21+F28+F39+F45+F49)</f>
        <v>34500</v>
      </c>
      <c r="G7" s="35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</row>
    <row r="8" spans="1:47" ht="18" customHeight="1" x14ac:dyDescent="0.25">
      <c r="A8" s="18" t="s">
        <v>101</v>
      </c>
      <c r="B8" s="183" t="s">
        <v>201</v>
      </c>
      <c r="C8" s="42">
        <v>31176</v>
      </c>
      <c r="D8" s="42">
        <v>26000</v>
      </c>
      <c r="E8" s="42">
        <v>26000</v>
      </c>
      <c r="F8" s="42">
        <v>26000</v>
      </c>
      <c r="G8" s="35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</row>
    <row r="9" spans="1:47" ht="13.5" hidden="1" customHeight="1" x14ac:dyDescent="0.2">
      <c r="A9" s="10" t="s">
        <v>102</v>
      </c>
      <c r="B9" s="185" t="s">
        <v>110</v>
      </c>
      <c r="C9" s="7"/>
      <c r="D9" s="7"/>
      <c r="E9" s="7"/>
      <c r="F9" s="7"/>
      <c r="G9" s="35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</row>
    <row r="10" spans="1:47" ht="13.5" hidden="1" customHeight="1" x14ac:dyDescent="0.2">
      <c r="A10" s="10" t="s">
        <v>151</v>
      </c>
      <c r="B10" s="185" t="s">
        <v>152</v>
      </c>
      <c r="C10" s="7"/>
      <c r="D10" s="7"/>
      <c r="E10" s="7"/>
      <c r="F10" s="7"/>
      <c r="G10" s="3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</row>
    <row r="11" spans="1:47" ht="13.5" hidden="1" customHeight="1" x14ac:dyDescent="0.2">
      <c r="A11" s="10" t="s">
        <v>103</v>
      </c>
      <c r="B11" s="185" t="s">
        <v>107</v>
      </c>
      <c r="C11" s="8"/>
      <c r="D11" s="8"/>
      <c r="E11" s="8"/>
      <c r="F11" s="8"/>
      <c r="G11" s="3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</row>
    <row r="12" spans="1:47" ht="13.5" hidden="1" customHeight="1" x14ac:dyDescent="0.2">
      <c r="A12" s="10" t="s">
        <v>104</v>
      </c>
      <c r="B12" s="185" t="s">
        <v>108</v>
      </c>
      <c r="C12" s="12"/>
      <c r="D12" s="12"/>
      <c r="E12" s="12"/>
      <c r="F12" s="12"/>
      <c r="G12" s="35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</row>
    <row r="13" spans="1:47" ht="13.5" hidden="1" customHeight="1" x14ac:dyDescent="0.2">
      <c r="A13" s="10" t="s">
        <v>105</v>
      </c>
      <c r="B13" s="185" t="s">
        <v>109</v>
      </c>
      <c r="C13" s="17"/>
      <c r="D13" s="17"/>
      <c r="E13" s="17"/>
      <c r="F13" s="17"/>
      <c r="G13" s="3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</row>
    <row r="14" spans="1:47" ht="12.75" hidden="1" customHeight="1" x14ac:dyDescent="0.2">
      <c r="A14" s="10" t="s">
        <v>106</v>
      </c>
      <c r="B14" s="185" t="s">
        <v>111</v>
      </c>
      <c r="C14" s="17"/>
      <c r="D14" s="17"/>
      <c r="E14" s="17"/>
      <c r="F14" s="17"/>
      <c r="G14" s="3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</row>
    <row r="15" spans="1:47" ht="18" customHeight="1" x14ac:dyDescent="0.25">
      <c r="A15" s="18" t="s">
        <v>112</v>
      </c>
      <c r="B15" s="183" t="s">
        <v>202</v>
      </c>
      <c r="C15" s="46">
        <v>20545</v>
      </c>
      <c r="D15" s="46">
        <f>SUM('3.felh'!G12)</f>
        <v>100</v>
      </c>
      <c r="E15" s="46">
        <f>SUM('3.felh'!H12)</f>
        <v>0</v>
      </c>
      <c r="F15" s="46">
        <f>SUM('3.felh'!I12)</f>
        <v>0</v>
      </c>
      <c r="G15" s="3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</row>
    <row r="16" spans="1:47" ht="13.5" hidden="1" customHeight="1" x14ac:dyDescent="0.2">
      <c r="A16" s="10" t="s">
        <v>113</v>
      </c>
      <c r="B16" s="185" t="s">
        <v>120</v>
      </c>
      <c r="C16" s="7"/>
      <c r="D16" s="7"/>
      <c r="E16" s="7"/>
      <c r="F16" s="7"/>
      <c r="G16" s="35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</row>
    <row r="17" spans="1:47" ht="13.5" hidden="1" customHeight="1" x14ac:dyDescent="0.2">
      <c r="A17" s="10" t="s">
        <v>153</v>
      </c>
      <c r="B17" s="185" t="s">
        <v>154</v>
      </c>
      <c r="C17" s="17"/>
      <c r="D17" s="17"/>
      <c r="E17" s="17"/>
      <c r="F17" s="17"/>
      <c r="G17" s="35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</row>
    <row r="18" spans="1:47" ht="13.5" hidden="1" customHeight="1" x14ac:dyDescent="0.2">
      <c r="A18" s="10" t="s">
        <v>114</v>
      </c>
      <c r="B18" s="185" t="s">
        <v>117</v>
      </c>
      <c r="C18" s="17"/>
      <c r="D18" s="17"/>
      <c r="E18" s="17"/>
      <c r="F18" s="17"/>
      <c r="G18" s="35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</row>
    <row r="19" spans="1:47" ht="13.5" hidden="1" customHeight="1" x14ac:dyDescent="0.2">
      <c r="A19" s="10" t="s">
        <v>115</v>
      </c>
      <c r="B19" s="185" t="s">
        <v>118</v>
      </c>
      <c r="C19" s="17"/>
      <c r="D19" s="17"/>
      <c r="E19" s="17"/>
      <c r="F19" s="17"/>
      <c r="G19" s="3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</row>
    <row r="20" spans="1:47" ht="13.5" hidden="1" customHeight="1" x14ac:dyDescent="0.2">
      <c r="A20" s="10" t="s">
        <v>116</v>
      </c>
      <c r="B20" s="185" t="s">
        <v>119</v>
      </c>
      <c r="C20" s="17"/>
      <c r="D20" s="17"/>
      <c r="E20" s="17"/>
      <c r="F20" s="17"/>
      <c r="G20" s="35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</row>
    <row r="21" spans="1:47" ht="18" customHeight="1" x14ac:dyDescent="0.25">
      <c r="A21" s="18" t="s">
        <v>121</v>
      </c>
      <c r="B21" s="183" t="s">
        <v>81</v>
      </c>
      <c r="C21" s="46">
        <v>8258</v>
      </c>
      <c r="D21" s="46">
        <v>7000</v>
      </c>
      <c r="E21" s="46">
        <v>7000</v>
      </c>
      <c r="F21" s="46">
        <v>7000</v>
      </c>
      <c r="G21" s="35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</row>
    <row r="22" spans="1:47" ht="13.5" hidden="1" customHeight="1" x14ac:dyDescent="0.2">
      <c r="A22" s="10" t="s">
        <v>122</v>
      </c>
      <c r="B22" s="185" t="s">
        <v>128</v>
      </c>
      <c r="C22" s="17"/>
      <c r="D22" s="17"/>
      <c r="E22" s="17"/>
      <c r="F22" s="17"/>
      <c r="G22" s="3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</row>
    <row r="23" spans="1:47" ht="13.5" hidden="1" customHeight="1" x14ac:dyDescent="0.2">
      <c r="A23" s="10" t="s">
        <v>123</v>
      </c>
      <c r="B23" s="185" t="s">
        <v>129</v>
      </c>
      <c r="C23" s="17"/>
      <c r="D23" s="17"/>
      <c r="E23" s="17"/>
      <c r="F23" s="17"/>
      <c r="G23" s="3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</row>
    <row r="24" spans="1:47" ht="13.5" hidden="1" customHeight="1" x14ac:dyDescent="0.2">
      <c r="A24" s="10" t="s">
        <v>124</v>
      </c>
      <c r="B24" s="186" t="s">
        <v>130</v>
      </c>
      <c r="C24" s="51"/>
      <c r="D24" s="51"/>
      <c r="E24" s="51"/>
      <c r="F24" s="51"/>
      <c r="G24" s="3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</row>
    <row r="25" spans="1:47" ht="13.5" hidden="1" customHeight="1" x14ac:dyDescent="0.2">
      <c r="A25" s="10" t="s">
        <v>125</v>
      </c>
      <c r="B25" s="185" t="s">
        <v>157</v>
      </c>
      <c r="C25" s="43"/>
      <c r="D25" s="43"/>
      <c r="E25" s="43"/>
      <c r="F25" s="43"/>
      <c r="G25" s="5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</row>
    <row r="26" spans="1:47" s="53" customFormat="1" ht="13.5" hidden="1" customHeight="1" x14ac:dyDescent="0.2">
      <c r="A26" s="10" t="s">
        <v>126</v>
      </c>
      <c r="B26" s="185" t="s">
        <v>158</v>
      </c>
      <c r="C26" s="17"/>
      <c r="D26" s="17"/>
      <c r="E26" s="17"/>
      <c r="F26" s="17"/>
      <c r="G26" s="35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</row>
    <row r="27" spans="1:47" s="53" customFormat="1" ht="13.5" hidden="1" customHeight="1" x14ac:dyDescent="0.2">
      <c r="A27" s="10" t="s">
        <v>127</v>
      </c>
      <c r="B27" s="185" t="s">
        <v>131</v>
      </c>
      <c r="C27" s="17"/>
      <c r="D27" s="17"/>
      <c r="E27" s="17"/>
      <c r="F27" s="17"/>
      <c r="G27" s="35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</row>
    <row r="28" spans="1:47" s="53" customFormat="1" ht="18" customHeight="1" x14ac:dyDescent="0.25">
      <c r="A28" s="18" t="s">
        <v>132</v>
      </c>
      <c r="B28" s="183" t="s">
        <v>203</v>
      </c>
      <c r="C28" s="46">
        <v>1969</v>
      </c>
      <c r="D28" s="46">
        <v>1500</v>
      </c>
      <c r="E28" s="46">
        <v>1500</v>
      </c>
      <c r="F28" s="46">
        <v>1500</v>
      </c>
      <c r="G28" s="35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</row>
    <row r="29" spans="1:47" ht="13.5" hidden="1" customHeight="1" x14ac:dyDescent="0.2">
      <c r="A29" s="10" t="s">
        <v>135</v>
      </c>
      <c r="B29" s="185" t="s">
        <v>133</v>
      </c>
      <c r="C29" s="17"/>
      <c r="D29" s="17"/>
      <c r="E29" s="17"/>
      <c r="F29" s="17"/>
      <c r="G29" s="35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</row>
    <row r="30" spans="1:47" s="53" customFormat="1" ht="13.5" hidden="1" customHeight="1" x14ac:dyDescent="0.2">
      <c r="A30" s="10" t="s">
        <v>136</v>
      </c>
      <c r="B30" s="185" t="s">
        <v>134</v>
      </c>
      <c r="C30" s="17"/>
      <c r="D30" s="17"/>
      <c r="E30" s="17"/>
      <c r="F30" s="17"/>
      <c r="G30" s="35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</row>
    <row r="31" spans="1:47" s="53" customFormat="1" ht="13.5" hidden="1" customHeight="1" x14ac:dyDescent="0.2">
      <c r="A31" s="10" t="s">
        <v>137</v>
      </c>
      <c r="B31" s="185" t="s">
        <v>140</v>
      </c>
      <c r="C31" s="12"/>
      <c r="D31" s="12"/>
      <c r="E31" s="12"/>
      <c r="F31" s="12"/>
      <c r="G31" s="35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</row>
    <row r="32" spans="1:47" ht="13.5" hidden="1" customHeight="1" x14ac:dyDescent="0.2">
      <c r="A32" s="10" t="s">
        <v>138</v>
      </c>
      <c r="B32" s="186" t="s">
        <v>141</v>
      </c>
      <c r="C32" s="10"/>
      <c r="D32" s="10"/>
      <c r="E32" s="10"/>
      <c r="F32" s="10"/>
      <c r="G32" s="35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</row>
    <row r="33" spans="1:47" ht="13.5" hidden="1" customHeight="1" x14ac:dyDescent="0.2">
      <c r="A33" s="10" t="s">
        <v>139</v>
      </c>
      <c r="B33" s="26" t="s">
        <v>142</v>
      </c>
      <c r="C33" s="10"/>
      <c r="D33" s="10"/>
      <c r="E33" s="10"/>
      <c r="F33" s="10"/>
      <c r="G33" s="35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</row>
    <row r="34" spans="1:47" ht="13.5" hidden="1" customHeight="1" x14ac:dyDescent="0.2">
      <c r="A34" s="10" t="s">
        <v>143</v>
      </c>
      <c r="B34" s="26" t="s">
        <v>144</v>
      </c>
      <c r="C34" s="10"/>
      <c r="D34" s="10"/>
      <c r="E34" s="10"/>
      <c r="F34" s="10"/>
      <c r="G34" s="35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</row>
    <row r="35" spans="1:47" ht="13.5" hidden="1" customHeight="1" x14ac:dyDescent="0.2">
      <c r="A35" s="10" t="s">
        <v>145</v>
      </c>
      <c r="B35" s="26" t="s">
        <v>146</v>
      </c>
      <c r="C35" s="10"/>
      <c r="D35" s="10"/>
      <c r="E35" s="10"/>
      <c r="F35" s="10"/>
      <c r="G35" s="35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</row>
    <row r="36" spans="1:47" ht="13.5" hidden="1" customHeight="1" x14ac:dyDescent="0.2">
      <c r="A36" s="10" t="s">
        <v>147</v>
      </c>
      <c r="B36" s="26" t="s">
        <v>148</v>
      </c>
      <c r="C36" s="10"/>
      <c r="D36" s="10"/>
      <c r="E36" s="10"/>
      <c r="F36" s="10"/>
      <c r="G36" s="35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</row>
    <row r="37" spans="1:47" ht="13.5" hidden="1" customHeight="1" x14ac:dyDescent="0.2">
      <c r="A37" s="10" t="s">
        <v>149</v>
      </c>
      <c r="B37" s="26" t="s">
        <v>150</v>
      </c>
      <c r="C37" s="10"/>
      <c r="D37" s="10"/>
      <c r="E37" s="10"/>
      <c r="F37" s="10"/>
      <c r="G37" s="35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</row>
    <row r="38" spans="1:47" ht="13.5" hidden="1" customHeight="1" x14ac:dyDescent="0.2">
      <c r="A38" s="10" t="s">
        <v>155</v>
      </c>
      <c r="B38" s="26" t="s">
        <v>156</v>
      </c>
      <c r="C38" s="10"/>
      <c r="D38" s="10"/>
      <c r="E38" s="10"/>
      <c r="F38" s="10"/>
      <c r="G38" s="35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17.25" customHeight="1" x14ac:dyDescent="0.25">
      <c r="A39" s="18" t="s">
        <v>159</v>
      </c>
      <c r="B39" s="183" t="s">
        <v>204</v>
      </c>
      <c r="C39" s="46">
        <v>0</v>
      </c>
      <c r="D39" s="46">
        <v>0</v>
      </c>
      <c r="E39" s="46">
        <v>0</v>
      </c>
      <c r="F39" s="46">
        <v>0</v>
      </c>
      <c r="G39" s="35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</row>
    <row r="40" spans="1:47" ht="13.5" hidden="1" customHeight="1" x14ac:dyDescent="0.2">
      <c r="A40" s="10" t="s">
        <v>160</v>
      </c>
      <c r="B40" s="26" t="s">
        <v>165</v>
      </c>
      <c r="C40" s="10"/>
      <c r="D40" s="10"/>
      <c r="E40" s="10"/>
      <c r="F40" s="10"/>
      <c r="G40" s="35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</row>
    <row r="41" spans="1:47" ht="13.5" hidden="1" customHeight="1" x14ac:dyDescent="0.2">
      <c r="A41" s="10" t="s">
        <v>161</v>
      </c>
      <c r="B41" s="26" t="s">
        <v>166</v>
      </c>
      <c r="C41" s="10"/>
      <c r="D41" s="10"/>
      <c r="E41" s="10"/>
      <c r="F41" s="10"/>
      <c r="G41" s="35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</row>
    <row r="42" spans="1:47" ht="13.5" hidden="1" customHeight="1" x14ac:dyDescent="0.2">
      <c r="A42" s="10" t="s">
        <v>162</v>
      </c>
      <c r="B42" s="26" t="s">
        <v>167</v>
      </c>
      <c r="C42" s="10"/>
      <c r="D42" s="10"/>
      <c r="E42" s="10"/>
      <c r="F42" s="10"/>
      <c r="G42" s="35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</row>
    <row r="43" spans="1:47" ht="13.5" hidden="1" customHeight="1" x14ac:dyDescent="0.2">
      <c r="A43" s="10" t="s">
        <v>163</v>
      </c>
      <c r="B43" s="26" t="s">
        <v>168</v>
      </c>
      <c r="C43" s="10"/>
      <c r="D43" s="10"/>
      <c r="E43" s="10"/>
      <c r="F43" s="10"/>
      <c r="G43" s="35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</row>
    <row r="44" spans="1:47" ht="13.5" hidden="1" customHeight="1" x14ac:dyDescent="0.2">
      <c r="A44" s="172" t="s">
        <v>164</v>
      </c>
      <c r="B44" s="26" t="s">
        <v>169</v>
      </c>
      <c r="C44" s="10"/>
      <c r="D44" s="10"/>
      <c r="E44" s="10"/>
      <c r="F44" s="10"/>
      <c r="G44" s="35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</row>
    <row r="45" spans="1:47" ht="18" customHeight="1" x14ac:dyDescent="0.25">
      <c r="A45" s="18" t="s">
        <v>170</v>
      </c>
      <c r="B45" s="183" t="s">
        <v>205</v>
      </c>
      <c r="C45" s="46">
        <v>134</v>
      </c>
      <c r="D45" s="46">
        <v>0</v>
      </c>
      <c r="E45" s="46">
        <v>0</v>
      </c>
      <c r="F45" s="46">
        <v>0</v>
      </c>
      <c r="G45" s="35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</row>
    <row r="46" spans="1:47" ht="13.5" hidden="1" customHeight="1" x14ac:dyDescent="0.2">
      <c r="A46" s="172" t="s">
        <v>175</v>
      </c>
      <c r="B46" s="26" t="s">
        <v>172</v>
      </c>
      <c r="C46" s="10"/>
      <c r="D46" s="10"/>
      <c r="E46" s="10"/>
      <c r="F46" s="10"/>
      <c r="G46" s="35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</row>
    <row r="47" spans="1:47" ht="13.5" hidden="1" customHeight="1" x14ac:dyDescent="0.2">
      <c r="A47" s="172" t="s">
        <v>176</v>
      </c>
      <c r="B47" s="26" t="s">
        <v>173</v>
      </c>
      <c r="C47" s="10"/>
      <c r="D47" s="10"/>
      <c r="E47" s="10"/>
      <c r="F47" s="10"/>
      <c r="G47" s="35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</row>
    <row r="48" spans="1:47" ht="13.5" hidden="1" customHeight="1" x14ac:dyDescent="0.2">
      <c r="A48" s="172" t="s">
        <v>177</v>
      </c>
      <c r="B48" s="26" t="s">
        <v>174</v>
      </c>
      <c r="C48" s="10"/>
      <c r="D48" s="10"/>
      <c r="E48" s="10"/>
      <c r="F48" s="10"/>
      <c r="G48" s="35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</row>
    <row r="49" spans="1:47" ht="18" customHeight="1" x14ac:dyDescent="0.25">
      <c r="A49" s="18" t="s">
        <v>171</v>
      </c>
      <c r="B49" s="183" t="s">
        <v>206</v>
      </c>
      <c r="C49" s="46">
        <v>0</v>
      </c>
      <c r="D49" s="46">
        <f>SUM('3.felh'!G25)</f>
        <v>0</v>
      </c>
      <c r="E49" s="46">
        <f>SUM('3.felh'!H25)</f>
        <v>0</v>
      </c>
      <c r="F49" s="46">
        <f>SUM('3.felh'!I25)</f>
        <v>0</v>
      </c>
      <c r="G49" s="35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</row>
    <row r="50" spans="1:47" ht="13.5" hidden="1" customHeight="1" x14ac:dyDescent="0.25">
      <c r="A50" s="10" t="s">
        <v>178</v>
      </c>
      <c r="B50" s="26" t="s">
        <v>181</v>
      </c>
      <c r="C50" s="46"/>
      <c r="D50" s="46"/>
      <c r="E50" s="46"/>
      <c r="F50" s="46"/>
      <c r="G50" s="35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</row>
    <row r="51" spans="1:47" ht="13.5" hidden="1" customHeight="1" x14ac:dyDescent="0.25">
      <c r="A51" s="10" t="s">
        <v>179</v>
      </c>
      <c r="B51" s="26" t="s">
        <v>182</v>
      </c>
      <c r="C51" s="46"/>
      <c r="D51" s="46"/>
      <c r="E51" s="46"/>
      <c r="F51" s="46"/>
      <c r="G51" s="35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</row>
    <row r="52" spans="1:47" ht="13.5" hidden="1" customHeight="1" thickBot="1" x14ac:dyDescent="0.3">
      <c r="A52" s="13" t="s">
        <v>180</v>
      </c>
      <c r="B52" s="193" t="s">
        <v>183</v>
      </c>
      <c r="C52" s="194"/>
      <c r="D52" s="194"/>
      <c r="E52" s="194"/>
      <c r="F52" s="194"/>
      <c r="G52" s="35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</row>
    <row r="53" spans="1:47" ht="21.75" customHeight="1" x14ac:dyDescent="0.25">
      <c r="A53" s="30" t="s">
        <v>344</v>
      </c>
      <c r="B53" s="240" t="s">
        <v>346</v>
      </c>
      <c r="C53" s="46">
        <v>6837</v>
      </c>
      <c r="D53" s="46">
        <f>SUM(D54+D59)</f>
        <v>1300</v>
      </c>
      <c r="E53" s="46">
        <f>SUM(E54+E59)</f>
        <v>1500</v>
      </c>
      <c r="F53" s="46">
        <f>SUM(F54+F59)</f>
        <v>1300</v>
      </c>
      <c r="G53" s="35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</row>
    <row r="54" spans="1:47" ht="18" customHeight="1" x14ac:dyDescent="0.25">
      <c r="A54" s="30"/>
      <c r="B54" s="257" t="s">
        <v>353</v>
      </c>
      <c r="C54" s="46">
        <v>6837</v>
      </c>
      <c r="D54" s="46">
        <f>SUM(D55)</f>
        <v>1300</v>
      </c>
      <c r="E54" s="46">
        <f>SUM(E55)</f>
        <v>1500</v>
      </c>
      <c r="F54" s="46">
        <f>SUM(F55)</f>
        <v>1300</v>
      </c>
      <c r="G54" s="35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</row>
    <row r="55" spans="1:47" ht="13.5" customHeight="1" x14ac:dyDescent="0.2">
      <c r="A55" s="10"/>
      <c r="B55" s="188" t="s">
        <v>401</v>
      </c>
      <c r="C55" s="15">
        <v>5957</v>
      </c>
      <c r="D55" s="15">
        <f>SUM(D56:D57)</f>
        <v>1300</v>
      </c>
      <c r="E55" s="15">
        <f>SUM(E56:E57)</f>
        <v>1500</v>
      </c>
      <c r="F55" s="15">
        <f>SUM(F56:F57)</f>
        <v>1300</v>
      </c>
      <c r="G55" s="35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</row>
    <row r="56" spans="1:47" ht="13.5" customHeight="1" x14ac:dyDescent="0.2">
      <c r="A56" s="10"/>
      <c r="B56" s="188" t="s">
        <v>399</v>
      </c>
      <c r="C56" s="16">
        <v>2946</v>
      </c>
      <c r="D56" s="16">
        <v>1300</v>
      </c>
      <c r="E56" s="16">
        <v>1500</v>
      </c>
      <c r="F56" s="16">
        <v>1300</v>
      </c>
      <c r="G56" s="35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</row>
    <row r="57" spans="1:47" ht="13.5" customHeight="1" x14ac:dyDescent="0.2">
      <c r="A57" s="10"/>
      <c r="B57" s="188" t="s">
        <v>400</v>
      </c>
      <c r="C57" s="16">
        <v>3011</v>
      </c>
      <c r="D57" s="16"/>
      <c r="E57" s="16"/>
      <c r="F57" s="16"/>
      <c r="G57" s="35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</row>
    <row r="58" spans="1:47" ht="13.5" customHeight="1" x14ac:dyDescent="0.2">
      <c r="A58" s="10"/>
      <c r="B58" s="188" t="s">
        <v>422</v>
      </c>
      <c r="C58" s="16">
        <v>880</v>
      </c>
      <c r="D58" s="16"/>
      <c r="E58" s="16"/>
      <c r="F58" s="16"/>
      <c r="G58" s="35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</row>
    <row r="59" spans="1:47" ht="18" customHeight="1" x14ac:dyDescent="0.25">
      <c r="A59" s="10"/>
      <c r="B59" s="257" t="s">
        <v>354</v>
      </c>
      <c r="C59" s="46">
        <f>SUM(C60:C61)</f>
        <v>0</v>
      </c>
      <c r="D59" s="46">
        <f>SUM(D60:D61)</f>
        <v>0</v>
      </c>
      <c r="E59" s="46">
        <f>SUM(E60:E61)</f>
        <v>0</v>
      </c>
      <c r="F59" s="46">
        <f>SUM(F60:F61)</f>
        <v>0</v>
      </c>
      <c r="G59" s="35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</row>
    <row r="60" spans="1:47" ht="13.5" customHeight="1" thickBot="1" x14ac:dyDescent="0.25">
      <c r="A60" s="10"/>
      <c r="B60" s="185" t="s">
        <v>356</v>
      </c>
      <c r="C60" s="17">
        <v>0</v>
      </c>
      <c r="D60" s="17"/>
      <c r="E60" s="17"/>
      <c r="F60" s="17"/>
      <c r="G60" s="35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</row>
    <row r="61" spans="1:47" ht="13.5" hidden="1" customHeight="1" thickBot="1" x14ac:dyDescent="0.25">
      <c r="A61" s="195"/>
      <c r="B61" s="13" t="s">
        <v>357</v>
      </c>
      <c r="C61" s="340"/>
      <c r="D61" s="251"/>
      <c r="E61" s="251"/>
      <c r="F61" s="251"/>
      <c r="G61" s="35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</row>
    <row r="62" spans="1:47" ht="23.25" customHeight="1" thickBot="1" x14ac:dyDescent="0.4">
      <c r="A62" s="195"/>
      <c r="B62" s="49" t="s">
        <v>3</v>
      </c>
      <c r="C62" s="256">
        <f>SUM(C7+C53)</f>
        <v>68919</v>
      </c>
      <c r="D62" s="256">
        <f>SUM(D7+D53)</f>
        <v>35900</v>
      </c>
      <c r="E62" s="256">
        <f>SUM(E7+E53)</f>
        <v>36000</v>
      </c>
      <c r="F62" s="50">
        <f>SUM(F7+F53)</f>
        <v>35800</v>
      </c>
      <c r="G62" s="3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</row>
    <row r="63" spans="1:47" ht="20.25" customHeight="1" x14ac:dyDescent="0.25">
      <c r="A63" s="190" t="s">
        <v>187</v>
      </c>
      <c r="B63" s="187" t="s">
        <v>349</v>
      </c>
      <c r="C63" s="237">
        <f>SUM(C64+C67)</f>
        <v>49889</v>
      </c>
      <c r="D63" s="237">
        <f>SUM(D64+D67)</f>
        <v>35800</v>
      </c>
      <c r="E63" s="237">
        <f>SUM(E64+E67)</f>
        <v>36000</v>
      </c>
      <c r="F63" s="237">
        <f>SUM(F64+F67)</f>
        <v>35800</v>
      </c>
      <c r="G63" s="35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</row>
    <row r="64" spans="1:47" ht="18" customHeight="1" x14ac:dyDescent="0.25">
      <c r="A64" s="18" t="s">
        <v>184</v>
      </c>
      <c r="B64" s="191" t="s">
        <v>7</v>
      </c>
      <c r="C64" s="298">
        <v>41630</v>
      </c>
      <c r="D64" s="192">
        <f>SUM(D65:D66)</f>
        <v>35300</v>
      </c>
      <c r="E64" s="192">
        <f>SUM(E65:E66)</f>
        <v>35300</v>
      </c>
      <c r="F64" s="192">
        <f>SUM(F65:F66)</f>
        <v>35300</v>
      </c>
      <c r="G64" s="35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</row>
    <row r="65" spans="1:47" x14ac:dyDescent="0.2">
      <c r="A65" s="10"/>
      <c r="B65" s="184" t="s">
        <v>8</v>
      </c>
      <c r="C65" s="282">
        <v>41630</v>
      </c>
      <c r="D65" s="17">
        <v>35000</v>
      </c>
      <c r="E65" s="17">
        <v>35000</v>
      </c>
      <c r="F65" s="17">
        <v>35000</v>
      </c>
      <c r="G65" s="35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</row>
    <row r="66" spans="1:47" ht="13.5" customHeight="1" x14ac:dyDescent="0.2">
      <c r="A66" s="10"/>
      <c r="B66" s="196" t="s">
        <v>316</v>
      </c>
      <c r="C66" s="290">
        <v>0</v>
      </c>
      <c r="D66" s="248">
        <v>300</v>
      </c>
      <c r="E66" s="248">
        <v>300</v>
      </c>
      <c r="F66" s="248">
        <v>300</v>
      </c>
      <c r="G66" s="35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</row>
    <row r="67" spans="1:47" ht="18" customHeight="1" x14ac:dyDescent="0.25">
      <c r="A67" s="18" t="s">
        <v>185</v>
      </c>
      <c r="B67" s="183" t="s">
        <v>207</v>
      </c>
      <c r="C67" s="300">
        <v>8259</v>
      </c>
      <c r="D67" s="249">
        <f>SUM(D68:D70)</f>
        <v>500</v>
      </c>
      <c r="E67" s="249">
        <f>SUM(E68:E70)</f>
        <v>700</v>
      </c>
      <c r="F67" s="249">
        <f>SUM(F68:F70)</f>
        <v>500</v>
      </c>
      <c r="G67" s="35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</row>
    <row r="68" spans="1:47" s="53" customFormat="1" ht="13.5" customHeight="1" x14ac:dyDescent="0.2">
      <c r="A68" s="10"/>
      <c r="B68" s="185" t="s">
        <v>307</v>
      </c>
      <c r="C68" s="248">
        <v>8259</v>
      </c>
      <c r="D68" s="248">
        <v>500</v>
      </c>
      <c r="E68" s="248">
        <v>700</v>
      </c>
      <c r="F68" s="248">
        <v>500</v>
      </c>
      <c r="G68" s="35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</row>
    <row r="69" spans="1:47" s="53" customFormat="1" ht="13.5" customHeight="1" x14ac:dyDescent="0.2">
      <c r="A69" s="10"/>
      <c r="B69" s="185" t="s">
        <v>308</v>
      </c>
      <c r="C69" s="301">
        <v>0</v>
      </c>
      <c r="D69" s="248">
        <v>0</v>
      </c>
      <c r="E69" s="248">
        <v>0</v>
      </c>
      <c r="F69" s="248">
        <v>0</v>
      </c>
      <c r="G69" s="35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</row>
    <row r="70" spans="1:47" s="53" customFormat="1" ht="13.5" customHeight="1" x14ac:dyDescent="0.2">
      <c r="A70" s="10"/>
      <c r="B70" s="185" t="s">
        <v>309</v>
      </c>
      <c r="C70" s="248">
        <f>SUM(C71:C72)</f>
        <v>0</v>
      </c>
      <c r="D70" s="248">
        <f>SUM(D71:D72)</f>
        <v>0</v>
      </c>
      <c r="E70" s="248">
        <f>SUM(E71:E72)</f>
        <v>0</v>
      </c>
      <c r="F70" s="248">
        <f>SUM(F71:F72)</f>
        <v>0</v>
      </c>
      <c r="G70" s="35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</row>
    <row r="71" spans="1:47" s="53" customFormat="1" ht="13.5" customHeight="1" x14ac:dyDescent="0.2">
      <c r="A71" s="10"/>
      <c r="B71" s="185" t="s">
        <v>359</v>
      </c>
      <c r="C71" s="248">
        <v>0</v>
      </c>
      <c r="D71" s="248">
        <v>0</v>
      </c>
      <c r="E71" s="248">
        <v>0</v>
      </c>
      <c r="F71" s="248">
        <v>0</v>
      </c>
      <c r="G71" s="35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</row>
    <row r="72" spans="1:47" s="53" customFormat="1" ht="13.5" customHeight="1" x14ac:dyDescent="0.2">
      <c r="A72" s="10"/>
      <c r="B72" s="185" t="s">
        <v>412</v>
      </c>
      <c r="C72" s="313">
        <f>'3.felh'!C54</f>
        <v>0</v>
      </c>
      <c r="D72" s="313">
        <v>0</v>
      </c>
      <c r="E72" s="313">
        <v>0</v>
      </c>
      <c r="F72" s="313">
        <v>0</v>
      </c>
      <c r="G72" s="35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</row>
    <row r="73" spans="1:47" ht="21.75" customHeight="1" x14ac:dyDescent="0.25">
      <c r="A73" s="18" t="s">
        <v>186</v>
      </c>
      <c r="B73" s="252" t="s">
        <v>358</v>
      </c>
      <c r="C73" s="253">
        <f>SUM(C74:C75)</f>
        <v>941</v>
      </c>
      <c r="D73" s="253">
        <f>SUM(D74:D75)</f>
        <v>0</v>
      </c>
      <c r="E73" s="253">
        <f>SUM(E74:E75)</f>
        <v>0</v>
      </c>
      <c r="F73" s="253">
        <f>SUM(F74:F75)</f>
        <v>0</v>
      </c>
      <c r="G73" s="35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</row>
    <row r="74" spans="1:47" s="53" customFormat="1" ht="13.5" customHeight="1" x14ac:dyDescent="0.2">
      <c r="A74" s="10"/>
      <c r="B74" s="185" t="s">
        <v>394</v>
      </c>
      <c r="C74" s="248">
        <v>0</v>
      </c>
      <c r="D74" s="248"/>
      <c r="E74" s="248"/>
      <c r="F74" s="248"/>
      <c r="G74" s="35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</row>
    <row r="75" spans="1:47" s="53" customFormat="1" ht="13.5" customHeight="1" thickBot="1" x14ac:dyDescent="0.25">
      <c r="A75" s="10"/>
      <c r="B75" s="185" t="str">
        <f>'2.működés'!C104</f>
        <v>Államháztartáson belüli megelőlegezések visszafizetése</v>
      </c>
      <c r="C75" s="248">
        <f>SUM('1.Bev-kiad.'!C74)</f>
        <v>941</v>
      </c>
      <c r="D75" s="248"/>
      <c r="E75" s="248"/>
      <c r="F75" s="248"/>
      <c r="G75" s="35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</row>
    <row r="76" spans="1:47" s="4" customFormat="1" ht="24" customHeight="1" thickBot="1" x14ac:dyDescent="0.4">
      <c r="A76" s="195"/>
      <c r="B76" s="54" t="s">
        <v>6</v>
      </c>
      <c r="C76" s="256">
        <f>SUM(C63+C73)</f>
        <v>50830</v>
      </c>
      <c r="D76" s="256">
        <f>SUM(D63+D73)</f>
        <v>35800</v>
      </c>
      <c r="E76" s="256">
        <f>SUM(E63+E73)</f>
        <v>36000</v>
      </c>
      <c r="F76" s="50">
        <f>SUM(F63+F73)</f>
        <v>35800</v>
      </c>
      <c r="G76" s="5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ht="15.75" customHeight="1" x14ac:dyDescent="0.2">
      <c r="C77" s="9"/>
      <c r="D77" s="9"/>
      <c r="E77" s="9"/>
      <c r="F77" s="9"/>
      <c r="G77" s="35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</row>
    <row r="78" spans="1:47" ht="15.75" customHeight="1" x14ac:dyDescent="0.2">
      <c r="C78" s="2"/>
      <c r="D78" s="9"/>
      <c r="E78" s="9"/>
      <c r="F78" s="9"/>
      <c r="G78" s="35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</row>
    <row r="79" spans="1:47" ht="15.75" customHeight="1" x14ac:dyDescent="0.2">
      <c r="C79" s="2"/>
      <c r="D79" s="2"/>
      <c r="E79" s="2"/>
      <c r="F79" s="2"/>
      <c r="G79" s="35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</row>
    <row r="80" spans="1:47" ht="15.75" customHeight="1" x14ac:dyDescent="0.2">
      <c r="C80" s="2"/>
      <c r="D80" s="2"/>
      <c r="E80" s="2"/>
      <c r="F80" s="2"/>
      <c r="G80" s="35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</row>
    <row r="81" spans="2:47" ht="15.75" customHeight="1" x14ac:dyDescent="0.2">
      <c r="C81" s="2"/>
      <c r="D81" s="2"/>
      <c r="E81" s="2"/>
      <c r="F81" s="2"/>
      <c r="G81" s="3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</row>
    <row r="82" spans="2:47" ht="15.75" customHeight="1" x14ac:dyDescent="0.2">
      <c r="C82" s="2"/>
      <c r="D82" s="2"/>
      <c r="E82" s="2"/>
      <c r="F82" s="2"/>
      <c r="G82" s="3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</row>
    <row r="83" spans="2:47" ht="15.75" customHeight="1" x14ac:dyDescent="0.2">
      <c r="B83" s="2"/>
      <c r="C83" s="2"/>
      <c r="D83" s="2"/>
      <c r="E83" s="2"/>
      <c r="F83" s="2"/>
      <c r="G83" s="35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</row>
    <row r="84" spans="2:47" ht="15.75" customHeight="1" x14ac:dyDescent="0.2">
      <c r="B84" s="2"/>
      <c r="C84" s="2"/>
      <c r="D84" s="2"/>
      <c r="E84" s="2"/>
      <c r="F84" s="2"/>
      <c r="G84" s="35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</row>
    <row r="85" spans="2:47" ht="15.75" customHeight="1" x14ac:dyDescent="0.2">
      <c r="B85" s="2"/>
      <c r="C85" s="2"/>
      <c r="D85" s="2"/>
      <c r="E85" s="2"/>
      <c r="F85" s="2"/>
      <c r="G85" s="35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</row>
    <row r="86" spans="2:47" ht="15.75" customHeight="1" x14ac:dyDescent="0.2">
      <c r="B86" s="2"/>
      <c r="C86" s="2"/>
      <c r="D86" s="2"/>
      <c r="E86" s="2"/>
      <c r="F86" s="2"/>
      <c r="G86" s="35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</row>
    <row r="87" spans="2:47" ht="15.75" customHeight="1" x14ac:dyDescent="0.2">
      <c r="B87" s="2"/>
      <c r="C87" s="2"/>
      <c r="D87" s="2"/>
      <c r="E87" s="2"/>
      <c r="F87" s="2"/>
      <c r="G87" s="35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</row>
    <row r="88" spans="2:47" ht="15.75" customHeight="1" x14ac:dyDescent="0.2">
      <c r="B88" s="2"/>
      <c r="C88" s="2"/>
      <c r="D88" s="2"/>
      <c r="E88" s="2"/>
      <c r="F88" s="2"/>
      <c r="G88" s="35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</row>
    <row r="89" spans="2:47" ht="15.75" customHeight="1" x14ac:dyDescent="0.2">
      <c r="B89" s="2"/>
      <c r="C89" s="2"/>
      <c r="D89" s="2"/>
      <c r="E89" s="2"/>
      <c r="F89" s="2"/>
      <c r="G89" s="35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</row>
    <row r="90" spans="2:47" ht="15.75" customHeight="1" x14ac:dyDescent="0.2">
      <c r="B90" s="2"/>
      <c r="C90" s="2"/>
      <c r="D90" s="2"/>
      <c r="E90" s="2"/>
      <c r="F90" s="2"/>
      <c r="G90" s="35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</row>
    <row r="91" spans="2:47" ht="15.75" customHeight="1" x14ac:dyDescent="0.2">
      <c r="B91" s="2"/>
      <c r="C91" s="2"/>
      <c r="D91" s="2"/>
      <c r="E91" s="2"/>
      <c r="F91" s="2"/>
      <c r="G91" s="35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</row>
    <row r="92" spans="2:47" ht="15.75" customHeight="1" x14ac:dyDescent="0.2">
      <c r="B92" s="2"/>
      <c r="C92" s="2"/>
      <c r="D92" s="2"/>
      <c r="E92" s="2"/>
      <c r="F92" s="2"/>
      <c r="G92" s="35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</row>
    <row r="93" spans="2:47" ht="15.75" customHeight="1" x14ac:dyDescent="0.2">
      <c r="B93" s="2"/>
      <c r="C93" s="2"/>
      <c r="D93" s="2"/>
      <c r="E93" s="2"/>
      <c r="F93" s="2"/>
      <c r="G93" s="35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</row>
    <row r="94" spans="2:47" ht="15.75" customHeight="1" x14ac:dyDescent="0.2">
      <c r="B94" s="2"/>
      <c r="C94" s="2"/>
      <c r="D94" s="2"/>
      <c r="E94" s="2"/>
      <c r="F94" s="2"/>
      <c r="G94" s="35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</row>
    <row r="95" spans="2:47" ht="15.75" customHeight="1" x14ac:dyDescent="0.2">
      <c r="B95" s="2"/>
      <c r="C95" s="2"/>
      <c r="D95" s="2"/>
      <c r="E95" s="2"/>
      <c r="F95" s="2"/>
      <c r="G95" s="35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</row>
    <row r="96" spans="2:47" ht="15.75" customHeight="1" x14ac:dyDescent="0.2">
      <c r="B96" s="2"/>
      <c r="C96" s="2"/>
      <c r="D96" s="2"/>
      <c r="E96" s="2"/>
      <c r="F96" s="2"/>
      <c r="G96" s="35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</row>
    <row r="97" spans="2:47" ht="15.75" customHeight="1" x14ac:dyDescent="0.2">
      <c r="B97" s="2"/>
      <c r="C97" s="2"/>
      <c r="D97" s="2"/>
      <c r="E97" s="2"/>
      <c r="F97" s="2"/>
      <c r="G97" s="35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</row>
    <row r="98" spans="2:47" ht="15.75" customHeight="1" x14ac:dyDescent="0.2">
      <c r="B98" s="2"/>
      <c r="C98" s="2"/>
      <c r="D98" s="2"/>
      <c r="E98" s="2"/>
      <c r="F98" s="2"/>
      <c r="G98" s="35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</row>
    <row r="99" spans="2:47" ht="15.75" customHeight="1" x14ac:dyDescent="0.2">
      <c r="B99" s="2"/>
      <c r="C99" s="2"/>
      <c r="D99" s="2"/>
      <c r="E99" s="2"/>
      <c r="F99" s="2"/>
      <c r="G99" s="35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</row>
    <row r="100" spans="2:47" ht="15.75" customHeight="1" x14ac:dyDescent="0.2">
      <c r="B100" s="2"/>
      <c r="C100" s="2"/>
      <c r="D100" s="2"/>
      <c r="E100" s="2"/>
      <c r="F100" s="2"/>
      <c r="G100" s="35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</row>
    <row r="101" spans="2:47" ht="15.75" customHeight="1" x14ac:dyDescent="0.2">
      <c r="B101" s="2"/>
      <c r="C101" s="2"/>
      <c r="D101" s="2"/>
      <c r="E101" s="2"/>
      <c r="F101" s="2"/>
      <c r="G101" s="35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</row>
    <row r="102" spans="2:47" ht="15.75" customHeight="1" x14ac:dyDescent="0.2">
      <c r="B102" s="2"/>
      <c r="C102" s="2"/>
      <c r="D102" s="2"/>
      <c r="E102" s="2"/>
      <c r="F102" s="2"/>
      <c r="G102" s="35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</row>
    <row r="103" spans="2:47" ht="15.75" customHeight="1" x14ac:dyDescent="0.2">
      <c r="B103" s="2"/>
      <c r="C103" s="2"/>
      <c r="D103" s="2"/>
      <c r="E103" s="2"/>
      <c r="F103" s="2"/>
      <c r="G103" s="35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</row>
    <row r="104" spans="2:47" ht="15.75" customHeight="1" x14ac:dyDescent="0.2">
      <c r="B104" s="2"/>
      <c r="C104" s="2"/>
      <c r="D104" s="2"/>
      <c r="E104" s="2"/>
      <c r="F104" s="2"/>
      <c r="G104" s="35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</row>
    <row r="105" spans="2:47" ht="15.75" customHeight="1" x14ac:dyDescent="0.2">
      <c r="B105" s="2"/>
      <c r="C105" s="2"/>
      <c r="D105" s="2"/>
      <c r="E105" s="2"/>
      <c r="F105" s="2"/>
      <c r="G105" s="35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</row>
    <row r="106" spans="2:47" ht="15.75" customHeight="1" x14ac:dyDescent="0.2">
      <c r="B106" s="2"/>
      <c r="C106" s="2"/>
      <c r="D106" s="2"/>
      <c r="E106" s="2"/>
      <c r="F106" s="2"/>
      <c r="G106" s="35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</row>
    <row r="107" spans="2:47" ht="15.75" customHeight="1" x14ac:dyDescent="0.2">
      <c r="B107" s="2"/>
      <c r="C107" s="2"/>
      <c r="D107" s="2"/>
      <c r="E107" s="2"/>
      <c r="F107" s="2"/>
      <c r="G107" s="35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</row>
    <row r="108" spans="2:47" ht="15.75" customHeight="1" x14ac:dyDescent="0.2">
      <c r="B108" s="2"/>
      <c r="C108" s="2"/>
      <c r="D108" s="2"/>
      <c r="E108" s="2"/>
      <c r="F108" s="2"/>
      <c r="G108" s="35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</row>
    <row r="109" spans="2:47" ht="15.75" customHeight="1" x14ac:dyDescent="0.2">
      <c r="B109" s="2"/>
      <c r="C109" s="2"/>
      <c r="D109" s="2"/>
      <c r="E109" s="2"/>
      <c r="F109" s="2"/>
      <c r="G109" s="35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</row>
    <row r="110" spans="2:47" ht="15.75" customHeight="1" x14ac:dyDescent="0.2">
      <c r="B110" s="2"/>
      <c r="C110" s="2"/>
      <c r="D110" s="2"/>
      <c r="E110" s="2"/>
      <c r="F110" s="2"/>
      <c r="G110" s="35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</row>
    <row r="111" spans="2:47" ht="15.75" customHeight="1" x14ac:dyDescent="0.2">
      <c r="B111" s="2"/>
      <c r="C111" s="2"/>
      <c r="D111" s="2"/>
      <c r="E111" s="2"/>
      <c r="F111" s="2"/>
      <c r="G111" s="35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</row>
    <row r="112" spans="2:47" ht="15.75" customHeight="1" x14ac:dyDescent="0.2">
      <c r="B112" s="2"/>
      <c r="C112" s="2"/>
      <c r="D112" s="2"/>
      <c r="E112" s="2"/>
      <c r="F112" s="2"/>
      <c r="G112" s="35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</row>
    <row r="113" spans="2:47" ht="15.75" customHeight="1" x14ac:dyDescent="0.2">
      <c r="B113" s="2"/>
      <c r="C113" s="2"/>
      <c r="D113" s="2"/>
      <c r="E113" s="2"/>
      <c r="F113" s="2"/>
      <c r="G113" s="35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</row>
    <row r="114" spans="2:47" ht="15.75" customHeight="1" x14ac:dyDescent="0.2">
      <c r="B114" s="2"/>
      <c r="C114" s="2"/>
      <c r="D114" s="2"/>
      <c r="E114" s="2"/>
      <c r="F114" s="2"/>
      <c r="G114" s="35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</row>
    <row r="115" spans="2:47" ht="15.75" customHeight="1" x14ac:dyDescent="0.2">
      <c r="B115" s="2"/>
      <c r="C115" s="2"/>
      <c r="D115" s="2"/>
      <c r="E115" s="2"/>
      <c r="F115" s="2"/>
      <c r="G115" s="35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</row>
    <row r="116" spans="2:47" ht="15.75" customHeight="1" x14ac:dyDescent="0.2">
      <c r="B116" s="2"/>
      <c r="C116" s="2"/>
      <c r="D116" s="2"/>
      <c r="E116" s="2"/>
      <c r="F116" s="2"/>
      <c r="G116" s="35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</row>
    <row r="117" spans="2:47" ht="15.75" customHeight="1" x14ac:dyDescent="0.2">
      <c r="B117" s="2"/>
      <c r="C117" s="2"/>
      <c r="D117" s="2"/>
      <c r="E117" s="2"/>
      <c r="F117" s="2"/>
      <c r="G117" s="35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</row>
    <row r="118" spans="2:47" ht="15.75" customHeight="1" x14ac:dyDescent="0.2">
      <c r="B118" s="2"/>
      <c r="C118" s="2"/>
      <c r="D118" s="2"/>
      <c r="E118" s="2"/>
      <c r="F118" s="2"/>
      <c r="G118" s="35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</row>
    <row r="119" spans="2:47" ht="15.75" customHeight="1" x14ac:dyDescent="0.2">
      <c r="B119" s="2"/>
      <c r="C119" s="2"/>
      <c r="D119" s="2"/>
      <c r="E119" s="2"/>
      <c r="F119" s="2"/>
      <c r="G119" s="35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</row>
    <row r="120" spans="2:47" ht="15.75" customHeight="1" x14ac:dyDescent="0.2">
      <c r="B120" s="2"/>
      <c r="C120" s="2"/>
      <c r="D120" s="2"/>
      <c r="E120" s="2"/>
      <c r="F120" s="2"/>
      <c r="G120" s="35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</row>
    <row r="121" spans="2:47" ht="15.75" customHeight="1" x14ac:dyDescent="0.2">
      <c r="B121" s="2"/>
      <c r="C121" s="2"/>
      <c r="D121" s="2"/>
      <c r="E121" s="2"/>
      <c r="F121" s="2"/>
      <c r="G121" s="35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</row>
    <row r="122" spans="2:47" ht="15.75" customHeight="1" x14ac:dyDescent="0.2">
      <c r="B122" s="2"/>
      <c r="C122" s="2"/>
      <c r="D122" s="2"/>
      <c r="E122" s="2"/>
      <c r="F122" s="2"/>
      <c r="G122" s="35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</row>
    <row r="123" spans="2:47" ht="15.75" customHeight="1" x14ac:dyDescent="0.2">
      <c r="B123" s="2"/>
      <c r="C123" s="2"/>
      <c r="D123" s="2"/>
      <c r="E123" s="2"/>
      <c r="F123" s="2"/>
      <c r="G123" s="35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</row>
    <row r="124" spans="2:47" ht="15.75" customHeight="1" x14ac:dyDescent="0.2">
      <c r="B124" s="2"/>
      <c r="C124" s="2"/>
      <c r="D124" s="2"/>
      <c r="E124" s="2"/>
      <c r="F124" s="2"/>
      <c r="G124" s="35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</row>
    <row r="125" spans="2:47" ht="15.75" customHeight="1" x14ac:dyDescent="0.2">
      <c r="B125" s="2"/>
      <c r="C125" s="2"/>
      <c r="D125" s="2"/>
      <c r="E125" s="2"/>
      <c r="F125" s="2"/>
      <c r="G125" s="35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</row>
    <row r="126" spans="2:47" ht="15.75" customHeight="1" x14ac:dyDescent="0.2">
      <c r="B126" s="2"/>
      <c r="C126" s="2"/>
      <c r="D126" s="2"/>
      <c r="E126" s="2"/>
      <c r="F126" s="2"/>
      <c r="G126" s="35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</row>
    <row r="127" spans="2:47" ht="15.75" customHeight="1" x14ac:dyDescent="0.2">
      <c r="B127" s="2"/>
      <c r="C127" s="2"/>
      <c r="D127" s="2"/>
      <c r="E127" s="2"/>
      <c r="F127" s="2"/>
      <c r="G127" s="35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</row>
    <row r="128" spans="2:47" ht="15.75" customHeight="1" x14ac:dyDescent="0.2">
      <c r="B128" s="2"/>
      <c r="C128" s="2"/>
      <c r="D128" s="2"/>
      <c r="E128" s="2"/>
      <c r="F128" s="2"/>
      <c r="G128" s="35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</row>
    <row r="129" spans="2:47" ht="15.75" customHeight="1" x14ac:dyDescent="0.2">
      <c r="B129" s="2"/>
      <c r="C129" s="2"/>
      <c r="D129" s="2"/>
      <c r="E129" s="2"/>
      <c r="F129" s="2"/>
      <c r="G129" s="35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</row>
    <row r="130" spans="2:47" ht="15.75" customHeight="1" x14ac:dyDescent="0.2">
      <c r="B130" s="2"/>
      <c r="C130" s="2"/>
      <c r="D130" s="2"/>
      <c r="E130" s="2"/>
      <c r="F130" s="2"/>
      <c r="G130" s="35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</row>
    <row r="131" spans="2:47" ht="15.75" customHeight="1" x14ac:dyDescent="0.2">
      <c r="B131" s="2"/>
      <c r="C131" s="2"/>
      <c r="D131" s="2"/>
      <c r="E131" s="2"/>
      <c r="F131" s="2"/>
      <c r="G131" s="35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</row>
    <row r="132" spans="2:47" ht="15.75" customHeight="1" x14ac:dyDescent="0.2">
      <c r="B132" s="2"/>
      <c r="C132" s="2"/>
      <c r="D132" s="2"/>
      <c r="E132" s="2"/>
      <c r="F132" s="2"/>
      <c r="G132" s="35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</row>
    <row r="133" spans="2:47" ht="15.75" customHeight="1" x14ac:dyDescent="0.2">
      <c r="B133" s="2"/>
      <c r="C133" s="2"/>
      <c r="D133" s="2"/>
      <c r="E133" s="2"/>
      <c r="F133" s="2"/>
      <c r="G133" s="35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</row>
    <row r="134" spans="2:47" ht="15.75" customHeight="1" x14ac:dyDescent="0.2">
      <c r="B134" s="2"/>
      <c r="C134" s="2"/>
      <c r="D134" s="2"/>
      <c r="E134" s="2"/>
      <c r="F134" s="2"/>
      <c r="G134" s="35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</row>
    <row r="135" spans="2:47" ht="15.75" customHeight="1" x14ac:dyDescent="0.2">
      <c r="B135" s="2"/>
      <c r="C135" s="2"/>
      <c r="D135" s="2"/>
      <c r="E135" s="2"/>
      <c r="F135" s="2"/>
      <c r="G135" s="35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</row>
    <row r="136" spans="2:47" ht="15.75" customHeight="1" x14ac:dyDescent="0.2">
      <c r="B136" s="2"/>
      <c r="C136" s="2"/>
      <c r="D136" s="2"/>
      <c r="E136" s="2"/>
      <c r="F136" s="2"/>
      <c r="G136" s="35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</row>
    <row r="137" spans="2:47" ht="15.75" customHeight="1" x14ac:dyDescent="0.2">
      <c r="B137" s="2"/>
      <c r="C137" s="2"/>
      <c r="D137" s="2"/>
      <c r="E137" s="2"/>
      <c r="F137" s="2"/>
      <c r="G137" s="35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</row>
    <row r="138" spans="2:47" ht="15.75" customHeight="1" x14ac:dyDescent="0.2">
      <c r="B138" s="2"/>
      <c r="C138" s="2"/>
      <c r="D138" s="2"/>
      <c r="E138" s="2"/>
      <c r="F138" s="2"/>
      <c r="G138" s="35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</row>
    <row r="139" spans="2:47" ht="15.75" customHeight="1" x14ac:dyDescent="0.2">
      <c r="B139" s="2"/>
      <c r="C139" s="2"/>
      <c r="D139" s="2"/>
      <c r="E139" s="2"/>
      <c r="F139" s="2"/>
      <c r="G139" s="35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</row>
    <row r="140" spans="2:47" ht="15.75" customHeight="1" x14ac:dyDescent="0.2">
      <c r="B140" s="2"/>
      <c r="C140" s="2"/>
      <c r="D140" s="2"/>
      <c r="E140" s="2"/>
      <c r="F140" s="2"/>
      <c r="G140" s="35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</row>
    <row r="141" spans="2:47" ht="15.75" customHeight="1" x14ac:dyDescent="0.2">
      <c r="B141" s="2"/>
      <c r="C141" s="2"/>
      <c r="D141" s="2"/>
      <c r="E141" s="2"/>
      <c r="F141" s="2"/>
      <c r="G141" s="35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</row>
    <row r="142" spans="2:47" ht="15.75" customHeight="1" x14ac:dyDescent="0.2">
      <c r="B142" s="2"/>
      <c r="C142" s="2"/>
      <c r="D142" s="2"/>
      <c r="E142" s="2"/>
      <c r="F142" s="2"/>
      <c r="G142" s="35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</row>
    <row r="143" spans="2:47" ht="15.75" customHeight="1" x14ac:dyDescent="0.2">
      <c r="B143" s="2"/>
      <c r="C143" s="2"/>
      <c r="D143" s="2"/>
      <c r="E143" s="2"/>
      <c r="F143" s="2"/>
      <c r="G143" s="35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</row>
    <row r="144" spans="2:47" ht="15.75" customHeight="1" x14ac:dyDescent="0.2">
      <c r="B144" s="2"/>
      <c r="C144" s="2"/>
      <c r="D144" s="2"/>
      <c r="E144" s="2"/>
      <c r="F144" s="2"/>
      <c r="G144" s="35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</row>
    <row r="145" spans="2:47" ht="15.75" customHeight="1" x14ac:dyDescent="0.2">
      <c r="B145" s="2"/>
      <c r="C145" s="2"/>
      <c r="D145" s="2"/>
      <c r="E145" s="2"/>
      <c r="F145" s="2"/>
      <c r="G145" s="35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</row>
    <row r="146" spans="2:47" ht="15.75" customHeight="1" x14ac:dyDescent="0.2">
      <c r="B146" s="2"/>
      <c r="C146" s="2"/>
      <c r="D146" s="2"/>
      <c r="E146" s="2"/>
      <c r="F146" s="2"/>
      <c r="G146" s="35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</row>
    <row r="147" spans="2:47" ht="15.75" customHeight="1" x14ac:dyDescent="0.2">
      <c r="B147" s="2"/>
      <c r="C147" s="2"/>
      <c r="D147" s="2"/>
      <c r="E147" s="2"/>
      <c r="F147" s="2"/>
      <c r="G147" s="35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</row>
    <row r="148" spans="2:47" ht="15.75" customHeight="1" x14ac:dyDescent="0.2">
      <c r="B148" s="2"/>
      <c r="C148" s="2"/>
      <c r="D148" s="2"/>
      <c r="E148" s="2"/>
      <c r="F148" s="2"/>
      <c r="G148" s="35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</row>
    <row r="149" spans="2:47" ht="15.75" customHeight="1" x14ac:dyDescent="0.2">
      <c r="B149" s="2"/>
      <c r="C149" s="2"/>
      <c r="D149" s="2"/>
      <c r="E149" s="2"/>
      <c r="F149" s="2"/>
      <c r="G149" s="35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</row>
    <row r="150" spans="2:47" ht="15.75" customHeight="1" x14ac:dyDescent="0.2">
      <c r="B150" s="2"/>
      <c r="C150" s="2"/>
      <c r="D150" s="2"/>
      <c r="E150" s="2"/>
      <c r="F150" s="2"/>
      <c r="G150" s="35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</row>
    <row r="151" spans="2:47" ht="15.75" customHeight="1" x14ac:dyDescent="0.2">
      <c r="B151" s="2"/>
      <c r="C151" s="2"/>
      <c r="D151" s="2"/>
      <c r="E151" s="2"/>
      <c r="F151" s="2"/>
      <c r="G151" s="35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</row>
    <row r="152" spans="2:47" ht="15.75" customHeight="1" x14ac:dyDescent="0.2">
      <c r="B152" s="2"/>
      <c r="C152" s="2"/>
      <c r="D152" s="2"/>
      <c r="E152" s="2"/>
      <c r="F152" s="2"/>
      <c r="G152" s="35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</row>
    <row r="153" spans="2:47" ht="15.75" customHeight="1" x14ac:dyDescent="0.2">
      <c r="B153" s="2"/>
      <c r="C153" s="2"/>
      <c r="D153" s="2"/>
      <c r="E153" s="2"/>
      <c r="F153" s="2"/>
      <c r="G153" s="35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</row>
    <row r="154" spans="2:47" ht="15.75" customHeight="1" x14ac:dyDescent="0.2">
      <c r="B154" s="2"/>
      <c r="C154" s="2"/>
      <c r="D154" s="2"/>
      <c r="E154" s="2"/>
      <c r="F154" s="2"/>
      <c r="G154" s="35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</row>
    <row r="155" spans="2:47" ht="15.75" customHeight="1" x14ac:dyDescent="0.2">
      <c r="B155" s="2"/>
      <c r="C155" s="2"/>
      <c r="D155" s="2"/>
      <c r="E155" s="2"/>
      <c r="F155" s="2"/>
      <c r="G155" s="35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</row>
    <row r="156" spans="2:47" ht="15.75" customHeight="1" x14ac:dyDescent="0.2">
      <c r="B156" s="2"/>
      <c r="C156" s="2"/>
      <c r="D156" s="2"/>
      <c r="E156" s="2"/>
      <c r="F156" s="2"/>
      <c r="G156" s="35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</row>
    <row r="157" spans="2:47" ht="15.75" customHeight="1" x14ac:dyDescent="0.2">
      <c r="B157" s="2"/>
      <c r="C157" s="2"/>
      <c r="D157" s="2"/>
      <c r="E157" s="2"/>
      <c r="F157" s="2"/>
      <c r="G157" s="35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</row>
    <row r="158" spans="2:47" ht="15.75" customHeight="1" x14ac:dyDescent="0.2">
      <c r="B158" s="2"/>
      <c r="C158" s="2"/>
      <c r="D158" s="2"/>
      <c r="E158" s="2"/>
      <c r="F158" s="2"/>
      <c r="G158" s="35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</row>
    <row r="159" spans="2:47" ht="15.75" customHeight="1" x14ac:dyDescent="0.2">
      <c r="B159" s="2"/>
      <c r="C159" s="2"/>
      <c r="D159" s="2"/>
      <c r="E159" s="2"/>
      <c r="F159" s="2"/>
      <c r="G159" s="35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</row>
    <row r="160" spans="2:47" ht="15.75" customHeight="1" x14ac:dyDescent="0.2">
      <c r="B160" s="2"/>
      <c r="C160" s="2"/>
      <c r="D160" s="2"/>
      <c r="E160" s="2"/>
      <c r="F160" s="2"/>
      <c r="G160" s="35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</row>
    <row r="161" spans="2:47" ht="15.75" customHeight="1" x14ac:dyDescent="0.2">
      <c r="B161" s="2"/>
      <c r="C161" s="2"/>
      <c r="D161" s="2"/>
      <c r="E161" s="2"/>
      <c r="F161" s="2"/>
      <c r="G161" s="35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</row>
    <row r="162" spans="2:47" ht="15.75" customHeight="1" x14ac:dyDescent="0.2">
      <c r="B162" s="2"/>
      <c r="C162" s="36"/>
      <c r="D162" s="36"/>
      <c r="E162" s="36"/>
      <c r="F162" s="36"/>
      <c r="G162" s="35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</row>
    <row r="163" spans="2:47" ht="15.75" customHeight="1" x14ac:dyDescent="0.2">
      <c r="B163" s="2"/>
      <c r="C163" s="36"/>
      <c r="D163" s="36"/>
      <c r="E163" s="36"/>
      <c r="F163" s="36"/>
      <c r="G163" s="35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</row>
    <row r="164" spans="2:47" ht="15.75" customHeight="1" x14ac:dyDescent="0.2">
      <c r="B164" s="2"/>
      <c r="C164" s="36"/>
      <c r="D164" s="36"/>
      <c r="E164" s="36"/>
      <c r="F164" s="36"/>
      <c r="G164" s="35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</row>
    <row r="165" spans="2:47" ht="15.75" customHeight="1" x14ac:dyDescent="0.2">
      <c r="B165" s="2"/>
      <c r="C165" s="36"/>
      <c r="D165" s="36"/>
      <c r="E165" s="36"/>
      <c r="F165" s="36"/>
      <c r="G165" s="35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</row>
    <row r="166" spans="2:47" ht="15.75" customHeight="1" x14ac:dyDescent="0.2">
      <c r="B166" s="2"/>
      <c r="C166" s="36"/>
      <c r="D166" s="36"/>
      <c r="E166" s="36"/>
      <c r="F166" s="36"/>
      <c r="G166" s="35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</row>
    <row r="167" spans="2:47" ht="15.75" customHeight="1" x14ac:dyDescent="0.2">
      <c r="B167" s="2"/>
      <c r="C167" s="36"/>
      <c r="D167" s="36"/>
      <c r="E167" s="36"/>
      <c r="F167" s="36"/>
      <c r="G167" s="35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</row>
    <row r="168" spans="2:47" ht="15.75" customHeight="1" x14ac:dyDescent="0.2">
      <c r="B168" s="2"/>
      <c r="C168" s="36"/>
      <c r="D168" s="36"/>
      <c r="E168" s="36"/>
      <c r="F168" s="36"/>
      <c r="G168" s="35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</row>
    <row r="169" spans="2:47" ht="15.75" customHeight="1" x14ac:dyDescent="0.2">
      <c r="B169" s="2"/>
      <c r="C169" s="36"/>
      <c r="D169" s="36"/>
      <c r="E169" s="36"/>
      <c r="F169" s="36"/>
      <c r="G169" s="35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</row>
    <row r="170" spans="2:47" ht="15.75" customHeight="1" x14ac:dyDescent="0.2">
      <c r="B170" s="2"/>
      <c r="C170" s="36"/>
      <c r="D170" s="36"/>
      <c r="E170" s="36"/>
      <c r="F170" s="36"/>
      <c r="G170" s="35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</row>
    <row r="171" spans="2:47" ht="15.75" customHeight="1" x14ac:dyDescent="0.2">
      <c r="B171" s="2"/>
      <c r="C171" s="36"/>
      <c r="D171" s="36"/>
      <c r="E171" s="36"/>
      <c r="F171" s="36"/>
      <c r="G171" s="35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</row>
    <row r="172" spans="2:47" ht="15.75" customHeight="1" x14ac:dyDescent="0.2">
      <c r="B172" s="2"/>
      <c r="C172" s="36"/>
      <c r="D172" s="36"/>
      <c r="E172" s="36"/>
      <c r="F172" s="36"/>
      <c r="G172" s="35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</row>
    <row r="173" spans="2:47" ht="15.75" customHeight="1" x14ac:dyDescent="0.2">
      <c r="B173" s="2"/>
      <c r="C173" s="36"/>
      <c r="D173" s="36"/>
      <c r="E173" s="36"/>
      <c r="F173" s="36"/>
      <c r="G173" s="35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</row>
    <row r="174" spans="2:47" ht="15.75" customHeight="1" x14ac:dyDescent="0.2">
      <c r="B174" s="2"/>
      <c r="C174" s="36"/>
      <c r="D174" s="36"/>
      <c r="E174" s="36"/>
      <c r="F174" s="36"/>
      <c r="G174" s="35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</row>
    <row r="175" spans="2:47" ht="15.75" customHeight="1" x14ac:dyDescent="0.2">
      <c r="B175" s="2"/>
      <c r="C175" s="36"/>
      <c r="D175" s="36"/>
      <c r="E175" s="36"/>
      <c r="F175" s="36"/>
      <c r="G175" s="35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</row>
    <row r="176" spans="2:47" ht="15.75" customHeight="1" x14ac:dyDescent="0.2">
      <c r="B176" s="2"/>
      <c r="C176" s="36"/>
      <c r="D176" s="36"/>
      <c r="E176" s="36"/>
      <c r="F176" s="36"/>
      <c r="G176" s="35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</row>
    <row r="177" spans="2:47" ht="15.75" customHeight="1" x14ac:dyDescent="0.2">
      <c r="B177" s="2"/>
      <c r="C177" s="36"/>
      <c r="D177" s="36"/>
      <c r="E177" s="36"/>
      <c r="F177" s="36"/>
      <c r="G177" s="35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</row>
    <row r="178" spans="2:47" ht="15.75" customHeight="1" x14ac:dyDescent="0.2">
      <c r="B178" s="2"/>
      <c r="C178" s="36"/>
      <c r="D178" s="36"/>
      <c r="E178" s="36"/>
      <c r="F178" s="36"/>
      <c r="G178" s="35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</row>
    <row r="179" spans="2:47" ht="15.75" customHeight="1" x14ac:dyDescent="0.2">
      <c r="B179" s="2"/>
      <c r="C179" s="36"/>
      <c r="D179" s="36"/>
      <c r="E179" s="36"/>
      <c r="F179" s="36"/>
      <c r="G179" s="35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</row>
    <row r="180" spans="2:47" ht="15.75" customHeight="1" x14ac:dyDescent="0.2">
      <c r="B180" s="2"/>
      <c r="C180" s="36"/>
      <c r="D180" s="36"/>
      <c r="E180" s="36"/>
      <c r="F180" s="36"/>
      <c r="G180" s="35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</row>
    <row r="181" spans="2:47" ht="15.75" customHeight="1" x14ac:dyDescent="0.2">
      <c r="B181" s="2"/>
      <c r="C181" s="36"/>
      <c r="D181" s="36"/>
      <c r="E181" s="36"/>
      <c r="F181" s="36"/>
      <c r="G181" s="35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</row>
    <row r="182" spans="2:47" ht="15.75" customHeight="1" x14ac:dyDescent="0.2">
      <c r="B182" s="2"/>
      <c r="C182" s="36"/>
      <c r="D182" s="36"/>
      <c r="E182" s="36"/>
      <c r="F182" s="36"/>
      <c r="G182" s="35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</row>
    <row r="183" spans="2:47" ht="15.75" customHeight="1" x14ac:dyDescent="0.2">
      <c r="B183" s="2"/>
      <c r="C183" s="36"/>
      <c r="D183" s="36"/>
      <c r="E183" s="36"/>
      <c r="F183" s="36"/>
      <c r="G183" s="35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</row>
    <row r="184" spans="2:47" ht="15.75" customHeight="1" x14ac:dyDescent="0.2">
      <c r="B184" s="2"/>
      <c r="C184" s="36"/>
      <c r="D184" s="36"/>
      <c r="E184" s="36"/>
      <c r="F184" s="36"/>
      <c r="G184" s="35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</row>
    <row r="185" spans="2:47" ht="15.75" customHeight="1" x14ac:dyDescent="0.2">
      <c r="B185" s="2"/>
      <c r="C185" s="36"/>
      <c r="D185" s="36"/>
      <c r="E185" s="36"/>
      <c r="F185" s="36"/>
      <c r="G185" s="35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</row>
    <row r="186" spans="2:47" ht="15.75" customHeight="1" x14ac:dyDescent="0.2">
      <c r="B186" s="2"/>
      <c r="C186" s="36"/>
      <c r="D186" s="36"/>
      <c r="E186" s="36"/>
      <c r="F186" s="36"/>
      <c r="G186" s="35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</row>
    <row r="187" spans="2:47" ht="15.75" customHeight="1" x14ac:dyDescent="0.2">
      <c r="B187" s="2"/>
      <c r="C187" s="36"/>
      <c r="D187" s="36"/>
      <c r="E187" s="36"/>
      <c r="F187" s="36"/>
      <c r="G187" s="35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</row>
    <row r="188" spans="2:47" ht="15.75" customHeight="1" x14ac:dyDescent="0.2">
      <c r="B188" s="2"/>
      <c r="C188" s="36"/>
      <c r="D188" s="36"/>
      <c r="E188" s="36"/>
      <c r="F188" s="36"/>
      <c r="G188" s="35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</row>
    <row r="189" spans="2:47" ht="15.75" customHeight="1" x14ac:dyDescent="0.2">
      <c r="B189" s="2"/>
      <c r="C189" s="36"/>
      <c r="D189" s="36"/>
      <c r="E189" s="36"/>
      <c r="F189" s="36"/>
      <c r="G189" s="35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</row>
    <row r="190" spans="2:47" ht="15.75" customHeight="1" x14ac:dyDescent="0.2">
      <c r="B190" s="2"/>
      <c r="C190" s="36"/>
      <c r="D190" s="36"/>
      <c r="E190" s="36"/>
      <c r="F190" s="36"/>
      <c r="G190" s="35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</row>
    <row r="191" spans="2:47" ht="15.75" customHeight="1" x14ac:dyDescent="0.2">
      <c r="B191" s="2"/>
      <c r="C191" s="36"/>
      <c r="D191" s="36"/>
      <c r="E191" s="36"/>
      <c r="F191" s="36"/>
      <c r="G191" s="35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</row>
    <row r="192" spans="2:47" ht="15.75" customHeight="1" x14ac:dyDescent="0.2">
      <c r="B192" s="2"/>
      <c r="C192" s="36"/>
      <c r="D192" s="36"/>
      <c r="E192" s="36"/>
      <c r="F192" s="36"/>
      <c r="G192" s="35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</row>
    <row r="193" spans="2:47" ht="15.75" customHeight="1" x14ac:dyDescent="0.2">
      <c r="B193" s="2"/>
      <c r="C193" s="36"/>
      <c r="D193" s="36"/>
      <c r="E193" s="36"/>
      <c r="F193" s="36"/>
      <c r="G193" s="35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</row>
    <row r="194" spans="2:47" ht="15.75" customHeight="1" x14ac:dyDescent="0.2">
      <c r="B194" s="2"/>
      <c r="C194" s="36"/>
      <c r="D194" s="36"/>
      <c r="E194" s="36"/>
      <c r="F194" s="36"/>
      <c r="G194" s="35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</row>
    <row r="195" spans="2:47" ht="15.75" customHeight="1" x14ac:dyDescent="0.2">
      <c r="B195" s="2"/>
      <c r="C195" s="36"/>
      <c r="D195" s="36"/>
      <c r="E195" s="36"/>
      <c r="F195" s="36"/>
      <c r="G195" s="35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</row>
    <row r="196" spans="2:47" ht="15.75" customHeight="1" x14ac:dyDescent="0.2">
      <c r="B196" s="2"/>
      <c r="C196" s="36"/>
      <c r="D196" s="36"/>
      <c r="E196" s="36"/>
      <c r="F196" s="36"/>
      <c r="G196" s="35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</row>
    <row r="197" spans="2:47" ht="15.75" customHeight="1" x14ac:dyDescent="0.2">
      <c r="B197" s="2"/>
      <c r="C197" s="36"/>
      <c r="D197" s="36"/>
      <c r="E197" s="36"/>
      <c r="F197" s="36"/>
      <c r="G197" s="35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</row>
    <row r="198" spans="2:47" ht="15.75" customHeight="1" x14ac:dyDescent="0.2">
      <c r="B198" s="2"/>
      <c r="C198" s="36"/>
      <c r="D198" s="36"/>
      <c r="E198" s="36"/>
      <c r="F198" s="36"/>
      <c r="G198" s="35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</row>
    <row r="199" spans="2:47" ht="15.75" customHeight="1" x14ac:dyDescent="0.2">
      <c r="B199" s="2"/>
      <c r="C199" s="36"/>
      <c r="D199" s="36"/>
      <c r="E199" s="36"/>
      <c r="F199" s="36"/>
      <c r="G199" s="35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</row>
    <row r="200" spans="2:47" ht="15.75" customHeight="1" x14ac:dyDescent="0.2">
      <c r="B200" s="2"/>
      <c r="C200" s="36"/>
      <c r="D200" s="36"/>
      <c r="E200" s="36"/>
      <c r="F200" s="36"/>
      <c r="G200" s="35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</row>
    <row r="201" spans="2:47" ht="15.75" customHeight="1" x14ac:dyDescent="0.2">
      <c r="B201" s="2"/>
      <c r="C201" s="36"/>
      <c r="D201" s="36"/>
      <c r="E201" s="36"/>
      <c r="F201" s="36"/>
      <c r="G201" s="35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</row>
    <row r="202" spans="2:47" ht="15.75" customHeight="1" x14ac:dyDescent="0.2">
      <c r="B202" s="2"/>
      <c r="C202" s="36"/>
      <c r="D202" s="36"/>
      <c r="E202" s="36"/>
      <c r="F202" s="36"/>
      <c r="G202" s="35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</row>
    <row r="203" spans="2:47" ht="15.75" customHeight="1" x14ac:dyDescent="0.2">
      <c r="B203" s="2"/>
      <c r="C203" s="36"/>
      <c r="D203" s="36"/>
      <c r="E203" s="36"/>
      <c r="F203" s="36"/>
      <c r="G203" s="35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</row>
    <row r="204" spans="2:47" ht="15.75" customHeight="1" x14ac:dyDescent="0.2">
      <c r="B204" s="2"/>
      <c r="C204" s="36"/>
      <c r="D204" s="36"/>
      <c r="E204" s="36"/>
      <c r="F204" s="36"/>
      <c r="G204" s="35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</row>
    <row r="205" spans="2:47" ht="15.75" customHeight="1" x14ac:dyDescent="0.2">
      <c r="B205" s="2"/>
      <c r="C205" s="36"/>
      <c r="D205" s="36"/>
      <c r="E205" s="36"/>
      <c r="F205" s="36"/>
      <c r="G205" s="35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</row>
    <row r="206" spans="2:47" ht="15.75" customHeight="1" x14ac:dyDescent="0.2">
      <c r="B206" s="2"/>
      <c r="C206" s="36"/>
      <c r="D206" s="36"/>
      <c r="E206" s="36"/>
      <c r="F206" s="36"/>
      <c r="G206" s="35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</row>
    <row r="207" spans="2:47" ht="15.75" customHeight="1" x14ac:dyDescent="0.2">
      <c r="B207" s="2"/>
      <c r="C207" s="36"/>
      <c r="D207" s="36"/>
      <c r="E207" s="36"/>
      <c r="F207" s="36"/>
      <c r="G207" s="35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</row>
    <row r="208" spans="2:47" ht="15.75" customHeight="1" x14ac:dyDescent="0.2">
      <c r="B208" s="2"/>
      <c r="C208" s="36"/>
      <c r="D208" s="36"/>
      <c r="E208" s="36"/>
      <c r="F208" s="36"/>
      <c r="G208" s="35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</row>
    <row r="209" spans="2:47" ht="15.75" customHeight="1" x14ac:dyDescent="0.2">
      <c r="B209" s="2"/>
      <c r="C209" s="36"/>
      <c r="D209" s="36"/>
      <c r="E209" s="36"/>
      <c r="F209" s="36"/>
      <c r="G209" s="35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</row>
    <row r="210" spans="2:47" ht="15.75" customHeight="1" x14ac:dyDescent="0.2">
      <c r="B210" s="2"/>
      <c r="C210" s="36"/>
      <c r="D210" s="36"/>
      <c r="E210" s="36"/>
      <c r="F210" s="36"/>
      <c r="G210" s="35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</row>
    <row r="211" spans="2:47" ht="15.75" customHeight="1" x14ac:dyDescent="0.2">
      <c r="B211" s="2"/>
      <c r="C211" s="36"/>
      <c r="D211" s="36"/>
      <c r="E211" s="36"/>
      <c r="F211" s="36"/>
      <c r="G211" s="35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</row>
    <row r="212" spans="2:47" ht="15.75" customHeight="1" x14ac:dyDescent="0.2">
      <c r="B212" s="2"/>
      <c r="C212" s="36"/>
      <c r="D212" s="36"/>
      <c r="E212" s="36"/>
      <c r="F212" s="36"/>
      <c r="G212" s="35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</row>
    <row r="213" spans="2:47" ht="15.75" customHeight="1" x14ac:dyDescent="0.2">
      <c r="B213" s="2"/>
      <c r="C213" s="36"/>
      <c r="D213" s="36"/>
      <c r="E213" s="36"/>
      <c r="F213" s="36"/>
      <c r="G213" s="35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</row>
    <row r="214" spans="2:47" ht="15.75" customHeight="1" x14ac:dyDescent="0.2">
      <c r="B214" s="2"/>
      <c r="C214" s="36"/>
      <c r="D214" s="36"/>
      <c r="E214" s="36"/>
      <c r="F214" s="36"/>
      <c r="G214" s="35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</row>
    <row r="215" spans="2:47" ht="15.75" customHeight="1" x14ac:dyDescent="0.2">
      <c r="B215" s="2"/>
      <c r="C215" s="36"/>
      <c r="D215" s="36"/>
      <c r="E215" s="36"/>
      <c r="F215" s="36"/>
      <c r="G215" s="35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</row>
    <row r="216" spans="2:47" ht="15.75" customHeight="1" x14ac:dyDescent="0.2">
      <c r="B216" s="2"/>
      <c r="C216" s="36"/>
      <c r="D216" s="36"/>
      <c r="E216" s="36"/>
      <c r="F216" s="36"/>
      <c r="G216" s="35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</row>
    <row r="217" spans="2:47" ht="15.75" customHeight="1" x14ac:dyDescent="0.2">
      <c r="B217" s="2"/>
      <c r="C217" s="36"/>
      <c r="D217" s="36"/>
      <c r="E217" s="36"/>
      <c r="F217" s="36"/>
      <c r="G217" s="35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</row>
    <row r="218" spans="2:47" ht="15.75" customHeight="1" x14ac:dyDescent="0.2">
      <c r="B218" s="2"/>
      <c r="C218" s="36"/>
      <c r="D218" s="36"/>
      <c r="E218" s="36"/>
      <c r="F218" s="36"/>
      <c r="G218" s="35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</row>
    <row r="219" spans="2:47" ht="15.75" customHeight="1" x14ac:dyDescent="0.2">
      <c r="B219" s="2"/>
      <c r="C219" s="36"/>
      <c r="D219" s="36"/>
      <c r="E219" s="36"/>
      <c r="F219" s="36"/>
      <c r="G219" s="35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</row>
    <row r="220" spans="2:47" ht="15.75" customHeight="1" x14ac:dyDescent="0.2">
      <c r="B220" s="2"/>
      <c r="C220" s="36"/>
      <c r="D220" s="36"/>
      <c r="E220" s="36"/>
      <c r="F220" s="36"/>
      <c r="G220" s="35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</row>
    <row r="221" spans="2:47" ht="15.75" customHeight="1" x14ac:dyDescent="0.2">
      <c r="B221" s="2"/>
      <c r="C221" s="36"/>
      <c r="D221" s="36"/>
      <c r="E221" s="36"/>
      <c r="F221" s="36"/>
      <c r="G221" s="35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</row>
    <row r="222" spans="2:47" ht="15.75" customHeight="1" x14ac:dyDescent="0.2">
      <c r="B222" s="2"/>
      <c r="C222" s="36"/>
      <c r="D222" s="36"/>
      <c r="E222" s="36"/>
      <c r="F222" s="36"/>
      <c r="G222" s="35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</row>
    <row r="223" spans="2:47" ht="15.75" customHeight="1" x14ac:dyDescent="0.2">
      <c r="B223" s="2"/>
      <c r="C223" s="36"/>
      <c r="D223" s="36"/>
      <c r="E223" s="36"/>
      <c r="F223" s="36"/>
      <c r="G223" s="35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</row>
    <row r="224" spans="2:47" ht="15.75" customHeight="1" x14ac:dyDescent="0.2">
      <c r="B224" s="2"/>
      <c r="C224" s="36"/>
      <c r="D224" s="36"/>
      <c r="E224" s="36"/>
      <c r="F224" s="36"/>
      <c r="G224" s="35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</row>
    <row r="225" spans="2:47" ht="15.75" customHeight="1" x14ac:dyDescent="0.2">
      <c r="B225" s="2"/>
      <c r="C225" s="36"/>
      <c r="D225" s="36"/>
      <c r="E225" s="36"/>
      <c r="F225" s="36"/>
      <c r="G225" s="35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</row>
    <row r="226" spans="2:47" ht="15.75" customHeight="1" x14ac:dyDescent="0.2">
      <c r="B226" s="2"/>
      <c r="C226" s="36"/>
      <c r="D226" s="36"/>
      <c r="E226" s="36"/>
      <c r="F226" s="36"/>
      <c r="G226" s="35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</row>
    <row r="227" spans="2:47" ht="15.75" customHeight="1" x14ac:dyDescent="0.2">
      <c r="B227" s="2"/>
      <c r="C227" s="36"/>
      <c r="D227" s="36"/>
      <c r="E227" s="36"/>
      <c r="F227" s="36"/>
      <c r="G227" s="35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</row>
    <row r="228" spans="2:47" ht="15.75" customHeight="1" x14ac:dyDescent="0.2">
      <c r="B228" s="2"/>
      <c r="C228" s="36"/>
      <c r="D228" s="36"/>
      <c r="E228" s="36"/>
      <c r="F228" s="36"/>
      <c r="G228" s="35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</row>
    <row r="229" spans="2:47" ht="15.75" customHeight="1" x14ac:dyDescent="0.2">
      <c r="B229" s="2"/>
      <c r="C229" s="36"/>
      <c r="D229" s="36"/>
      <c r="E229" s="36"/>
      <c r="F229" s="36"/>
      <c r="G229" s="35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</row>
    <row r="230" spans="2:47" ht="15.75" customHeight="1" x14ac:dyDescent="0.2">
      <c r="B230" s="2"/>
      <c r="C230" s="36"/>
      <c r="D230" s="36"/>
      <c r="E230" s="36"/>
      <c r="F230" s="36"/>
      <c r="G230" s="35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</row>
    <row r="231" spans="2:47" ht="15.75" customHeight="1" x14ac:dyDescent="0.2">
      <c r="B231" s="2"/>
      <c r="C231" s="36"/>
      <c r="D231" s="36"/>
      <c r="E231" s="36"/>
      <c r="F231" s="36"/>
      <c r="G231" s="35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</row>
    <row r="232" spans="2:47" ht="15.75" customHeight="1" x14ac:dyDescent="0.2">
      <c r="B232" s="2"/>
      <c r="C232" s="36"/>
      <c r="D232" s="36"/>
      <c r="E232" s="36"/>
      <c r="F232" s="36"/>
      <c r="G232" s="35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</row>
    <row r="233" spans="2:47" ht="15.75" customHeight="1" x14ac:dyDescent="0.2">
      <c r="B233" s="2"/>
      <c r="C233" s="36"/>
      <c r="D233" s="36"/>
      <c r="E233" s="36"/>
      <c r="F233" s="36"/>
      <c r="G233" s="35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</row>
    <row r="234" spans="2:47" ht="15.75" customHeight="1" x14ac:dyDescent="0.2">
      <c r="B234" s="2"/>
      <c r="C234" s="36"/>
      <c r="D234" s="36"/>
      <c r="E234" s="36"/>
      <c r="F234" s="36"/>
      <c r="G234" s="35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</row>
    <row r="235" spans="2:47" ht="15.75" customHeight="1" x14ac:dyDescent="0.2">
      <c r="B235" s="2"/>
      <c r="C235" s="36"/>
      <c r="D235" s="36"/>
      <c r="E235" s="36"/>
      <c r="F235" s="36"/>
      <c r="G235" s="35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</row>
    <row r="236" spans="2:47" ht="15.75" customHeight="1" x14ac:dyDescent="0.2">
      <c r="B236" s="2"/>
      <c r="C236" s="36"/>
      <c r="D236" s="36"/>
      <c r="E236" s="36"/>
      <c r="F236" s="36"/>
      <c r="G236" s="35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</row>
    <row r="237" spans="2:47" ht="15.75" customHeight="1" x14ac:dyDescent="0.2">
      <c r="B237" s="2"/>
      <c r="C237" s="36"/>
      <c r="D237" s="36"/>
      <c r="E237" s="36"/>
      <c r="F237" s="36"/>
      <c r="G237" s="35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</row>
    <row r="238" spans="2:47" ht="15.75" customHeight="1" x14ac:dyDescent="0.2">
      <c r="B238" s="2"/>
      <c r="C238" s="36"/>
      <c r="D238" s="36"/>
      <c r="E238" s="36"/>
      <c r="F238" s="36"/>
      <c r="G238" s="35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</row>
    <row r="239" spans="2:47" ht="15.75" customHeight="1" x14ac:dyDescent="0.2">
      <c r="B239" s="2"/>
      <c r="C239" s="36"/>
      <c r="D239" s="36"/>
      <c r="E239" s="36"/>
      <c r="F239" s="36"/>
      <c r="G239" s="35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</row>
    <row r="240" spans="2:47" ht="15.75" customHeight="1" x14ac:dyDescent="0.2">
      <c r="B240" s="2"/>
      <c r="C240" s="36"/>
      <c r="D240" s="36"/>
      <c r="E240" s="36"/>
      <c r="F240" s="36"/>
      <c r="G240" s="35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</row>
    <row r="241" spans="2:47" ht="15.75" customHeight="1" x14ac:dyDescent="0.2">
      <c r="B241" s="2"/>
      <c r="C241" s="36"/>
      <c r="D241" s="36"/>
      <c r="E241" s="36"/>
      <c r="F241" s="36"/>
      <c r="G241" s="35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</row>
    <row r="242" spans="2:47" ht="15.75" customHeight="1" x14ac:dyDescent="0.2">
      <c r="B242" s="2"/>
      <c r="C242" s="36"/>
      <c r="D242" s="36"/>
      <c r="E242" s="36"/>
      <c r="F242" s="36"/>
      <c r="G242" s="35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</row>
    <row r="243" spans="2:47" ht="15.75" customHeight="1" x14ac:dyDescent="0.2">
      <c r="B243" s="2"/>
      <c r="C243" s="36"/>
      <c r="D243" s="36"/>
      <c r="E243" s="36"/>
      <c r="F243" s="36"/>
      <c r="G243" s="35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</row>
    <row r="244" spans="2:47" ht="15.75" customHeight="1" x14ac:dyDescent="0.2">
      <c r="B244" s="2"/>
      <c r="C244" s="36"/>
      <c r="D244" s="36"/>
      <c r="E244" s="36"/>
      <c r="F244" s="36"/>
      <c r="G244" s="35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</row>
    <row r="245" spans="2:47" ht="15.75" customHeight="1" x14ac:dyDescent="0.2">
      <c r="B245" s="2"/>
      <c r="C245" s="36"/>
      <c r="D245" s="36"/>
      <c r="E245" s="36"/>
      <c r="F245" s="36"/>
      <c r="G245" s="35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</row>
    <row r="246" spans="2:47" ht="15.75" customHeight="1" x14ac:dyDescent="0.2">
      <c r="B246" s="2"/>
      <c r="C246" s="36"/>
      <c r="D246" s="36"/>
      <c r="E246" s="36"/>
      <c r="F246" s="36"/>
      <c r="G246" s="35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</row>
    <row r="247" spans="2:47" ht="15.75" customHeight="1" x14ac:dyDescent="0.2">
      <c r="B247" s="2"/>
      <c r="C247" s="36"/>
      <c r="D247" s="36"/>
      <c r="E247" s="36"/>
      <c r="F247" s="36"/>
      <c r="G247" s="35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</row>
    <row r="248" spans="2:47" ht="15.75" customHeight="1" x14ac:dyDescent="0.2">
      <c r="B248" s="2"/>
      <c r="C248" s="36"/>
      <c r="D248" s="36"/>
      <c r="E248" s="36"/>
      <c r="F248" s="36"/>
      <c r="G248" s="35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</row>
    <row r="249" spans="2:47" ht="15.75" customHeight="1" x14ac:dyDescent="0.2">
      <c r="B249" s="2"/>
      <c r="C249" s="36"/>
      <c r="D249" s="36"/>
      <c r="E249" s="36"/>
      <c r="F249" s="36"/>
      <c r="G249" s="35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</row>
    <row r="250" spans="2:47" ht="15.75" customHeight="1" x14ac:dyDescent="0.2">
      <c r="B250" s="2"/>
      <c r="C250" s="36"/>
      <c r="D250" s="36"/>
      <c r="E250" s="36"/>
      <c r="F250" s="36"/>
      <c r="G250" s="35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</row>
    <row r="251" spans="2:47" ht="15.75" customHeight="1" x14ac:dyDescent="0.2">
      <c r="B251" s="2"/>
      <c r="C251" s="36"/>
      <c r="D251" s="36"/>
      <c r="E251" s="36"/>
      <c r="F251" s="36"/>
      <c r="G251" s="35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</row>
    <row r="252" spans="2:47" ht="15.75" customHeight="1" x14ac:dyDescent="0.2">
      <c r="B252" s="2"/>
      <c r="C252" s="36"/>
      <c r="D252" s="36"/>
      <c r="E252" s="36"/>
      <c r="F252" s="36"/>
      <c r="G252" s="35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</row>
    <row r="253" spans="2:47" ht="15.75" customHeight="1" x14ac:dyDescent="0.2">
      <c r="B253" s="2"/>
      <c r="C253" s="36"/>
      <c r="D253" s="36"/>
      <c r="E253" s="36"/>
      <c r="F253" s="36"/>
      <c r="G253" s="35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</row>
    <row r="254" spans="2:47" ht="15.75" customHeight="1" x14ac:dyDescent="0.2">
      <c r="B254" s="2"/>
      <c r="C254" s="36"/>
      <c r="D254" s="36"/>
      <c r="E254" s="36"/>
      <c r="F254" s="36"/>
      <c r="G254" s="35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</row>
    <row r="255" spans="2:47" ht="15.75" customHeight="1" x14ac:dyDescent="0.2">
      <c r="B255" s="2"/>
      <c r="C255" s="36"/>
      <c r="D255" s="36"/>
      <c r="E255" s="36"/>
      <c r="F255" s="36"/>
      <c r="G255" s="35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</row>
    <row r="256" spans="2:47" ht="15.75" customHeight="1" x14ac:dyDescent="0.2">
      <c r="B256" s="2"/>
      <c r="C256" s="36"/>
      <c r="D256" s="36"/>
      <c r="E256" s="36"/>
      <c r="F256" s="36"/>
      <c r="G256" s="35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</row>
    <row r="257" spans="2:47" ht="15.75" customHeight="1" x14ac:dyDescent="0.2">
      <c r="B257" s="2"/>
      <c r="C257" s="36"/>
      <c r="D257" s="36"/>
      <c r="E257" s="36"/>
      <c r="F257" s="36"/>
      <c r="G257" s="35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</row>
    <row r="258" spans="2:47" ht="15.75" customHeight="1" x14ac:dyDescent="0.2">
      <c r="B258" s="2"/>
      <c r="C258" s="36"/>
      <c r="D258" s="36"/>
      <c r="E258" s="36"/>
      <c r="F258" s="36"/>
      <c r="G258" s="35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</row>
    <row r="259" spans="2:47" ht="15.75" customHeight="1" x14ac:dyDescent="0.2">
      <c r="B259" s="2"/>
      <c r="C259" s="36"/>
      <c r="D259" s="36"/>
      <c r="E259" s="36"/>
      <c r="F259" s="36"/>
      <c r="G259" s="35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</row>
    <row r="260" spans="2:47" ht="15.75" customHeight="1" x14ac:dyDescent="0.2">
      <c r="B260" s="2"/>
      <c r="C260" s="36"/>
      <c r="D260" s="36"/>
      <c r="E260" s="36"/>
      <c r="F260" s="36"/>
      <c r="G260" s="35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</row>
    <row r="261" spans="2:47" ht="15.75" customHeight="1" x14ac:dyDescent="0.2">
      <c r="B261" s="2"/>
      <c r="C261" s="36"/>
      <c r="D261" s="36"/>
      <c r="E261" s="36"/>
      <c r="F261" s="36"/>
      <c r="G261" s="35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</row>
    <row r="262" spans="2:47" ht="15.75" customHeight="1" x14ac:dyDescent="0.2">
      <c r="B262" s="2"/>
      <c r="C262" s="36"/>
      <c r="D262" s="36"/>
      <c r="E262" s="36"/>
      <c r="F262" s="36"/>
      <c r="G262" s="35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</row>
    <row r="263" spans="2:47" ht="15.75" customHeight="1" x14ac:dyDescent="0.2">
      <c r="B263" s="2"/>
      <c r="C263" s="36"/>
      <c r="D263" s="36"/>
      <c r="E263" s="36"/>
      <c r="F263" s="36"/>
      <c r="G263" s="35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</row>
    <row r="264" spans="2:47" ht="15.75" customHeight="1" x14ac:dyDescent="0.2">
      <c r="B264" s="2"/>
      <c r="C264" s="36"/>
      <c r="D264" s="36"/>
      <c r="E264" s="36"/>
      <c r="F264" s="36"/>
      <c r="G264" s="35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</row>
    <row r="265" spans="2:47" ht="15.75" customHeight="1" x14ac:dyDescent="0.2">
      <c r="B265" s="2"/>
      <c r="C265" s="36"/>
      <c r="D265" s="36"/>
      <c r="E265" s="36"/>
      <c r="F265" s="36"/>
      <c r="G265" s="35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</row>
    <row r="266" spans="2:47" ht="15.75" customHeight="1" x14ac:dyDescent="0.2">
      <c r="B266" s="2"/>
      <c r="C266" s="36"/>
      <c r="D266" s="36"/>
      <c r="E266" s="36"/>
      <c r="F266" s="36"/>
      <c r="G266" s="35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</row>
    <row r="267" spans="2:47" ht="15.75" customHeight="1" x14ac:dyDescent="0.2">
      <c r="B267" s="2"/>
      <c r="C267" s="36"/>
      <c r="D267" s="36"/>
      <c r="E267" s="36"/>
      <c r="F267" s="36"/>
      <c r="G267" s="35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</row>
    <row r="268" spans="2:47" ht="15.75" customHeight="1" x14ac:dyDescent="0.2">
      <c r="B268" s="2"/>
      <c r="C268" s="36"/>
      <c r="D268" s="36"/>
      <c r="E268" s="36"/>
      <c r="F268" s="36"/>
      <c r="G268" s="35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</row>
    <row r="269" spans="2:47" ht="15.75" customHeight="1" x14ac:dyDescent="0.2">
      <c r="B269" s="2"/>
      <c r="C269" s="36"/>
      <c r="D269" s="36"/>
      <c r="E269" s="36"/>
      <c r="F269" s="36"/>
      <c r="G269" s="35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</row>
    <row r="270" spans="2:47" ht="15.75" customHeight="1" x14ac:dyDescent="0.2">
      <c r="B270" s="2"/>
      <c r="C270" s="36"/>
      <c r="D270" s="36"/>
      <c r="E270" s="36"/>
      <c r="F270" s="36"/>
      <c r="G270" s="35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</row>
    <row r="271" spans="2:47" ht="15.75" customHeight="1" x14ac:dyDescent="0.2">
      <c r="B271" s="2"/>
      <c r="C271" s="36"/>
      <c r="D271" s="36"/>
      <c r="E271" s="36"/>
      <c r="F271" s="36"/>
      <c r="G271" s="35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</row>
    <row r="272" spans="2:47" ht="15.75" customHeight="1" x14ac:dyDescent="0.2">
      <c r="B272" s="2"/>
      <c r="C272" s="36"/>
      <c r="D272" s="36"/>
      <c r="E272" s="36"/>
      <c r="F272" s="36"/>
      <c r="G272" s="35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</row>
    <row r="273" spans="2:47" ht="15.75" customHeight="1" x14ac:dyDescent="0.2">
      <c r="B273" s="2"/>
      <c r="C273" s="36"/>
      <c r="D273" s="36"/>
      <c r="E273" s="36"/>
      <c r="F273" s="36"/>
      <c r="G273" s="35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</row>
    <row r="274" spans="2:47" ht="15.75" customHeight="1" x14ac:dyDescent="0.2">
      <c r="B274" s="2"/>
      <c r="C274" s="36"/>
      <c r="D274" s="36"/>
      <c r="E274" s="36"/>
      <c r="F274" s="36"/>
      <c r="G274" s="35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</row>
    <row r="275" spans="2:47" ht="15.75" customHeight="1" x14ac:dyDescent="0.2">
      <c r="B275" s="2"/>
      <c r="C275" s="36"/>
      <c r="D275" s="36"/>
      <c r="E275" s="36"/>
      <c r="F275" s="36"/>
      <c r="G275" s="35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</row>
    <row r="276" spans="2:47" ht="15.75" customHeight="1" x14ac:dyDescent="0.2">
      <c r="B276" s="2"/>
      <c r="C276" s="36"/>
      <c r="D276" s="36"/>
      <c r="E276" s="36"/>
      <c r="F276" s="36"/>
      <c r="G276" s="35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</row>
    <row r="277" spans="2:47" ht="15.75" customHeight="1" x14ac:dyDescent="0.2">
      <c r="B277" s="2"/>
      <c r="C277" s="36"/>
      <c r="D277" s="36"/>
      <c r="E277" s="36"/>
      <c r="F277" s="36"/>
      <c r="G277" s="35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</row>
    <row r="278" spans="2:47" ht="15.75" customHeight="1" x14ac:dyDescent="0.2">
      <c r="B278" s="2"/>
      <c r="C278" s="36"/>
      <c r="D278" s="36"/>
      <c r="E278" s="36"/>
      <c r="F278" s="36"/>
      <c r="G278" s="35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</row>
    <row r="279" spans="2:47" ht="15.75" customHeight="1" x14ac:dyDescent="0.2">
      <c r="B279" s="2"/>
      <c r="C279" s="36"/>
      <c r="D279" s="36"/>
      <c r="E279" s="36"/>
      <c r="F279" s="36"/>
      <c r="G279" s="35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</row>
    <row r="280" spans="2:47" ht="15.75" customHeight="1" x14ac:dyDescent="0.2">
      <c r="B280" s="2"/>
      <c r="C280" s="36"/>
      <c r="D280" s="36"/>
      <c r="E280" s="36"/>
      <c r="F280" s="36"/>
      <c r="G280" s="35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</row>
    <row r="281" spans="2:47" ht="15.75" customHeight="1" x14ac:dyDescent="0.2">
      <c r="B281" s="2"/>
      <c r="C281" s="36"/>
      <c r="D281" s="36"/>
      <c r="E281" s="36"/>
      <c r="F281" s="36"/>
      <c r="G281" s="35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</row>
    <row r="282" spans="2:47" ht="15.75" customHeight="1" x14ac:dyDescent="0.2">
      <c r="B282" s="2"/>
      <c r="C282" s="36"/>
      <c r="D282" s="36"/>
      <c r="E282" s="36"/>
      <c r="F282" s="36"/>
      <c r="G282" s="35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</row>
    <row r="283" spans="2:47" ht="15.75" customHeight="1" x14ac:dyDescent="0.2">
      <c r="B283" s="2"/>
      <c r="C283" s="36"/>
      <c r="D283" s="36"/>
      <c r="E283" s="36"/>
      <c r="F283" s="36"/>
      <c r="G283" s="35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</row>
    <row r="284" spans="2:47" ht="15.75" customHeight="1" x14ac:dyDescent="0.2">
      <c r="B284" s="2"/>
      <c r="C284" s="36"/>
      <c r="D284" s="36"/>
      <c r="E284" s="36"/>
      <c r="F284" s="36"/>
      <c r="G284" s="35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</row>
    <row r="285" spans="2:47" ht="15.75" customHeight="1" x14ac:dyDescent="0.2">
      <c r="B285" s="2"/>
      <c r="C285" s="36"/>
      <c r="D285" s="36"/>
      <c r="E285" s="36"/>
      <c r="F285" s="36"/>
      <c r="G285" s="35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</row>
    <row r="286" spans="2:47" ht="15.75" customHeight="1" x14ac:dyDescent="0.2">
      <c r="B286" s="2"/>
      <c r="C286" s="36"/>
      <c r="D286" s="36"/>
      <c r="E286" s="36"/>
      <c r="F286" s="36"/>
      <c r="G286" s="35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</row>
    <row r="287" spans="2:47" ht="15.75" customHeight="1" x14ac:dyDescent="0.2">
      <c r="B287" s="2"/>
      <c r="C287" s="36"/>
      <c r="D287" s="36"/>
      <c r="E287" s="36"/>
      <c r="F287" s="36"/>
      <c r="G287" s="35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</row>
    <row r="288" spans="2:47" ht="15.75" customHeight="1" x14ac:dyDescent="0.2">
      <c r="B288" s="2"/>
      <c r="C288" s="36"/>
      <c r="D288" s="36"/>
      <c r="E288" s="36"/>
      <c r="F288" s="36"/>
      <c r="G288" s="35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</row>
    <row r="289" spans="2:47" ht="15.75" customHeight="1" x14ac:dyDescent="0.2">
      <c r="B289" s="2"/>
      <c r="C289" s="36"/>
      <c r="D289" s="36"/>
      <c r="E289" s="36"/>
      <c r="F289" s="36"/>
      <c r="G289" s="35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</row>
    <row r="290" spans="2:47" ht="15.75" customHeight="1" x14ac:dyDescent="0.2">
      <c r="B290" s="2"/>
      <c r="C290" s="36"/>
      <c r="D290" s="36"/>
      <c r="E290" s="36"/>
      <c r="F290" s="36"/>
      <c r="G290" s="35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</row>
    <row r="291" spans="2:47" ht="15.75" customHeight="1" x14ac:dyDescent="0.2">
      <c r="B291" s="2"/>
      <c r="C291" s="36"/>
      <c r="D291" s="36"/>
      <c r="E291" s="36"/>
      <c r="F291" s="36"/>
      <c r="G291" s="35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</row>
    <row r="292" spans="2:47" ht="15.75" customHeight="1" x14ac:dyDescent="0.2">
      <c r="B292" s="2"/>
      <c r="C292" s="36"/>
      <c r="D292" s="36"/>
      <c r="E292" s="36"/>
      <c r="F292" s="36"/>
      <c r="G292" s="35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</row>
    <row r="293" spans="2:47" ht="15.75" customHeight="1" x14ac:dyDescent="0.2">
      <c r="B293" s="2"/>
      <c r="C293" s="36"/>
      <c r="D293" s="36"/>
      <c r="E293" s="36"/>
      <c r="F293" s="36"/>
      <c r="G293" s="35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</row>
    <row r="294" spans="2:47" ht="15.75" customHeight="1" x14ac:dyDescent="0.2">
      <c r="B294" s="2"/>
      <c r="C294" s="36"/>
      <c r="D294" s="36"/>
      <c r="E294" s="36"/>
      <c r="F294" s="36"/>
      <c r="G294" s="35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</row>
    <row r="295" spans="2:47" ht="15.75" customHeight="1" x14ac:dyDescent="0.2">
      <c r="B295" s="2"/>
      <c r="C295" s="36"/>
      <c r="D295" s="36"/>
      <c r="E295" s="36"/>
      <c r="F295" s="36"/>
      <c r="G295" s="35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</row>
    <row r="296" spans="2:47" ht="15.75" customHeight="1" x14ac:dyDescent="0.2">
      <c r="B296" s="2"/>
      <c r="C296" s="36"/>
      <c r="D296" s="36"/>
      <c r="E296" s="36"/>
      <c r="F296" s="36"/>
      <c r="G296" s="35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</row>
    <row r="297" spans="2:47" ht="15.75" customHeight="1" x14ac:dyDescent="0.2">
      <c r="B297" s="2"/>
      <c r="C297" s="36"/>
      <c r="D297" s="36"/>
      <c r="E297" s="36"/>
      <c r="F297" s="36"/>
      <c r="G297" s="35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</row>
    <row r="298" spans="2:47" ht="15.75" customHeight="1" x14ac:dyDescent="0.2">
      <c r="B298" s="2"/>
      <c r="C298" s="36"/>
      <c r="D298" s="36"/>
      <c r="E298" s="36"/>
      <c r="F298" s="36"/>
      <c r="G298" s="35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</row>
    <row r="299" spans="2:47" ht="15.75" customHeight="1" x14ac:dyDescent="0.2">
      <c r="B299" s="2"/>
      <c r="C299" s="36"/>
      <c r="D299" s="36"/>
      <c r="E299" s="36"/>
      <c r="F299" s="36"/>
      <c r="G299" s="35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</row>
    <row r="300" spans="2:47" ht="15.75" customHeight="1" x14ac:dyDescent="0.2">
      <c r="B300" s="2"/>
      <c r="C300" s="36"/>
      <c r="D300" s="36"/>
      <c r="E300" s="36"/>
      <c r="F300" s="36"/>
      <c r="G300" s="35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</row>
    <row r="301" spans="2:47" ht="15.75" customHeight="1" x14ac:dyDescent="0.2">
      <c r="B301" s="2"/>
      <c r="C301" s="36"/>
      <c r="D301" s="36"/>
      <c r="E301" s="36"/>
      <c r="F301" s="36"/>
      <c r="G301" s="35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</row>
    <row r="302" spans="2:47" ht="15.75" customHeight="1" x14ac:dyDescent="0.2">
      <c r="B302" s="2"/>
      <c r="C302" s="36"/>
      <c r="D302" s="36"/>
      <c r="E302" s="36"/>
      <c r="F302" s="36"/>
      <c r="G302" s="35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</row>
    <row r="303" spans="2:47" ht="15.75" customHeight="1" x14ac:dyDescent="0.2">
      <c r="B303" s="2"/>
      <c r="C303" s="36"/>
      <c r="D303" s="36"/>
      <c r="E303" s="36"/>
      <c r="F303" s="36"/>
      <c r="G303" s="35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</row>
    <row r="304" spans="2:47" ht="15.75" customHeight="1" x14ac:dyDescent="0.2">
      <c r="B304" s="2"/>
      <c r="C304" s="36"/>
      <c r="D304" s="36"/>
      <c r="E304" s="36"/>
      <c r="F304" s="36"/>
      <c r="G304" s="35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</row>
    <row r="305" spans="2:47" ht="15.75" customHeight="1" x14ac:dyDescent="0.2">
      <c r="B305" s="2"/>
      <c r="C305" s="36"/>
      <c r="D305" s="36"/>
      <c r="E305" s="36"/>
      <c r="F305" s="36"/>
      <c r="G305" s="35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</row>
    <row r="306" spans="2:47" ht="15.75" customHeight="1" x14ac:dyDescent="0.2">
      <c r="B306" s="2"/>
      <c r="C306" s="36"/>
      <c r="D306" s="36"/>
      <c r="E306" s="36"/>
      <c r="F306" s="36"/>
      <c r="G306" s="35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</row>
    <row r="307" spans="2:47" ht="15.75" customHeight="1" x14ac:dyDescent="0.2">
      <c r="B307" s="2"/>
      <c r="C307" s="36"/>
      <c r="D307" s="36"/>
      <c r="E307" s="36"/>
      <c r="F307" s="36"/>
      <c r="G307" s="35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</row>
    <row r="308" spans="2:47" ht="15.75" customHeight="1" x14ac:dyDescent="0.2">
      <c r="B308" s="2"/>
      <c r="C308" s="36"/>
      <c r="D308" s="36"/>
      <c r="E308" s="36"/>
      <c r="F308" s="36"/>
      <c r="G308" s="35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</row>
    <row r="309" spans="2:47" ht="15.75" customHeight="1" x14ac:dyDescent="0.2">
      <c r="B309" s="2"/>
      <c r="C309" s="36"/>
      <c r="D309" s="36"/>
      <c r="E309" s="36"/>
      <c r="F309" s="36"/>
      <c r="G309" s="35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</row>
    <row r="310" spans="2:47" ht="15.75" customHeight="1" x14ac:dyDescent="0.2">
      <c r="B310" s="2"/>
      <c r="C310" s="36"/>
      <c r="D310" s="36"/>
      <c r="E310" s="36"/>
      <c r="F310" s="36"/>
      <c r="G310" s="35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</row>
    <row r="311" spans="2:47" ht="15.75" customHeight="1" x14ac:dyDescent="0.2">
      <c r="B311" s="2"/>
      <c r="C311" s="36"/>
      <c r="D311" s="36"/>
      <c r="E311" s="36"/>
      <c r="F311" s="36"/>
      <c r="G311" s="35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</row>
    <row r="312" spans="2:47" ht="15.75" customHeight="1" x14ac:dyDescent="0.2">
      <c r="B312" s="2"/>
      <c r="C312" s="36"/>
      <c r="D312" s="36"/>
      <c r="E312" s="36"/>
      <c r="F312" s="36"/>
      <c r="G312" s="35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</row>
    <row r="313" spans="2:47" ht="15.75" customHeight="1" x14ac:dyDescent="0.2">
      <c r="B313" s="2"/>
      <c r="C313" s="36"/>
      <c r="D313" s="36"/>
      <c r="E313" s="36"/>
      <c r="F313" s="36"/>
      <c r="G313" s="35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</row>
    <row r="314" spans="2:47" ht="15.75" customHeight="1" x14ac:dyDescent="0.2">
      <c r="B314" s="2"/>
      <c r="C314" s="36"/>
      <c r="D314" s="36"/>
      <c r="E314" s="36"/>
      <c r="F314" s="36"/>
      <c r="G314" s="35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</row>
    <row r="315" spans="2:47" ht="15.75" customHeight="1" x14ac:dyDescent="0.2">
      <c r="B315" s="2"/>
      <c r="C315" s="36"/>
      <c r="D315" s="36"/>
      <c r="E315" s="36"/>
      <c r="F315" s="36"/>
      <c r="G315" s="35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</row>
    <row r="316" spans="2:47" ht="15.75" customHeight="1" x14ac:dyDescent="0.2">
      <c r="B316" s="2"/>
      <c r="C316" s="36"/>
      <c r="D316" s="36"/>
      <c r="E316" s="36"/>
      <c r="F316" s="36"/>
      <c r="G316" s="35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</row>
    <row r="317" spans="2:47" ht="15.75" customHeight="1" x14ac:dyDescent="0.2">
      <c r="B317" s="2"/>
      <c r="C317" s="36"/>
      <c r="D317" s="36"/>
      <c r="E317" s="36"/>
      <c r="F317" s="36"/>
      <c r="G317" s="35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</row>
    <row r="318" spans="2:47" ht="15.75" customHeight="1" x14ac:dyDescent="0.2">
      <c r="B318" s="2"/>
      <c r="C318" s="36"/>
      <c r="D318" s="36"/>
      <c r="E318" s="36"/>
      <c r="F318" s="36"/>
      <c r="G318" s="35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</row>
    <row r="319" spans="2:47" ht="15.75" customHeight="1" x14ac:dyDescent="0.2">
      <c r="B319" s="2"/>
      <c r="C319" s="36"/>
      <c r="D319" s="36"/>
      <c r="E319" s="36"/>
      <c r="F319" s="36"/>
      <c r="G319" s="35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</row>
    <row r="320" spans="2:47" ht="15.75" customHeight="1" x14ac:dyDescent="0.2">
      <c r="B320" s="2"/>
      <c r="C320" s="36"/>
      <c r="D320" s="36"/>
      <c r="E320" s="36"/>
      <c r="F320" s="36"/>
      <c r="G320" s="35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</row>
    <row r="321" spans="2:47" ht="15.75" customHeight="1" x14ac:dyDescent="0.2">
      <c r="B321" s="2"/>
      <c r="C321" s="36"/>
      <c r="D321" s="36"/>
      <c r="E321" s="36"/>
      <c r="F321" s="36"/>
      <c r="G321" s="35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</row>
    <row r="322" spans="2:47" ht="15.75" customHeight="1" x14ac:dyDescent="0.2">
      <c r="B322" s="2"/>
      <c r="C322" s="36"/>
      <c r="D322" s="36"/>
      <c r="E322" s="36"/>
      <c r="F322" s="36"/>
      <c r="G322" s="35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</row>
    <row r="323" spans="2:47" ht="15.75" customHeight="1" x14ac:dyDescent="0.2">
      <c r="B323" s="2"/>
      <c r="C323" s="36"/>
      <c r="D323" s="36"/>
      <c r="E323" s="36"/>
      <c r="F323" s="36"/>
      <c r="G323" s="35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</row>
    <row r="324" spans="2:47" ht="15.75" customHeight="1" x14ac:dyDescent="0.2">
      <c r="B324" s="2"/>
      <c r="C324" s="36"/>
      <c r="D324" s="36"/>
      <c r="E324" s="36"/>
      <c r="F324" s="36"/>
      <c r="G324" s="35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</row>
    <row r="325" spans="2:47" ht="15.75" customHeight="1" x14ac:dyDescent="0.2">
      <c r="B325" s="2"/>
      <c r="C325" s="36"/>
      <c r="D325" s="36"/>
      <c r="E325" s="36"/>
      <c r="F325" s="36"/>
      <c r="G325" s="35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</row>
    <row r="326" spans="2:47" ht="15.75" customHeight="1" x14ac:dyDescent="0.2">
      <c r="B326" s="2"/>
      <c r="C326" s="36"/>
      <c r="D326" s="36"/>
      <c r="E326" s="36"/>
      <c r="F326" s="36"/>
      <c r="G326" s="35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</row>
    <row r="327" spans="2:47" ht="15.75" customHeight="1" x14ac:dyDescent="0.2">
      <c r="B327" s="2"/>
      <c r="C327" s="36"/>
      <c r="D327" s="36"/>
      <c r="E327" s="36"/>
      <c r="F327" s="36"/>
      <c r="G327" s="35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</row>
    <row r="328" spans="2:47" ht="15.75" customHeight="1" x14ac:dyDescent="0.2">
      <c r="B328" s="2"/>
      <c r="C328" s="36"/>
      <c r="D328" s="36"/>
      <c r="E328" s="36"/>
      <c r="F328" s="36"/>
      <c r="G328" s="35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</row>
    <row r="329" spans="2:47" ht="15.75" customHeight="1" x14ac:dyDescent="0.2">
      <c r="B329" s="2"/>
      <c r="C329" s="36"/>
      <c r="D329" s="36"/>
      <c r="E329" s="36"/>
      <c r="F329" s="36"/>
      <c r="G329" s="35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</row>
    <row r="330" spans="2:47" ht="15.75" customHeight="1" x14ac:dyDescent="0.2">
      <c r="B330" s="2"/>
      <c r="C330" s="36"/>
      <c r="D330" s="36"/>
      <c r="E330" s="36"/>
      <c r="F330" s="36"/>
      <c r="G330" s="35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</row>
    <row r="331" spans="2:47" ht="15.75" customHeight="1" x14ac:dyDescent="0.2">
      <c r="B331" s="2"/>
      <c r="C331" s="36"/>
      <c r="D331" s="36"/>
      <c r="E331" s="36"/>
      <c r="F331" s="36"/>
      <c r="G331" s="35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</row>
    <row r="332" spans="2:47" ht="15.75" customHeight="1" x14ac:dyDescent="0.2">
      <c r="B332" s="2"/>
      <c r="C332" s="36"/>
      <c r="D332" s="36"/>
      <c r="E332" s="36"/>
      <c r="F332" s="36"/>
      <c r="G332" s="35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</row>
    <row r="333" spans="2:47" ht="15.75" customHeight="1" x14ac:dyDescent="0.2">
      <c r="B333" s="2"/>
      <c r="C333" s="36"/>
      <c r="D333" s="36"/>
      <c r="E333" s="36"/>
      <c r="F333" s="36"/>
      <c r="G333" s="35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</row>
    <row r="334" spans="2:47" ht="15.75" customHeight="1" x14ac:dyDescent="0.2">
      <c r="B334" s="2"/>
      <c r="C334" s="36"/>
      <c r="D334" s="36"/>
      <c r="E334" s="36"/>
      <c r="F334" s="36"/>
      <c r="G334" s="35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</row>
    <row r="335" spans="2:47" ht="15.75" customHeight="1" x14ac:dyDescent="0.2">
      <c r="B335" s="2"/>
      <c r="C335" s="36"/>
      <c r="D335" s="36"/>
      <c r="E335" s="36"/>
      <c r="F335" s="36"/>
      <c r="G335" s="35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</row>
    <row r="336" spans="2:47" ht="15.75" customHeight="1" x14ac:dyDescent="0.2">
      <c r="B336" s="2"/>
      <c r="C336" s="36"/>
      <c r="D336" s="36"/>
      <c r="E336" s="36"/>
      <c r="F336" s="36"/>
      <c r="G336" s="35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</row>
    <row r="337" spans="2:47" ht="15.75" customHeight="1" x14ac:dyDescent="0.2">
      <c r="B337" s="2"/>
      <c r="C337" s="36"/>
      <c r="D337" s="36"/>
      <c r="E337" s="36"/>
      <c r="F337" s="36"/>
      <c r="G337" s="35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</row>
    <row r="338" spans="2:47" ht="15.75" customHeight="1" x14ac:dyDescent="0.2">
      <c r="B338" s="2"/>
      <c r="C338" s="36"/>
      <c r="D338" s="36"/>
      <c r="E338" s="36"/>
      <c r="F338" s="36"/>
      <c r="G338" s="35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</row>
    <row r="339" spans="2:47" ht="15.75" customHeight="1" x14ac:dyDescent="0.2">
      <c r="B339" s="2"/>
      <c r="C339" s="36"/>
      <c r="D339" s="36"/>
      <c r="E339" s="36"/>
      <c r="F339" s="36"/>
      <c r="G339" s="35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</row>
    <row r="340" spans="2:47" ht="15.75" customHeight="1" x14ac:dyDescent="0.2">
      <c r="B340" s="2"/>
      <c r="C340" s="36"/>
      <c r="D340" s="36"/>
      <c r="E340" s="36"/>
      <c r="F340" s="36"/>
      <c r="G340" s="35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</row>
    <row r="341" spans="2:47" ht="15.75" customHeight="1" x14ac:dyDescent="0.2">
      <c r="B341" s="2"/>
      <c r="C341" s="36"/>
      <c r="D341" s="36"/>
      <c r="E341" s="36"/>
      <c r="F341" s="36"/>
      <c r="G341" s="35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</row>
    <row r="342" spans="2:47" ht="15.75" customHeight="1" x14ac:dyDescent="0.2">
      <c r="B342" s="2"/>
      <c r="C342" s="36"/>
      <c r="D342" s="36"/>
      <c r="E342" s="36"/>
      <c r="F342" s="36"/>
      <c r="G342" s="35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</row>
    <row r="343" spans="2:47" ht="15.75" customHeight="1" x14ac:dyDescent="0.2">
      <c r="B343" s="2"/>
      <c r="C343" s="36"/>
      <c r="D343" s="36"/>
      <c r="E343" s="36"/>
      <c r="F343" s="36"/>
      <c r="G343" s="35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</row>
    <row r="344" spans="2:47" ht="15.75" customHeight="1" x14ac:dyDescent="0.2">
      <c r="B344" s="2"/>
      <c r="C344" s="36"/>
      <c r="D344" s="36"/>
      <c r="E344" s="36"/>
      <c r="F344" s="36"/>
      <c r="G344" s="35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</row>
    <row r="345" spans="2:47" ht="15.75" customHeight="1" x14ac:dyDescent="0.2">
      <c r="B345" s="2"/>
      <c r="C345" s="36"/>
      <c r="D345" s="36"/>
      <c r="E345" s="36"/>
      <c r="F345" s="36"/>
      <c r="G345" s="35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</row>
    <row r="346" spans="2:47" ht="15.75" customHeight="1" x14ac:dyDescent="0.2">
      <c r="B346" s="2"/>
      <c r="C346" s="36"/>
      <c r="D346" s="36"/>
      <c r="E346" s="36"/>
      <c r="F346" s="36"/>
      <c r="G346" s="35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</row>
    <row r="347" spans="2:47" ht="15.75" customHeight="1" x14ac:dyDescent="0.2">
      <c r="B347" s="2"/>
      <c r="C347" s="36"/>
      <c r="D347" s="36"/>
      <c r="E347" s="36"/>
      <c r="F347" s="36"/>
      <c r="G347" s="35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</row>
    <row r="348" spans="2:47" ht="15.75" customHeight="1" x14ac:dyDescent="0.2">
      <c r="B348" s="2"/>
      <c r="C348" s="36"/>
      <c r="D348" s="36"/>
      <c r="E348" s="36"/>
      <c r="F348" s="36"/>
      <c r="G348" s="35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</row>
    <row r="349" spans="2:47" ht="15.75" customHeight="1" x14ac:dyDescent="0.2">
      <c r="B349" s="2"/>
      <c r="C349" s="36"/>
      <c r="D349" s="36"/>
      <c r="E349" s="36"/>
      <c r="F349" s="36"/>
      <c r="G349" s="35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</row>
    <row r="350" spans="2:47" ht="15.75" customHeight="1" x14ac:dyDescent="0.2">
      <c r="B350" s="2"/>
      <c r="C350" s="36"/>
      <c r="D350" s="36"/>
      <c r="E350" s="36"/>
      <c r="F350" s="36"/>
      <c r="G350" s="35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</row>
    <row r="351" spans="2:47" ht="15.75" customHeight="1" x14ac:dyDescent="0.2">
      <c r="B351" s="2"/>
      <c r="C351" s="36"/>
      <c r="D351" s="36"/>
      <c r="E351" s="36"/>
      <c r="F351" s="36"/>
      <c r="G351" s="35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</row>
    <row r="352" spans="2:47" ht="15.75" customHeight="1" x14ac:dyDescent="0.2">
      <c r="B352" s="2"/>
      <c r="C352" s="36"/>
      <c r="D352" s="36"/>
      <c r="E352" s="36"/>
      <c r="F352" s="36"/>
      <c r="G352" s="35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</row>
    <row r="353" spans="2:47" ht="15.75" customHeight="1" x14ac:dyDescent="0.2">
      <c r="B353" s="2"/>
      <c r="C353" s="36"/>
      <c r="D353" s="36"/>
      <c r="E353" s="36"/>
      <c r="F353" s="36"/>
      <c r="G353" s="35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</row>
    <row r="354" spans="2:47" ht="15.75" customHeight="1" x14ac:dyDescent="0.2">
      <c r="B354" s="2"/>
      <c r="C354" s="36"/>
      <c r="D354" s="36"/>
      <c r="E354" s="36"/>
      <c r="F354" s="36"/>
      <c r="G354" s="35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</row>
    <row r="355" spans="2:47" ht="15.75" customHeight="1" x14ac:dyDescent="0.2">
      <c r="B355" s="2"/>
      <c r="C355" s="36"/>
      <c r="D355" s="36"/>
      <c r="E355" s="36"/>
      <c r="F355" s="36"/>
      <c r="G355" s="35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</row>
    <row r="356" spans="2:47" ht="15.75" customHeight="1" x14ac:dyDescent="0.2">
      <c r="B356" s="2"/>
      <c r="C356" s="36"/>
      <c r="D356" s="36"/>
      <c r="E356" s="36"/>
      <c r="F356" s="36"/>
      <c r="G356" s="35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</row>
    <row r="357" spans="2:47" ht="15.75" customHeight="1" x14ac:dyDescent="0.2">
      <c r="B357" s="2"/>
      <c r="C357" s="36"/>
      <c r="D357" s="36"/>
      <c r="E357" s="36"/>
      <c r="F357" s="36"/>
      <c r="G357" s="35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</row>
    <row r="358" spans="2:47" ht="15.75" customHeight="1" x14ac:dyDescent="0.2">
      <c r="B358" s="2"/>
      <c r="C358" s="36"/>
      <c r="D358" s="36"/>
      <c r="E358" s="36"/>
      <c r="F358" s="36"/>
      <c r="G358" s="35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</row>
    <row r="359" spans="2:47" ht="15.75" customHeight="1" x14ac:dyDescent="0.2">
      <c r="B359" s="2"/>
      <c r="C359" s="36"/>
      <c r="D359" s="36"/>
      <c r="E359" s="36"/>
      <c r="F359" s="36"/>
      <c r="G359" s="35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</row>
    <row r="360" spans="2:47" ht="15.75" customHeight="1" x14ac:dyDescent="0.2">
      <c r="B360" s="2"/>
      <c r="C360" s="36"/>
      <c r="D360" s="36"/>
      <c r="E360" s="36"/>
      <c r="F360" s="36"/>
      <c r="G360" s="35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</row>
    <row r="361" spans="2:47" ht="15.75" customHeight="1" x14ac:dyDescent="0.2">
      <c r="B361" s="2"/>
      <c r="C361" s="36"/>
      <c r="D361" s="36"/>
      <c r="E361" s="36"/>
      <c r="F361" s="36"/>
      <c r="G361" s="35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</row>
    <row r="362" spans="2:47" ht="15.75" customHeight="1" x14ac:dyDescent="0.2">
      <c r="B362" s="2"/>
      <c r="C362" s="36"/>
      <c r="D362" s="36"/>
      <c r="E362" s="36"/>
      <c r="F362" s="36"/>
      <c r="G362" s="35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</row>
    <row r="363" spans="2:47" ht="15.75" customHeight="1" x14ac:dyDescent="0.2">
      <c r="B363" s="2"/>
      <c r="C363" s="36"/>
      <c r="D363" s="36"/>
      <c r="E363" s="36"/>
      <c r="F363" s="36"/>
      <c r="G363" s="35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</row>
    <row r="364" spans="2:47" ht="15.75" customHeight="1" x14ac:dyDescent="0.2">
      <c r="B364" s="2"/>
      <c r="C364" s="36"/>
      <c r="D364" s="36"/>
      <c r="E364" s="36"/>
      <c r="F364" s="36"/>
      <c r="G364" s="35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</row>
    <row r="365" spans="2:47" ht="15.75" customHeight="1" x14ac:dyDescent="0.2">
      <c r="B365" s="2"/>
      <c r="C365" s="36"/>
      <c r="D365" s="36"/>
      <c r="E365" s="36"/>
      <c r="F365" s="36"/>
      <c r="G365" s="35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</row>
    <row r="366" spans="2:47" ht="15.75" customHeight="1" x14ac:dyDescent="0.2">
      <c r="B366" s="2"/>
      <c r="C366" s="36"/>
      <c r="D366" s="36"/>
      <c r="E366" s="36"/>
      <c r="F366" s="36"/>
      <c r="G366" s="35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</row>
    <row r="367" spans="2:47" ht="15.75" customHeight="1" x14ac:dyDescent="0.2">
      <c r="B367" s="2"/>
      <c r="C367" s="36"/>
      <c r="D367" s="36"/>
      <c r="E367" s="36"/>
      <c r="F367" s="36"/>
      <c r="G367" s="35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</row>
    <row r="368" spans="2:47" ht="15.75" customHeight="1" x14ac:dyDescent="0.2">
      <c r="B368" s="2"/>
      <c r="C368" s="36"/>
      <c r="D368" s="36"/>
      <c r="E368" s="36"/>
      <c r="F368" s="36"/>
      <c r="G368" s="35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</row>
    <row r="369" spans="2:47" ht="15.75" customHeight="1" x14ac:dyDescent="0.2">
      <c r="B369" s="2"/>
      <c r="C369" s="36"/>
      <c r="D369" s="36"/>
      <c r="E369" s="36"/>
      <c r="F369" s="36"/>
      <c r="G369" s="35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</row>
    <row r="370" spans="2:47" ht="15.75" customHeight="1" x14ac:dyDescent="0.2">
      <c r="B370" s="2"/>
      <c r="C370" s="36"/>
      <c r="D370" s="36"/>
      <c r="E370" s="36"/>
      <c r="F370" s="36"/>
      <c r="G370" s="35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</row>
    <row r="371" spans="2:47" ht="15.75" customHeight="1" x14ac:dyDescent="0.2">
      <c r="B371" s="2"/>
      <c r="C371" s="36"/>
      <c r="D371" s="36"/>
      <c r="E371" s="36"/>
      <c r="F371" s="36"/>
      <c r="G371" s="35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</row>
    <row r="372" spans="2:47" ht="15.75" customHeight="1" x14ac:dyDescent="0.2">
      <c r="B372" s="2"/>
      <c r="C372" s="36"/>
      <c r="D372" s="36"/>
      <c r="E372" s="36"/>
      <c r="F372" s="36"/>
      <c r="G372" s="35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</row>
    <row r="373" spans="2:47" ht="15.75" customHeight="1" x14ac:dyDescent="0.2">
      <c r="B373" s="2"/>
      <c r="C373" s="36"/>
      <c r="D373" s="36"/>
      <c r="E373" s="36"/>
      <c r="F373" s="36"/>
      <c r="G373" s="35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</row>
    <row r="374" spans="2:47" ht="15.75" customHeight="1" x14ac:dyDescent="0.2">
      <c r="B374" s="2"/>
      <c r="C374" s="36"/>
      <c r="D374" s="36"/>
      <c r="E374" s="36"/>
      <c r="F374" s="36"/>
      <c r="G374" s="35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</row>
    <row r="375" spans="2:47" ht="15.75" customHeight="1" x14ac:dyDescent="0.2">
      <c r="B375" s="2"/>
      <c r="C375" s="36"/>
      <c r="D375" s="36"/>
      <c r="E375" s="36"/>
      <c r="F375" s="36"/>
      <c r="G375" s="35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</row>
    <row r="376" spans="2:47" ht="15.75" customHeight="1" x14ac:dyDescent="0.2">
      <c r="B376" s="2"/>
      <c r="C376" s="36"/>
      <c r="D376" s="36"/>
      <c r="E376" s="36"/>
      <c r="F376" s="36"/>
      <c r="G376" s="35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</row>
    <row r="377" spans="2:47" ht="15.75" customHeight="1" x14ac:dyDescent="0.2">
      <c r="B377" s="2"/>
      <c r="C377" s="36"/>
      <c r="D377" s="36"/>
      <c r="E377" s="36"/>
      <c r="F377" s="36"/>
      <c r="G377" s="35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</row>
    <row r="378" spans="2:47" ht="15.75" customHeight="1" x14ac:dyDescent="0.2">
      <c r="B378" s="2"/>
      <c r="C378" s="36"/>
      <c r="D378" s="36"/>
      <c r="E378" s="36"/>
      <c r="F378" s="36"/>
      <c r="G378" s="35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</row>
    <row r="379" spans="2:47" ht="15.75" customHeight="1" x14ac:dyDescent="0.2">
      <c r="B379" s="2"/>
      <c r="C379" s="36"/>
      <c r="D379" s="36"/>
      <c r="E379" s="36"/>
      <c r="F379" s="36"/>
      <c r="G379" s="35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</row>
    <row r="380" spans="2:47" ht="15.75" customHeight="1" x14ac:dyDescent="0.2">
      <c r="B380" s="2"/>
      <c r="C380" s="36"/>
      <c r="D380" s="36"/>
      <c r="E380" s="36"/>
      <c r="F380" s="36"/>
      <c r="G380" s="35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</row>
    <row r="381" spans="2:47" ht="15.75" customHeight="1" x14ac:dyDescent="0.2">
      <c r="B381" s="2"/>
      <c r="C381" s="36"/>
      <c r="D381" s="36"/>
      <c r="E381" s="36"/>
      <c r="F381" s="36"/>
      <c r="G381" s="35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</row>
    <row r="382" spans="2:47" ht="15.75" customHeight="1" x14ac:dyDescent="0.2">
      <c r="B382" s="2"/>
      <c r="C382" s="36"/>
      <c r="D382" s="36"/>
      <c r="E382" s="36"/>
      <c r="F382" s="36"/>
      <c r="G382" s="35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</row>
    <row r="383" spans="2:47" ht="15.75" customHeight="1" x14ac:dyDescent="0.2">
      <c r="B383" s="2"/>
      <c r="C383" s="36"/>
      <c r="D383" s="36"/>
      <c r="E383" s="36"/>
      <c r="F383" s="36"/>
      <c r="G383" s="35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</row>
    <row r="384" spans="2:47" ht="15.75" customHeight="1" x14ac:dyDescent="0.2">
      <c r="B384" s="2"/>
      <c r="C384" s="36"/>
      <c r="D384" s="36"/>
      <c r="E384" s="36"/>
      <c r="F384" s="36"/>
      <c r="G384" s="35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</row>
    <row r="385" spans="2:47" ht="15.75" customHeight="1" x14ac:dyDescent="0.2">
      <c r="B385" s="2"/>
      <c r="C385" s="36"/>
      <c r="D385" s="36"/>
      <c r="E385" s="36"/>
      <c r="F385" s="36"/>
      <c r="G385" s="35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</row>
    <row r="386" spans="2:47" ht="15.75" customHeight="1" x14ac:dyDescent="0.2">
      <c r="B386" s="2"/>
      <c r="C386" s="36"/>
      <c r="D386" s="36"/>
      <c r="E386" s="36"/>
      <c r="F386" s="36"/>
      <c r="G386" s="35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</row>
    <row r="387" spans="2:47" ht="15.75" customHeight="1" x14ac:dyDescent="0.2">
      <c r="B387" s="2"/>
      <c r="C387" s="36"/>
      <c r="D387" s="36"/>
      <c r="E387" s="36"/>
      <c r="F387" s="36"/>
      <c r="G387" s="35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</row>
    <row r="388" spans="2:47" ht="15.75" customHeight="1" x14ac:dyDescent="0.2">
      <c r="B388" s="2"/>
      <c r="C388" s="36"/>
      <c r="D388" s="36"/>
      <c r="E388" s="36"/>
      <c r="F388" s="36"/>
      <c r="G388" s="35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</row>
    <row r="389" spans="2:47" ht="15.75" customHeight="1" x14ac:dyDescent="0.2">
      <c r="B389" s="2"/>
      <c r="C389" s="36"/>
      <c r="D389" s="36"/>
      <c r="E389" s="36"/>
      <c r="F389" s="36"/>
      <c r="G389" s="35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</row>
    <row r="390" spans="2:47" ht="15.75" customHeight="1" x14ac:dyDescent="0.2">
      <c r="B390" s="2"/>
      <c r="C390" s="36"/>
      <c r="D390" s="36"/>
      <c r="E390" s="36"/>
      <c r="F390" s="36"/>
      <c r="G390" s="35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</row>
    <row r="391" spans="2:47" ht="15.75" customHeight="1" x14ac:dyDescent="0.2">
      <c r="B391" s="2"/>
      <c r="C391" s="36"/>
      <c r="D391" s="36"/>
      <c r="E391" s="36"/>
      <c r="F391" s="36"/>
      <c r="G391" s="35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</row>
    <row r="392" spans="2:47" ht="15.75" customHeight="1" x14ac:dyDescent="0.2">
      <c r="B392" s="2"/>
      <c r="C392" s="36"/>
      <c r="D392" s="36"/>
      <c r="E392" s="36"/>
      <c r="F392" s="36"/>
      <c r="G392" s="35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</row>
    <row r="393" spans="2:47" ht="15.75" customHeight="1" x14ac:dyDescent="0.2">
      <c r="B393" s="2"/>
      <c r="C393" s="36"/>
      <c r="D393" s="36"/>
      <c r="E393" s="36"/>
      <c r="F393" s="36"/>
      <c r="G393" s="35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</row>
    <row r="394" spans="2:47" ht="15.75" customHeight="1" x14ac:dyDescent="0.2">
      <c r="B394" s="2"/>
      <c r="C394" s="36"/>
      <c r="D394" s="36"/>
      <c r="E394" s="36"/>
      <c r="F394" s="36"/>
      <c r="G394" s="35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</row>
    <row r="395" spans="2:47" ht="15.75" customHeight="1" x14ac:dyDescent="0.2">
      <c r="B395" s="2"/>
      <c r="C395" s="36"/>
      <c r="D395" s="36"/>
      <c r="E395" s="36"/>
      <c r="F395" s="36"/>
      <c r="G395" s="35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</row>
    <row r="396" spans="2:47" ht="15.75" customHeight="1" x14ac:dyDescent="0.2">
      <c r="B396" s="2"/>
      <c r="C396" s="36"/>
      <c r="D396" s="36"/>
      <c r="E396" s="36"/>
      <c r="F396" s="36"/>
      <c r="G396" s="35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</row>
    <row r="397" spans="2:47" ht="15.75" customHeight="1" x14ac:dyDescent="0.2">
      <c r="B397" s="2"/>
      <c r="C397" s="36"/>
      <c r="D397" s="36"/>
      <c r="E397" s="36"/>
      <c r="F397" s="36"/>
      <c r="G397" s="35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</row>
    <row r="398" spans="2:47" ht="15.75" customHeight="1" x14ac:dyDescent="0.2">
      <c r="B398" s="2"/>
      <c r="C398" s="36"/>
      <c r="D398" s="36"/>
      <c r="E398" s="36"/>
      <c r="F398" s="36"/>
      <c r="G398" s="35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</row>
    <row r="399" spans="2:47" ht="15.75" customHeight="1" x14ac:dyDescent="0.2">
      <c r="B399" s="2"/>
      <c r="C399" s="36"/>
      <c r="D399" s="36"/>
      <c r="E399" s="36"/>
      <c r="F399" s="36"/>
      <c r="G399" s="35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</row>
    <row r="400" spans="2:47" ht="15.75" customHeight="1" x14ac:dyDescent="0.2">
      <c r="B400" s="2"/>
      <c r="C400" s="36"/>
      <c r="D400" s="36"/>
      <c r="E400" s="36"/>
      <c r="F400" s="36"/>
      <c r="G400" s="35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</row>
    <row r="401" spans="2:47" ht="15.75" customHeight="1" x14ac:dyDescent="0.2">
      <c r="B401" s="2"/>
      <c r="C401" s="36"/>
      <c r="D401" s="36"/>
      <c r="E401" s="36"/>
      <c r="F401" s="36"/>
      <c r="G401" s="35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</row>
    <row r="402" spans="2:47" ht="15.75" customHeight="1" x14ac:dyDescent="0.2">
      <c r="B402" s="2"/>
      <c r="C402" s="36"/>
      <c r="D402" s="36"/>
      <c r="E402" s="36"/>
      <c r="F402" s="36"/>
      <c r="G402" s="35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</row>
    <row r="403" spans="2:47" ht="15.75" customHeight="1" x14ac:dyDescent="0.2">
      <c r="B403" s="2"/>
      <c r="C403" s="36"/>
      <c r="D403" s="36"/>
      <c r="E403" s="36"/>
      <c r="F403" s="36"/>
      <c r="G403" s="35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</row>
    <row r="404" spans="2:47" ht="15.75" customHeight="1" x14ac:dyDescent="0.2">
      <c r="B404" s="2"/>
      <c r="C404" s="36"/>
      <c r="D404" s="36"/>
      <c r="E404" s="36"/>
      <c r="F404" s="36"/>
      <c r="G404" s="35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</row>
    <row r="405" spans="2:47" ht="15.75" customHeight="1" x14ac:dyDescent="0.2">
      <c r="B405" s="2"/>
      <c r="C405" s="36"/>
      <c r="D405" s="36"/>
      <c r="E405" s="36"/>
      <c r="F405" s="36"/>
      <c r="G405" s="35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</row>
    <row r="406" spans="2:47" ht="15.75" customHeight="1" x14ac:dyDescent="0.2">
      <c r="B406" s="2"/>
      <c r="C406" s="36"/>
      <c r="D406" s="36"/>
      <c r="E406" s="36"/>
      <c r="F406" s="36"/>
      <c r="G406" s="35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</row>
    <row r="407" spans="2:47" ht="15.75" customHeight="1" x14ac:dyDescent="0.2">
      <c r="B407" s="2"/>
      <c r="C407" s="36"/>
      <c r="D407" s="36"/>
      <c r="E407" s="36"/>
      <c r="F407" s="36"/>
      <c r="G407" s="35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</row>
    <row r="408" spans="2:47" ht="15.75" customHeight="1" x14ac:dyDescent="0.2">
      <c r="B408" s="2"/>
      <c r="C408" s="36"/>
      <c r="D408" s="36"/>
      <c r="E408" s="36"/>
      <c r="F408" s="36"/>
      <c r="G408" s="35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</row>
    <row r="409" spans="2:47" ht="15.75" customHeight="1" x14ac:dyDescent="0.2">
      <c r="B409" s="2"/>
      <c r="C409" s="36"/>
      <c r="D409" s="36"/>
      <c r="E409" s="36"/>
      <c r="F409" s="36"/>
      <c r="G409" s="35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</row>
    <row r="410" spans="2:47" ht="15.75" customHeight="1" x14ac:dyDescent="0.2">
      <c r="B410" s="2"/>
      <c r="C410" s="36"/>
      <c r="D410" s="36"/>
      <c r="E410" s="36"/>
      <c r="F410" s="36"/>
      <c r="G410" s="35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</row>
    <row r="411" spans="2:47" ht="15.75" customHeight="1" x14ac:dyDescent="0.2">
      <c r="B411" s="2"/>
      <c r="C411" s="36"/>
      <c r="D411" s="36"/>
      <c r="E411" s="36"/>
      <c r="F411" s="36"/>
      <c r="G411" s="35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</row>
    <row r="412" spans="2:47" ht="15.75" customHeight="1" x14ac:dyDescent="0.2">
      <c r="B412" s="2"/>
      <c r="C412" s="36"/>
      <c r="D412" s="36"/>
      <c r="E412" s="36"/>
      <c r="F412" s="36"/>
      <c r="G412" s="35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</row>
    <row r="413" spans="2:47" ht="15.75" customHeight="1" x14ac:dyDescent="0.2">
      <c r="B413" s="2"/>
      <c r="C413" s="36"/>
      <c r="D413" s="36"/>
      <c r="E413" s="36"/>
      <c r="F413" s="36"/>
      <c r="G413" s="35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</row>
    <row r="414" spans="2:47" ht="15.75" customHeight="1" x14ac:dyDescent="0.2">
      <c r="B414" s="2"/>
      <c r="C414" s="36"/>
      <c r="D414" s="36"/>
      <c r="E414" s="36"/>
      <c r="F414" s="36"/>
      <c r="G414" s="35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</row>
    <row r="415" spans="2:47" ht="15.75" customHeight="1" x14ac:dyDescent="0.2">
      <c r="B415" s="2"/>
      <c r="C415" s="36"/>
      <c r="D415" s="36"/>
      <c r="E415" s="36"/>
      <c r="F415" s="36"/>
      <c r="G415" s="35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</row>
    <row r="416" spans="2:47" ht="15.75" customHeight="1" x14ac:dyDescent="0.2">
      <c r="B416" s="2"/>
      <c r="C416" s="36"/>
      <c r="D416" s="36"/>
      <c r="E416" s="36"/>
      <c r="F416" s="36"/>
      <c r="G416" s="35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</row>
    <row r="417" spans="2:47" ht="15.75" customHeight="1" x14ac:dyDescent="0.2">
      <c r="B417" s="2"/>
      <c r="C417" s="36"/>
      <c r="D417" s="36"/>
      <c r="E417" s="36"/>
      <c r="F417" s="36"/>
      <c r="G417" s="35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</row>
    <row r="418" spans="2:47" ht="15.75" customHeight="1" x14ac:dyDescent="0.2">
      <c r="B418" s="2"/>
      <c r="C418" s="36"/>
      <c r="D418" s="36"/>
      <c r="E418" s="36"/>
      <c r="F418" s="36"/>
      <c r="G418" s="35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</row>
    <row r="419" spans="2:47" ht="15.75" customHeight="1" x14ac:dyDescent="0.2">
      <c r="B419" s="2"/>
      <c r="C419" s="36"/>
      <c r="D419" s="36"/>
      <c r="E419" s="36"/>
      <c r="F419" s="36"/>
      <c r="G419" s="35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</row>
    <row r="420" spans="2:47" ht="15.75" customHeight="1" x14ac:dyDescent="0.2">
      <c r="B420" s="2"/>
      <c r="C420" s="36"/>
      <c r="D420" s="36"/>
      <c r="E420" s="36"/>
      <c r="F420" s="36"/>
      <c r="G420" s="35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</row>
    <row r="421" spans="2:47" ht="15.75" customHeight="1" x14ac:dyDescent="0.2">
      <c r="B421" s="2"/>
      <c r="C421" s="36"/>
      <c r="D421" s="36"/>
      <c r="E421" s="36"/>
      <c r="F421" s="36"/>
      <c r="G421" s="35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</row>
    <row r="422" spans="2:47" ht="15.75" customHeight="1" x14ac:dyDescent="0.2">
      <c r="B422" s="2"/>
      <c r="C422" s="36"/>
      <c r="D422" s="36"/>
      <c r="E422" s="36"/>
      <c r="F422" s="36"/>
      <c r="G422" s="35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</row>
    <row r="423" spans="2:47" ht="15.75" customHeight="1" x14ac:dyDescent="0.2">
      <c r="B423" s="2"/>
      <c r="C423" s="36"/>
      <c r="D423" s="36"/>
      <c r="E423" s="36"/>
      <c r="F423" s="36"/>
      <c r="G423" s="35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</row>
    <row r="424" spans="2:47" ht="15.75" customHeight="1" x14ac:dyDescent="0.2">
      <c r="B424" s="2"/>
      <c r="C424" s="36"/>
      <c r="D424" s="36"/>
      <c r="E424" s="36"/>
      <c r="F424" s="36"/>
      <c r="G424" s="35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</row>
    <row r="425" spans="2:47" ht="15.75" customHeight="1" x14ac:dyDescent="0.2">
      <c r="B425" s="2"/>
      <c r="C425" s="36"/>
      <c r="D425" s="36"/>
      <c r="E425" s="36"/>
      <c r="F425" s="36"/>
      <c r="G425" s="35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</row>
    <row r="426" spans="2:47" ht="15.75" customHeight="1" x14ac:dyDescent="0.2">
      <c r="B426" s="2"/>
      <c r="C426" s="36"/>
      <c r="D426" s="36"/>
      <c r="E426" s="36"/>
      <c r="F426" s="36"/>
      <c r="G426" s="35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</row>
    <row r="427" spans="2:47" ht="15.75" customHeight="1" x14ac:dyDescent="0.2">
      <c r="B427" s="2"/>
      <c r="C427" s="36"/>
      <c r="D427" s="36"/>
      <c r="E427" s="36"/>
      <c r="F427" s="36"/>
      <c r="G427" s="35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</row>
    <row r="428" spans="2:47" ht="15.75" customHeight="1" x14ac:dyDescent="0.2">
      <c r="B428" s="2"/>
      <c r="C428" s="36"/>
      <c r="D428" s="36"/>
      <c r="E428" s="36"/>
      <c r="F428" s="36"/>
      <c r="G428" s="35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</row>
    <row r="429" spans="2:47" ht="15.75" customHeight="1" x14ac:dyDescent="0.2">
      <c r="B429" s="2"/>
      <c r="C429" s="36"/>
      <c r="D429" s="36"/>
      <c r="E429" s="36"/>
      <c r="F429" s="36"/>
      <c r="G429" s="35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</row>
    <row r="430" spans="2:47" ht="15.75" customHeight="1" x14ac:dyDescent="0.2">
      <c r="B430" s="2"/>
      <c r="C430" s="36"/>
      <c r="D430" s="36"/>
      <c r="E430" s="36"/>
      <c r="F430" s="36"/>
      <c r="G430" s="35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</row>
    <row r="431" spans="2:47" ht="15.75" customHeight="1" x14ac:dyDescent="0.2">
      <c r="B431" s="2"/>
      <c r="C431" s="36"/>
      <c r="D431" s="36"/>
      <c r="E431" s="36"/>
      <c r="F431" s="36"/>
      <c r="G431" s="35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</row>
    <row r="432" spans="2:47" ht="15.75" customHeight="1" x14ac:dyDescent="0.2">
      <c r="B432" s="2"/>
      <c r="C432" s="36"/>
      <c r="D432" s="36"/>
      <c r="E432" s="36"/>
      <c r="F432" s="36"/>
      <c r="G432" s="35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</row>
    <row r="433" spans="2:47" ht="15.75" customHeight="1" x14ac:dyDescent="0.2">
      <c r="B433" s="2"/>
      <c r="C433" s="36"/>
      <c r="D433" s="36"/>
      <c r="E433" s="36"/>
      <c r="F433" s="36"/>
      <c r="G433" s="35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</row>
    <row r="434" spans="2:47" ht="15.75" customHeight="1" x14ac:dyDescent="0.2">
      <c r="B434" s="2"/>
      <c r="C434" s="36"/>
      <c r="D434" s="36"/>
      <c r="E434" s="36"/>
      <c r="F434" s="36"/>
      <c r="G434" s="35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</row>
    <row r="435" spans="2:47" ht="15.75" customHeight="1" x14ac:dyDescent="0.2">
      <c r="B435" s="2"/>
      <c r="C435" s="36"/>
      <c r="D435" s="36"/>
      <c r="E435" s="36"/>
      <c r="F435" s="36"/>
      <c r="G435" s="35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</row>
    <row r="436" spans="2:47" ht="15.75" customHeight="1" x14ac:dyDescent="0.2">
      <c r="B436" s="2"/>
      <c r="C436" s="36"/>
      <c r="D436" s="36"/>
      <c r="E436" s="36"/>
      <c r="F436" s="36"/>
      <c r="G436" s="35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</row>
    <row r="437" spans="2:47" ht="15.75" customHeight="1" x14ac:dyDescent="0.2">
      <c r="B437" s="2"/>
      <c r="C437" s="36"/>
      <c r="D437" s="36"/>
      <c r="E437" s="36"/>
      <c r="F437" s="36"/>
      <c r="G437" s="35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</row>
    <row r="438" spans="2:47" ht="15.75" customHeight="1" x14ac:dyDescent="0.2">
      <c r="B438" s="2"/>
      <c r="C438" s="36"/>
      <c r="D438" s="36"/>
      <c r="E438" s="36"/>
      <c r="F438" s="36"/>
      <c r="G438" s="35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</row>
    <row r="439" spans="2:47" ht="15.75" customHeight="1" x14ac:dyDescent="0.2">
      <c r="B439" s="2"/>
      <c r="C439" s="36"/>
      <c r="D439" s="36"/>
      <c r="E439" s="36"/>
      <c r="F439" s="36"/>
      <c r="G439" s="35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</row>
    <row r="440" spans="2:47" ht="15.75" customHeight="1" x14ac:dyDescent="0.2">
      <c r="B440" s="2"/>
      <c r="C440" s="36"/>
      <c r="D440" s="36"/>
      <c r="E440" s="36"/>
      <c r="F440" s="36"/>
      <c r="G440" s="35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</row>
    <row r="441" spans="2:47" ht="15.75" customHeight="1" x14ac:dyDescent="0.2">
      <c r="B441" s="2"/>
      <c r="C441" s="36"/>
      <c r="D441" s="36"/>
      <c r="E441" s="36"/>
      <c r="F441" s="36"/>
      <c r="G441" s="35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</row>
    <row r="442" spans="2:47" ht="15.75" customHeight="1" x14ac:dyDescent="0.2">
      <c r="B442" s="2"/>
      <c r="C442" s="36"/>
      <c r="D442" s="36"/>
      <c r="E442" s="36"/>
      <c r="F442" s="36"/>
      <c r="G442" s="35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</row>
    <row r="443" spans="2:47" ht="15.75" customHeight="1" x14ac:dyDescent="0.2">
      <c r="B443" s="2"/>
      <c r="C443" s="36"/>
      <c r="D443" s="36"/>
      <c r="E443" s="36"/>
      <c r="F443" s="36"/>
      <c r="G443" s="35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</row>
    <row r="444" spans="2:47" ht="15.75" customHeight="1" x14ac:dyDescent="0.2">
      <c r="B444" s="2"/>
      <c r="C444" s="36"/>
      <c r="D444" s="36"/>
      <c r="E444" s="36"/>
      <c r="F444" s="36"/>
      <c r="G444" s="35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</row>
    <row r="445" spans="2:47" ht="15.75" customHeight="1" x14ac:dyDescent="0.2">
      <c r="B445" s="2"/>
      <c r="C445" s="36"/>
      <c r="D445" s="36"/>
      <c r="E445" s="36"/>
      <c r="F445" s="36"/>
      <c r="G445" s="35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</row>
    <row r="446" spans="2:47" ht="15.75" customHeight="1" x14ac:dyDescent="0.2">
      <c r="B446" s="2"/>
      <c r="C446" s="36"/>
      <c r="D446" s="36"/>
      <c r="E446" s="36"/>
      <c r="F446" s="36"/>
      <c r="G446" s="35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</row>
    <row r="447" spans="2:47" ht="15.75" customHeight="1" x14ac:dyDescent="0.2">
      <c r="B447" s="2"/>
      <c r="C447" s="36"/>
      <c r="D447" s="36"/>
      <c r="E447" s="36"/>
      <c r="F447" s="36"/>
      <c r="G447" s="35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</row>
    <row r="448" spans="2:47" ht="15.75" customHeight="1" x14ac:dyDescent="0.2">
      <c r="B448" s="2"/>
      <c r="C448" s="36"/>
      <c r="D448" s="36"/>
      <c r="E448" s="36"/>
      <c r="F448" s="36"/>
      <c r="G448" s="35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</row>
    <row r="449" spans="2:47" ht="15.75" customHeight="1" x14ac:dyDescent="0.2">
      <c r="B449" s="2"/>
      <c r="C449" s="36"/>
      <c r="D449" s="36"/>
      <c r="E449" s="36"/>
      <c r="F449" s="36"/>
      <c r="G449" s="35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</row>
    <row r="450" spans="2:47" ht="15.75" customHeight="1" x14ac:dyDescent="0.2">
      <c r="B450" s="2"/>
      <c r="C450" s="36"/>
      <c r="D450" s="36"/>
      <c r="E450" s="36"/>
      <c r="F450" s="36"/>
      <c r="G450" s="35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</row>
    <row r="451" spans="2:47" ht="15.75" customHeight="1" x14ac:dyDescent="0.2">
      <c r="B451" s="2"/>
      <c r="C451" s="36"/>
      <c r="D451" s="36"/>
      <c r="E451" s="36"/>
      <c r="F451" s="36"/>
      <c r="G451" s="35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</row>
    <row r="452" spans="2:47" ht="15.75" customHeight="1" x14ac:dyDescent="0.2">
      <c r="B452" s="2"/>
      <c r="C452" s="36"/>
      <c r="D452" s="36"/>
      <c r="E452" s="36"/>
      <c r="F452" s="36"/>
      <c r="G452" s="35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</row>
    <row r="453" spans="2:47" ht="15.75" customHeight="1" x14ac:dyDescent="0.2">
      <c r="B453" s="2"/>
      <c r="C453" s="36"/>
      <c r="D453" s="36"/>
      <c r="E453" s="36"/>
      <c r="F453" s="36"/>
      <c r="G453" s="35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</row>
    <row r="454" spans="2:47" ht="15.75" customHeight="1" x14ac:dyDescent="0.2">
      <c r="B454" s="2"/>
      <c r="C454" s="36"/>
      <c r="D454" s="36"/>
      <c r="E454" s="36"/>
      <c r="F454" s="36"/>
      <c r="G454" s="35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</row>
    <row r="455" spans="2:47" ht="15.75" customHeight="1" x14ac:dyDescent="0.2">
      <c r="B455" s="2"/>
      <c r="C455" s="36"/>
      <c r="D455" s="36"/>
      <c r="E455" s="36"/>
      <c r="F455" s="36"/>
      <c r="G455" s="35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</row>
    <row r="456" spans="2:47" ht="15.75" customHeight="1" x14ac:dyDescent="0.2">
      <c r="B456" s="2"/>
      <c r="C456" s="36"/>
      <c r="D456" s="36"/>
      <c r="E456" s="36"/>
      <c r="F456" s="36"/>
      <c r="G456" s="35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</row>
    <row r="457" spans="2:47" ht="15.75" customHeight="1" x14ac:dyDescent="0.2">
      <c r="B457" s="2"/>
      <c r="C457" s="36"/>
      <c r="D457" s="36"/>
      <c r="E457" s="36"/>
      <c r="F457" s="36"/>
      <c r="G457" s="35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</row>
    <row r="458" spans="2:47" ht="15.75" customHeight="1" x14ac:dyDescent="0.2">
      <c r="B458" s="2"/>
      <c r="C458" s="36"/>
      <c r="D458" s="36"/>
      <c r="E458" s="36"/>
      <c r="F458" s="36"/>
      <c r="G458" s="35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</row>
    <row r="459" spans="2:47" ht="15.75" customHeight="1" x14ac:dyDescent="0.2">
      <c r="B459" s="2"/>
      <c r="C459" s="36"/>
      <c r="D459" s="36"/>
      <c r="E459" s="36"/>
      <c r="F459" s="36"/>
      <c r="G459" s="35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</row>
    <row r="460" spans="2:47" ht="15.75" customHeight="1" x14ac:dyDescent="0.2">
      <c r="B460" s="2"/>
      <c r="C460" s="36"/>
      <c r="D460" s="36"/>
      <c r="E460" s="36"/>
      <c r="F460" s="36"/>
      <c r="G460" s="35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</row>
    <row r="461" spans="2:47" ht="15.75" customHeight="1" x14ac:dyDescent="0.2">
      <c r="B461" s="2"/>
      <c r="C461" s="36"/>
      <c r="D461" s="36"/>
      <c r="E461" s="36"/>
      <c r="F461" s="36"/>
      <c r="G461" s="35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</row>
    <row r="462" spans="2:47" ht="15.75" customHeight="1" x14ac:dyDescent="0.2">
      <c r="B462" s="2"/>
      <c r="C462" s="36"/>
      <c r="D462" s="36"/>
      <c r="E462" s="36"/>
      <c r="F462" s="36"/>
      <c r="G462" s="35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</row>
    <row r="463" spans="2:47" ht="15.75" customHeight="1" x14ac:dyDescent="0.2">
      <c r="B463" s="2"/>
      <c r="C463" s="36"/>
      <c r="D463" s="36"/>
      <c r="E463" s="36"/>
      <c r="F463" s="36"/>
      <c r="G463" s="35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</row>
    <row r="464" spans="2:47" ht="15.75" customHeight="1" x14ac:dyDescent="0.2">
      <c r="B464" s="2"/>
      <c r="C464" s="36"/>
      <c r="D464" s="36"/>
      <c r="E464" s="36"/>
      <c r="F464" s="36"/>
      <c r="G464" s="35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</row>
    <row r="465" spans="2:47" ht="15.75" customHeight="1" x14ac:dyDescent="0.2">
      <c r="B465" s="2"/>
      <c r="C465" s="36"/>
      <c r="D465" s="36"/>
      <c r="E465" s="36"/>
      <c r="F465" s="36"/>
      <c r="G465" s="35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</row>
    <row r="466" spans="2:47" ht="15.75" customHeight="1" x14ac:dyDescent="0.2">
      <c r="B466" s="2"/>
      <c r="C466" s="36"/>
      <c r="D466" s="36"/>
      <c r="E466" s="36"/>
      <c r="F466" s="36"/>
      <c r="G466" s="35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</row>
    <row r="467" spans="2:47" ht="15.75" customHeight="1" x14ac:dyDescent="0.2">
      <c r="B467" s="2"/>
      <c r="C467" s="36"/>
      <c r="D467" s="36"/>
      <c r="E467" s="36"/>
      <c r="F467" s="36"/>
      <c r="G467" s="35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</row>
    <row r="468" spans="2:47" ht="15.75" customHeight="1" x14ac:dyDescent="0.2">
      <c r="B468" s="2"/>
      <c r="C468" s="36"/>
      <c r="D468" s="36"/>
      <c r="E468" s="36"/>
      <c r="F468" s="36"/>
      <c r="G468" s="35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</row>
    <row r="469" spans="2:47" ht="15.75" customHeight="1" x14ac:dyDescent="0.2">
      <c r="B469" s="2"/>
      <c r="C469" s="36"/>
      <c r="D469" s="36"/>
      <c r="E469" s="36"/>
      <c r="F469" s="36"/>
      <c r="G469" s="35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</row>
    <row r="470" spans="2:47" ht="15.75" customHeight="1" x14ac:dyDescent="0.2">
      <c r="B470" s="2"/>
      <c r="C470" s="36"/>
      <c r="D470" s="36"/>
      <c r="E470" s="36"/>
      <c r="F470" s="36"/>
      <c r="G470" s="35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</row>
    <row r="471" spans="2:47" ht="15.75" customHeight="1" x14ac:dyDescent="0.2">
      <c r="B471" s="2"/>
      <c r="C471" s="36"/>
      <c r="D471" s="36"/>
      <c r="E471" s="36"/>
      <c r="F471" s="36"/>
      <c r="G471" s="35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</row>
    <row r="472" spans="2:47" ht="15.75" customHeight="1" x14ac:dyDescent="0.2">
      <c r="B472" s="2"/>
      <c r="C472" s="36"/>
      <c r="D472" s="36"/>
      <c r="E472" s="36"/>
      <c r="F472" s="36"/>
      <c r="G472" s="35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</row>
    <row r="473" spans="2:47" ht="15.75" customHeight="1" x14ac:dyDescent="0.2">
      <c r="B473" s="2"/>
      <c r="C473" s="36"/>
      <c r="D473" s="36"/>
      <c r="E473" s="36"/>
      <c r="F473" s="36"/>
      <c r="G473" s="35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</row>
    <row r="474" spans="2:47" ht="15.75" customHeight="1" x14ac:dyDescent="0.2">
      <c r="B474" s="2"/>
      <c r="C474" s="36"/>
      <c r="D474" s="36"/>
      <c r="E474" s="36"/>
      <c r="F474" s="36"/>
      <c r="G474" s="35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</row>
    <row r="475" spans="2:47" ht="15.75" customHeight="1" x14ac:dyDescent="0.2">
      <c r="B475" s="2"/>
      <c r="C475" s="36"/>
      <c r="D475" s="36"/>
      <c r="E475" s="36"/>
      <c r="F475" s="36"/>
      <c r="G475" s="35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</row>
    <row r="476" spans="2:47" ht="15.75" customHeight="1" x14ac:dyDescent="0.2">
      <c r="B476" s="2"/>
      <c r="C476" s="36"/>
      <c r="D476" s="36"/>
      <c r="E476" s="36"/>
      <c r="F476" s="36"/>
      <c r="G476" s="35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</row>
    <row r="477" spans="2:47" ht="15.75" customHeight="1" x14ac:dyDescent="0.2">
      <c r="B477" s="2"/>
      <c r="C477" s="36"/>
      <c r="D477" s="36"/>
      <c r="E477" s="36"/>
      <c r="F477" s="36"/>
      <c r="G477" s="35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</row>
    <row r="478" spans="2:47" ht="15.75" customHeight="1" x14ac:dyDescent="0.2">
      <c r="B478" s="2"/>
      <c r="C478" s="36"/>
      <c r="D478" s="36"/>
      <c r="E478" s="36"/>
      <c r="F478" s="36"/>
      <c r="G478" s="35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</row>
    <row r="479" spans="2:47" ht="15.75" customHeight="1" x14ac:dyDescent="0.2">
      <c r="B479" s="2"/>
      <c r="C479" s="36"/>
      <c r="D479" s="36"/>
      <c r="E479" s="36"/>
      <c r="F479" s="36"/>
      <c r="G479" s="35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</row>
    <row r="480" spans="2:47" ht="15.75" customHeight="1" x14ac:dyDescent="0.2">
      <c r="B480" s="2"/>
      <c r="C480" s="36"/>
      <c r="D480" s="36"/>
      <c r="E480" s="36"/>
      <c r="F480" s="36"/>
      <c r="G480" s="35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</row>
    <row r="481" spans="2:47" ht="15.75" customHeight="1" x14ac:dyDescent="0.2">
      <c r="B481" s="2"/>
      <c r="C481" s="36"/>
      <c r="D481" s="36"/>
      <c r="E481" s="36"/>
      <c r="F481" s="36"/>
      <c r="G481" s="35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</row>
    <row r="482" spans="2:47" ht="15.75" customHeight="1" x14ac:dyDescent="0.2">
      <c r="B482" s="2"/>
      <c r="C482" s="36"/>
      <c r="D482" s="36"/>
      <c r="E482" s="36"/>
      <c r="F482" s="36"/>
      <c r="G482" s="35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</row>
    <row r="483" spans="2:47" ht="15.75" customHeight="1" x14ac:dyDescent="0.2">
      <c r="B483" s="2"/>
      <c r="C483" s="36"/>
      <c r="D483" s="36"/>
      <c r="E483" s="36"/>
      <c r="F483" s="36"/>
      <c r="G483" s="35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</row>
    <row r="484" spans="2:47" ht="15.75" customHeight="1" x14ac:dyDescent="0.2">
      <c r="B484" s="2"/>
      <c r="C484" s="36"/>
      <c r="D484" s="36"/>
      <c r="E484" s="36"/>
      <c r="F484" s="36"/>
      <c r="G484" s="35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</row>
    <row r="485" spans="2:47" ht="15.75" customHeight="1" x14ac:dyDescent="0.2">
      <c r="B485" s="2"/>
      <c r="C485" s="36"/>
      <c r="D485" s="36"/>
      <c r="E485" s="36"/>
      <c r="F485" s="36"/>
      <c r="G485" s="35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</row>
    <row r="486" spans="2:47" ht="15.75" customHeight="1" x14ac:dyDescent="0.2">
      <c r="B486" s="2"/>
      <c r="C486" s="36"/>
      <c r="D486" s="36"/>
      <c r="E486" s="36"/>
      <c r="F486" s="36"/>
      <c r="G486" s="35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</row>
    <row r="487" spans="2:47" ht="15.75" customHeight="1" x14ac:dyDescent="0.2">
      <c r="B487" s="2"/>
      <c r="C487" s="36"/>
      <c r="D487" s="36"/>
      <c r="E487" s="36"/>
      <c r="F487" s="36"/>
      <c r="G487" s="35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</row>
    <row r="488" spans="2:47" ht="15.75" customHeight="1" x14ac:dyDescent="0.2">
      <c r="B488" s="2"/>
      <c r="C488" s="36"/>
      <c r="D488" s="36"/>
      <c r="E488" s="36"/>
      <c r="F488" s="36"/>
      <c r="G488" s="35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</row>
    <row r="489" spans="2:47" ht="15.75" customHeight="1" x14ac:dyDescent="0.2">
      <c r="B489" s="2"/>
      <c r="C489" s="36"/>
      <c r="D489" s="36"/>
      <c r="E489" s="36"/>
      <c r="F489" s="36"/>
      <c r="G489" s="35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</row>
    <row r="490" spans="2:47" ht="15.75" customHeight="1" x14ac:dyDescent="0.2">
      <c r="B490" s="2"/>
      <c r="C490" s="36"/>
      <c r="D490" s="36"/>
      <c r="E490" s="36"/>
      <c r="F490" s="36"/>
      <c r="G490" s="35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</row>
    <row r="491" spans="2:47" ht="15.75" customHeight="1" x14ac:dyDescent="0.2">
      <c r="B491" s="2"/>
      <c r="C491" s="36"/>
      <c r="D491" s="36"/>
      <c r="E491" s="36"/>
      <c r="F491" s="36"/>
      <c r="G491" s="35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</row>
    <row r="492" spans="2:47" ht="15.75" customHeight="1" x14ac:dyDescent="0.2">
      <c r="B492" s="2"/>
      <c r="C492" s="36"/>
      <c r="D492" s="36"/>
      <c r="E492" s="36"/>
      <c r="F492" s="36"/>
      <c r="G492" s="35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</row>
    <row r="493" spans="2:47" ht="15.75" customHeight="1" x14ac:dyDescent="0.2">
      <c r="B493" s="2"/>
      <c r="C493" s="36"/>
      <c r="D493" s="36"/>
      <c r="E493" s="36"/>
      <c r="F493" s="36"/>
      <c r="G493" s="35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</row>
    <row r="494" spans="2:47" ht="15.75" customHeight="1" x14ac:dyDescent="0.2">
      <c r="B494" s="2"/>
      <c r="C494" s="36"/>
      <c r="D494" s="36"/>
      <c r="E494" s="36"/>
      <c r="F494" s="36"/>
      <c r="G494" s="35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</row>
    <row r="495" spans="2:47" ht="15.75" customHeight="1" x14ac:dyDescent="0.2">
      <c r="B495" s="2"/>
      <c r="C495" s="36"/>
      <c r="D495" s="36"/>
      <c r="E495" s="36"/>
      <c r="F495" s="36"/>
      <c r="G495" s="35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</row>
    <row r="496" spans="2:47" ht="15.75" customHeight="1" x14ac:dyDescent="0.2">
      <c r="B496" s="2"/>
      <c r="C496" s="36"/>
      <c r="D496" s="36"/>
      <c r="E496" s="36"/>
      <c r="F496" s="36"/>
      <c r="G496" s="35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</row>
    <row r="497" spans="2:47" ht="15.75" customHeight="1" x14ac:dyDescent="0.2">
      <c r="B497" s="2"/>
      <c r="C497" s="36"/>
      <c r="D497" s="36"/>
      <c r="E497" s="36"/>
      <c r="F497" s="36"/>
      <c r="G497" s="35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</row>
    <row r="498" spans="2:47" ht="15.75" customHeight="1" x14ac:dyDescent="0.2">
      <c r="B498" s="2"/>
      <c r="C498" s="36"/>
      <c r="D498" s="36"/>
      <c r="E498" s="36"/>
      <c r="F498" s="36"/>
      <c r="G498" s="35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</row>
    <row r="499" spans="2:47" ht="15.75" customHeight="1" x14ac:dyDescent="0.2">
      <c r="B499" s="2"/>
      <c r="C499" s="36"/>
      <c r="D499" s="36"/>
      <c r="E499" s="36"/>
      <c r="F499" s="36"/>
      <c r="G499" s="35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</row>
    <row r="500" spans="2:47" ht="15.75" customHeight="1" x14ac:dyDescent="0.2">
      <c r="B500" s="2"/>
      <c r="C500" s="36"/>
      <c r="D500" s="36"/>
      <c r="E500" s="36"/>
      <c r="F500" s="36"/>
      <c r="G500" s="35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</row>
    <row r="501" spans="2:47" ht="15.75" customHeight="1" x14ac:dyDescent="0.2">
      <c r="B501" s="2"/>
      <c r="C501" s="36"/>
      <c r="D501" s="36"/>
      <c r="E501" s="36"/>
      <c r="F501" s="36"/>
      <c r="G501" s="35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</row>
    <row r="502" spans="2:47" ht="15.75" customHeight="1" x14ac:dyDescent="0.2">
      <c r="B502" s="2"/>
      <c r="C502" s="36"/>
      <c r="D502" s="36"/>
      <c r="E502" s="36"/>
      <c r="F502" s="36"/>
      <c r="G502" s="35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</row>
    <row r="503" spans="2:47" ht="15.75" customHeight="1" x14ac:dyDescent="0.2">
      <c r="B503" s="2"/>
      <c r="C503" s="36"/>
      <c r="D503" s="36"/>
      <c r="E503" s="36"/>
      <c r="F503" s="36"/>
      <c r="G503" s="35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</row>
    <row r="504" spans="2:47" ht="15.75" customHeight="1" x14ac:dyDescent="0.2">
      <c r="B504" s="2"/>
      <c r="C504" s="36"/>
      <c r="D504" s="36"/>
      <c r="E504" s="36"/>
      <c r="F504" s="36"/>
      <c r="G504" s="35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</row>
    <row r="505" spans="2:47" ht="15.75" customHeight="1" x14ac:dyDescent="0.2">
      <c r="B505" s="2"/>
      <c r="C505" s="36"/>
      <c r="D505" s="36"/>
      <c r="E505" s="36"/>
      <c r="F505" s="36"/>
      <c r="G505" s="35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</row>
    <row r="506" spans="2:47" ht="15.75" customHeight="1" x14ac:dyDescent="0.2">
      <c r="B506" s="2"/>
      <c r="C506" s="36"/>
      <c r="D506" s="36"/>
      <c r="E506" s="36"/>
      <c r="F506" s="36"/>
      <c r="G506" s="35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</row>
    <row r="507" spans="2:47" ht="15.75" customHeight="1" x14ac:dyDescent="0.2">
      <c r="B507" s="2"/>
      <c r="C507" s="36"/>
      <c r="D507" s="36"/>
      <c r="E507" s="36"/>
      <c r="F507" s="36"/>
      <c r="G507" s="35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</row>
    <row r="508" spans="2:47" ht="15.75" customHeight="1" x14ac:dyDescent="0.2">
      <c r="B508" s="2"/>
      <c r="C508" s="36"/>
      <c r="D508" s="36"/>
      <c r="E508" s="36"/>
      <c r="F508" s="36"/>
      <c r="G508" s="35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</row>
    <row r="509" spans="2:47" ht="15.75" customHeight="1" x14ac:dyDescent="0.2">
      <c r="B509" s="2"/>
      <c r="C509" s="36"/>
      <c r="D509" s="36"/>
      <c r="E509" s="36"/>
      <c r="F509" s="36"/>
      <c r="G509" s="35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</row>
    <row r="510" spans="2:47" ht="15.75" customHeight="1" x14ac:dyDescent="0.2">
      <c r="B510" s="2"/>
      <c r="C510" s="36"/>
      <c r="D510" s="36"/>
      <c r="E510" s="36"/>
      <c r="F510" s="36"/>
      <c r="G510" s="35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</row>
    <row r="511" spans="2:47" ht="15.75" customHeight="1" x14ac:dyDescent="0.2">
      <c r="B511" s="2"/>
      <c r="C511" s="36"/>
      <c r="D511" s="36"/>
      <c r="E511" s="36"/>
      <c r="F511" s="36"/>
      <c r="G511" s="35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</row>
    <row r="512" spans="2:47" ht="15.75" customHeight="1" x14ac:dyDescent="0.2">
      <c r="B512" s="2"/>
      <c r="C512" s="36"/>
      <c r="D512" s="36"/>
      <c r="E512" s="36"/>
      <c r="F512" s="36"/>
      <c r="G512" s="35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</row>
    <row r="513" spans="2:47" ht="15.75" customHeight="1" x14ac:dyDescent="0.2">
      <c r="B513" s="2"/>
      <c r="C513" s="36"/>
      <c r="D513" s="36"/>
      <c r="E513" s="36"/>
      <c r="F513" s="36"/>
      <c r="G513" s="35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</row>
    <row r="514" spans="2:47" ht="15.75" customHeight="1" x14ac:dyDescent="0.2">
      <c r="B514" s="2"/>
      <c r="C514" s="36"/>
      <c r="D514" s="36"/>
      <c r="E514" s="36"/>
      <c r="F514" s="36"/>
      <c r="G514" s="35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</row>
    <row r="515" spans="2:47" ht="15.75" customHeight="1" x14ac:dyDescent="0.2">
      <c r="B515" s="2"/>
      <c r="C515" s="36"/>
      <c r="D515" s="36"/>
      <c r="E515" s="36"/>
      <c r="F515" s="36"/>
      <c r="G515" s="35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</row>
    <row r="516" spans="2:47" ht="15.75" customHeight="1" x14ac:dyDescent="0.2">
      <c r="B516" s="2"/>
      <c r="C516" s="36"/>
      <c r="D516" s="36"/>
      <c r="E516" s="36"/>
      <c r="F516" s="36"/>
      <c r="G516" s="35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</row>
    <row r="517" spans="2:47" ht="15.75" customHeight="1" x14ac:dyDescent="0.2">
      <c r="B517" s="2"/>
      <c r="C517" s="36"/>
      <c r="D517" s="36"/>
      <c r="E517" s="36"/>
      <c r="F517" s="36"/>
      <c r="G517" s="35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</row>
    <row r="518" spans="2:47" ht="15.75" customHeight="1" x14ac:dyDescent="0.2">
      <c r="B518" s="2"/>
      <c r="C518" s="36"/>
      <c r="D518" s="36"/>
      <c r="E518" s="36"/>
      <c r="F518" s="36"/>
      <c r="G518" s="35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</row>
    <row r="519" spans="2:47" ht="15.75" customHeight="1" x14ac:dyDescent="0.2">
      <c r="B519" s="2"/>
      <c r="C519" s="36"/>
      <c r="D519" s="36"/>
      <c r="E519" s="36"/>
      <c r="F519" s="36"/>
      <c r="G519" s="35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</row>
    <row r="520" spans="2:47" ht="15.75" customHeight="1" x14ac:dyDescent="0.2">
      <c r="B520" s="2"/>
      <c r="C520" s="36"/>
      <c r="D520" s="36"/>
      <c r="E520" s="36"/>
      <c r="F520" s="36"/>
      <c r="G520" s="35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</row>
    <row r="521" spans="2:47" ht="15.75" customHeight="1" x14ac:dyDescent="0.2">
      <c r="B521" s="2"/>
      <c r="C521" s="36"/>
      <c r="D521" s="36"/>
      <c r="E521" s="36"/>
      <c r="F521" s="36"/>
      <c r="G521" s="35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</row>
    <row r="522" spans="2:47" ht="15.75" customHeight="1" x14ac:dyDescent="0.2">
      <c r="B522" s="2"/>
      <c r="C522" s="36"/>
      <c r="D522" s="36"/>
      <c r="E522" s="36"/>
      <c r="F522" s="36"/>
      <c r="G522" s="35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</row>
    <row r="523" spans="2:47" ht="15.75" customHeight="1" x14ac:dyDescent="0.2">
      <c r="B523" s="2"/>
      <c r="C523" s="36"/>
      <c r="D523" s="36"/>
      <c r="E523" s="36"/>
      <c r="F523" s="36"/>
      <c r="G523" s="35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</row>
    <row r="524" spans="2:47" ht="15.75" customHeight="1" x14ac:dyDescent="0.2">
      <c r="B524" s="2"/>
      <c r="C524" s="36"/>
      <c r="D524" s="36"/>
      <c r="E524" s="36"/>
      <c r="F524" s="36"/>
      <c r="G524" s="35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</row>
    <row r="525" spans="2:47" ht="15.75" customHeight="1" x14ac:dyDescent="0.2">
      <c r="B525" s="2"/>
      <c r="C525" s="36"/>
      <c r="D525" s="36"/>
      <c r="E525" s="36"/>
      <c r="F525" s="36"/>
      <c r="G525" s="35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</row>
    <row r="526" spans="2:47" ht="15.75" customHeight="1" x14ac:dyDescent="0.2">
      <c r="B526" s="2"/>
      <c r="C526" s="36"/>
      <c r="D526" s="36"/>
      <c r="E526" s="36"/>
      <c r="F526" s="36"/>
      <c r="G526" s="35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</row>
    <row r="527" spans="2:47" ht="15.75" customHeight="1" x14ac:dyDescent="0.2">
      <c r="B527" s="2"/>
      <c r="C527" s="36"/>
      <c r="D527" s="36"/>
      <c r="E527" s="36"/>
      <c r="F527" s="36"/>
      <c r="G527" s="35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</row>
    <row r="528" spans="2:47" ht="15.75" customHeight="1" x14ac:dyDescent="0.2">
      <c r="B528" s="2"/>
      <c r="C528" s="36"/>
      <c r="D528" s="36"/>
      <c r="E528" s="36"/>
      <c r="F528" s="36"/>
      <c r="G528" s="35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</row>
    <row r="529" spans="2:47" ht="15.75" customHeight="1" x14ac:dyDescent="0.2">
      <c r="B529" s="2"/>
      <c r="C529" s="36"/>
      <c r="D529" s="36"/>
      <c r="E529" s="36"/>
      <c r="F529" s="36"/>
      <c r="G529" s="35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</row>
    <row r="530" spans="2:47" ht="15.75" customHeight="1" x14ac:dyDescent="0.2">
      <c r="B530" s="2"/>
      <c r="C530" s="36"/>
      <c r="D530" s="36"/>
      <c r="E530" s="36"/>
      <c r="F530" s="36"/>
      <c r="G530" s="35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</row>
    <row r="531" spans="2:47" ht="15.75" customHeight="1" x14ac:dyDescent="0.2">
      <c r="B531" s="2"/>
      <c r="C531" s="36"/>
      <c r="D531" s="36"/>
      <c r="E531" s="36"/>
      <c r="F531" s="36"/>
      <c r="G531" s="35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</row>
    <row r="532" spans="2:47" ht="15.75" customHeight="1" x14ac:dyDescent="0.2">
      <c r="B532" s="2"/>
      <c r="C532" s="36"/>
      <c r="D532" s="36"/>
      <c r="E532" s="36"/>
      <c r="F532" s="36"/>
      <c r="G532" s="35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</row>
    <row r="533" spans="2:47" ht="15.75" customHeight="1" x14ac:dyDescent="0.2">
      <c r="B533" s="2"/>
      <c r="C533" s="36"/>
      <c r="D533" s="36"/>
      <c r="E533" s="36"/>
      <c r="F533" s="36"/>
      <c r="G533" s="35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</row>
    <row r="534" spans="2:47" ht="15.75" customHeight="1" x14ac:dyDescent="0.2">
      <c r="B534" s="2"/>
      <c r="C534" s="36"/>
      <c r="D534" s="36"/>
      <c r="E534" s="36"/>
      <c r="F534" s="36"/>
      <c r="G534" s="35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</row>
    <row r="535" spans="2:47" ht="15.75" customHeight="1" x14ac:dyDescent="0.2">
      <c r="B535" s="2"/>
      <c r="C535" s="36"/>
      <c r="D535" s="36"/>
      <c r="E535" s="36"/>
      <c r="F535" s="36"/>
      <c r="G535" s="35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</row>
    <row r="536" spans="2:47" ht="15.75" customHeight="1" x14ac:dyDescent="0.2">
      <c r="B536" s="2"/>
      <c r="C536" s="36"/>
      <c r="D536" s="36"/>
      <c r="E536" s="36"/>
      <c r="F536" s="36"/>
      <c r="G536" s="35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</row>
    <row r="537" spans="2:47" ht="15.75" customHeight="1" x14ac:dyDescent="0.2">
      <c r="B537" s="2"/>
      <c r="C537" s="36"/>
      <c r="D537" s="36"/>
      <c r="E537" s="36"/>
      <c r="F537" s="36"/>
      <c r="G537" s="35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</row>
    <row r="538" spans="2:47" ht="15.75" customHeight="1" x14ac:dyDescent="0.2">
      <c r="B538" s="2"/>
      <c r="C538" s="36"/>
      <c r="D538" s="36"/>
      <c r="E538" s="36"/>
      <c r="F538" s="36"/>
      <c r="G538" s="35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</row>
    <row r="539" spans="2:47" ht="15.75" customHeight="1" x14ac:dyDescent="0.2">
      <c r="B539" s="2"/>
      <c r="C539" s="36"/>
      <c r="D539" s="36"/>
      <c r="E539" s="36"/>
      <c r="F539" s="36"/>
      <c r="G539" s="35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</row>
    <row r="540" spans="2:47" ht="15.75" customHeight="1" x14ac:dyDescent="0.2">
      <c r="B540" s="2"/>
      <c r="C540" s="36"/>
      <c r="D540" s="36"/>
      <c r="E540" s="36"/>
      <c r="F540" s="36"/>
      <c r="G540" s="35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</row>
    <row r="541" spans="2:47" ht="15.75" customHeight="1" x14ac:dyDescent="0.2">
      <c r="B541" s="2"/>
      <c r="C541" s="36"/>
      <c r="D541" s="36"/>
      <c r="E541" s="36"/>
      <c r="F541" s="36"/>
      <c r="G541" s="35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</row>
    <row r="542" spans="2:47" ht="15.75" customHeight="1" x14ac:dyDescent="0.2">
      <c r="B542" s="2"/>
      <c r="C542" s="36"/>
      <c r="D542" s="36"/>
      <c r="E542" s="36"/>
      <c r="F542" s="36"/>
      <c r="G542" s="35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</row>
    <row r="543" spans="2:47" ht="15.75" customHeight="1" x14ac:dyDescent="0.2">
      <c r="B543" s="2"/>
      <c r="C543" s="36"/>
      <c r="D543" s="36"/>
      <c r="E543" s="36"/>
      <c r="F543" s="36"/>
      <c r="G543" s="35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</row>
    <row r="544" spans="2:47" ht="15.75" customHeight="1" x14ac:dyDescent="0.2">
      <c r="B544" s="2"/>
      <c r="C544" s="36"/>
      <c r="D544" s="36"/>
      <c r="E544" s="36"/>
      <c r="F544" s="36"/>
      <c r="G544" s="35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</row>
    <row r="545" spans="2:47" ht="15.75" customHeight="1" x14ac:dyDescent="0.2">
      <c r="B545" s="2"/>
      <c r="C545" s="36"/>
      <c r="D545" s="36"/>
      <c r="E545" s="36"/>
      <c r="F545" s="36"/>
      <c r="G545" s="35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</row>
    <row r="546" spans="2:47" ht="15.75" customHeight="1" x14ac:dyDescent="0.2">
      <c r="B546" s="2"/>
      <c r="C546" s="36"/>
      <c r="D546" s="36"/>
      <c r="E546" s="36"/>
      <c r="F546" s="36"/>
      <c r="G546" s="35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</row>
    <row r="547" spans="2:47" ht="15.75" customHeight="1" x14ac:dyDescent="0.2">
      <c r="B547" s="2"/>
      <c r="C547" s="36"/>
      <c r="D547" s="36"/>
      <c r="E547" s="36"/>
      <c r="F547" s="36"/>
      <c r="G547" s="35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</row>
    <row r="548" spans="2:47" ht="15.75" customHeight="1" x14ac:dyDescent="0.2">
      <c r="B548" s="2"/>
      <c r="C548" s="36"/>
      <c r="D548" s="36"/>
      <c r="E548" s="36"/>
      <c r="F548" s="36"/>
      <c r="G548" s="35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</row>
    <row r="549" spans="2:47" ht="15.75" customHeight="1" x14ac:dyDescent="0.2">
      <c r="B549" s="2"/>
      <c r="C549" s="36"/>
      <c r="D549" s="36"/>
      <c r="E549" s="36"/>
      <c r="F549" s="36"/>
      <c r="G549" s="35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</row>
    <row r="550" spans="2:47" ht="15.75" customHeight="1" x14ac:dyDescent="0.2">
      <c r="B550" s="2"/>
      <c r="C550" s="36"/>
      <c r="D550" s="36"/>
      <c r="E550" s="36"/>
      <c r="F550" s="36"/>
      <c r="G550" s="35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</row>
    <row r="551" spans="2:47" ht="15.75" customHeight="1" x14ac:dyDescent="0.2">
      <c r="B551" s="2"/>
      <c r="C551" s="36"/>
      <c r="D551" s="36"/>
      <c r="E551" s="36"/>
      <c r="F551" s="36"/>
      <c r="G551" s="35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</row>
    <row r="552" spans="2:47" ht="15.75" customHeight="1" x14ac:dyDescent="0.2">
      <c r="B552" s="2"/>
      <c r="C552" s="36"/>
      <c r="D552" s="36"/>
      <c r="E552" s="36"/>
      <c r="F552" s="36"/>
      <c r="G552" s="35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</row>
    <row r="553" spans="2:47" ht="15.75" customHeight="1" x14ac:dyDescent="0.2">
      <c r="B553" s="2"/>
      <c r="C553" s="36"/>
      <c r="D553" s="36"/>
      <c r="E553" s="36"/>
      <c r="F553" s="36"/>
      <c r="G553" s="35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</row>
    <row r="554" spans="2:47" ht="15.75" customHeight="1" x14ac:dyDescent="0.2">
      <c r="B554" s="2"/>
      <c r="C554" s="36"/>
      <c r="D554" s="36"/>
      <c r="E554" s="36"/>
      <c r="F554" s="36"/>
      <c r="G554" s="35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</row>
    <row r="555" spans="2:47" ht="15.75" customHeight="1" x14ac:dyDescent="0.2">
      <c r="B555" s="2"/>
      <c r="C555" s="36"/>
      <c r="D555" s="36"/>
      <c r="E555" s="36"/>
      <c r="F555" s="36"/>
      <c r="G555" s="35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</row>
    <row r="556" spans="2:47" ht="15.75" customHeight="1" x14ac:dyDescent="0.2">
      <c r="B556" s="2"/>
      <c r="C556" s="36"/>
      <c r="D556" s="36"/>
      <c r="E556" s="36"/>
      <c r="F556" s="36"/>
      <c r="G556" s="35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</row>
    <row r="557" spans="2:47" ht="15.75" customHeight="1" x14ac:dyDescent="0.2">
      <c r="B557" s="2"/>
      <c r="C557" s="36"/>
      <c r="D557" s="36"/>
      <c r="E557" s="36"/>
      <c r="F557" s="36"/>
      <c r="G557" s="35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</row>
    <row r="558" spans="2:47" ht="15.75" customHeight="1" x14ac:dyDescent="0.2">
      <c r="B558" s="2"/>
      <c r="C558" s="36"/>
      <c r="D558" s="36"/>
      <c r="E558" s="36"/>
      <c r="F558" s="36"/>
      <c r="G558" s="35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</row>
    <row r="559" spans="2:47" ht="15.75" customHeight="1" x14ac:dyDescent="0.2">
      <c r="B559" s="2"/>
      <c r="C559" s="36"/>
      <c r="D559" s="36"/>
      <c r="E559" s="36"/>
      <c r="F559" s="36"/>
      <c r="G559" s="35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</row>
    <row r="560" spans="2:47" ht="15.75" customHeight="1" x14ac:dyDescent="0.2">
      <c r="B560" s="2"/>
      <c r="C560" s="36"/>
      <c r="D560" s="36"/>
      <c r="E560" s="36"/>
      <c r="F560" s="36"/>
      <c r="G560" s="35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</row>
    <row r="561" spans="2:47" ht="15.75" customHeight="1" x14ac:dyDescent="0.2">
      <c r="B561" s="2"/>
      <c r="C561" s="36"/>
      <c r="D561" s="36"/>
      <c r="E561" s="36"/>
      <c r="F561" s="36"/>
      <c r="G561" s="35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</row>
    <row r="562" spans="2:47" ht="15.75" customHeight="1" x14ac:dyDescent="0.2">
      <c r="B562" s="2"/>
      <c r="C562" s="36"/>
      <c r="D562" s="36"/>
      <c r="E562" s="36"/>
      <c r="F562" s="36"/>
      <c r="G562" s="35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</row>
    <row r="563" spans="2:47" ht="15.75" customHeight="1" x14ac:dyDescent="0.2">
      <c r="B563" s="2"/>
      <c r="C563" s="36"/>
      <c r="D563" s="36"/>
      <c r="E563" s="36"/>
      <c r="F563" s="36"/>
      <c r="G563" s="35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</row>
    <row r="564" spans="2:47" ht="15.75" customHeight="1" x14ac:dyDescent="0.2">
      <c r="B564" s="2"/>
      <c r="C564" s="36"/>
      <c r="D564" s="36"/>
      <c r="E564" s="36"/>
      <c r="F564" s="36"/>
      <c r="G564" s="35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</row>
    <row r="565" spans="2:47" ht="15.75" customHeight="1" x14ac:dyDescent="0.2">
      <c r="B565" s="2"/>
      <c r="C565" s="36"/>
      <c r="D565" s="36"/>
      <c r="E565" s="36"/>
      <c r="F565" s="36"/>
      <c r="G565" s="35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</row>
    <row r="566" spans="2:47" ht="15.75" customHeight="1" x14ac:dyDescent="0.2">
      <c r="B566" s="2"/>
      <c r="C566" s="36"/>
      <c r="D566" s="36"/>
      <c r="E566" s="36"/>
      <c r="F566" s="36"/>
      <c r="G566" s="35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</row>
    <row r="567" spans="2:47" ht="15.75" customHeight="1" x14ac:dyDescent="0.2">
      <c r="B567" s="2"/>
      <c r="C567" s="36"/>
      <c r="D567" s="36"/>
      <c r="E567" s="36"/>
      <c r="F567" s="36"/>
      <c r="G567" s="35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</row>
    <row r="568" spans="2:47" ht="15.75" customHeight="1" x14ac:dyDescent="0.2">
      <c r="B568" s="2"/>
      <c r="C568" s="36"/>
      <c r="D568" s="36"/>
      <c r="E568" s="36"/>
      <c r="F568" s="36"/>
      <c r="G568" s="35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</row>
    <row r="569" spans="2:47" ht="15.75" customHeight="1" x14ac:dyDescent="0.2">
      <c r="B569" s="2"/>
      <c r="C569" s="36"/>
      <c r="D569" s="36"/>
      <c r="E569" s="36"/>
      <c r="F569" s="36"/>
      <c r="G569" s="35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</row>
    <row r="570" spans="2:47" ht="15.75" customHeight="1" x14ac:dyDescent="0.2">
      <c r="B570" s="2"/>
      <c r="C570" s="36"/>
      <c r="D570" s="36"/>
      <c r="E570" s="36"/>
      <c r="F570" s="36"/>
      <c r="G570" s="35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</row>
    <row r="571" spans="2:47" ht="15.75" customHeight="1" x14ac:dyDescent="0.2">
      <c r="B571" s="2"/>
      <c r="C571" s="36"/>
      <c r="D571" s="36"/>
      <c r="E571" s="36"/>
      <c r="F571" s="36"/>
      <c r="G571" s="35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</row>
    <row r="572" spans="2:47" ht="15.75" customHeight="1" x14ac:dyDescent="0.2">
      <c r="B572" s="2"/>
      <c r="C572" s="36"/>
      <c r="D572" s="36"/>
      <c r="E572" s="36"/>
      <c r="F572" s="36"/>
      <c r="G572" s="35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</row>
    <row r="573" spans="2:47" ht="15.75" customHeight="1" x14ac:dyDescent="0.2">
      <c r="B573" s="2"/>
      <c r="C573" s="36"/>
      <c r="D573" s="36"/>
      <c r="E573" s="36"/>
      <c r="F573" s="36"/>
      <c r="G573" s="35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</row>
    <row r="574" spans="2:47" ht="15.75" customHeight="1" x14ac:dyDescent="0.2">
      <c r="B574" s="2"/>
      <c r="C574" s="36"/>
      <c r="D574" s="36"/>
      <c r="E574" s="36"/>
      <c r="F574" s="36"/>
      <c r="G574" s="35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</row>
    <row r="575" spans="2:47" ht="15.75" customHeight="1" x14ac:dyDescent="0.2">
      <c r="B575" s="2"/>
      <c r="C575" s="36"/>
      <c r="D575" s="36"/>
      <c r="E575" s="36"/>
      <c r="F575" s="36"/>
      <c r="G575" s="35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</row>
    <row r="576" spans="2:47" ht="15.75" customHeight="1" x14ac:dyDescent="0.2">
      <c r="B576" s="2"/>
      <c r="C576" s="36"/>
      <c r="D576" s="36"/>
      <c r="E576" s="36"/>
      <c r="F576" s="36"/>
      <c r="G576" s="35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</row>
    <row r="577" spans="2:47" ht="15.75" customHeight="1" x14ac:dyDescent="0.2">
      <c r="B577" s="2"/>
      <c r="C577" s="36"/>
      <c r="D577" s="36"/>
      <c r="E577" s="36"/>
      <c r="F577" s="36"/>
      <c r="G577" s="35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</row>
    <row r="578" spans="2:47" ht="15.75" customHeight="1" x14ac:dyDescent="0.2">
      <c r="B578" s="2"/>
      <c r="C578" s="36"/>
      <c r="D578" s="36"/>
      <c r="E578" s="36"/>
      <c r="F578" s="36"/>
      <c r="G578" s="35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</row>
    <row r="579" spans="2:47" ht="15.75" customHeight="1" x14ac:dyDescent="0.2">
      <c r="B579" s="2"/>
      <c r="C579" s="36"/>
      <c r="D579" s="36"/>
      <c r="E579" s="36"/>
      <c r="F579" s="36"/>
      <c r="G579" s="35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</row>
    <row r="580" spans="2:47" ht="15.75" customHeight="1" x14ac:dyDescent="0.2">
      <c r="B580" s="2"/>
      <c r="C580" s="36"/>
      <c r="D580" s="36"/>
      <c r="E580" s="36"/>
      <c r="F580" s="36"/>
      <c r="G580" s="35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</row>
    <row r="581" spans="2:47" ht="15.75" customHeight="1" x14ac:dyDescent="0.2">
      <c r="B581" s="2"/>
      <c r="C581" s="36"/>
      <c r="D581" s="36"/>
      <c r="E581" s="36"/>
      <c r="F581" s="36"/>
      <c r="G581" s="35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</row>
    <row r="582" spans="2:47" ht="15.75" customHeight="1" x14ac:dyDescent="0.2">
      <c r="B582" s="2"/>
      <c r="C582" s="36"/>
      <c r="D582" s="36"/>
      <c r="E582" s="36"/>
      <c r="F582" s="36"/>
      <c r="G582" s="35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</row>
    <row r="583" spans="2:47" ht="15.75" customHeight="1" x14ac:dyDescent="0.2">
      <c r="B583" s="2"/>
      <c r="C583" s="36"/>
      <c r="D583" s="36"/>
      <c r="E583" s="36"/>
      <c r="F583" s="36"/>
      <c r="G583" s="35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</row>
    <row r="584" spans="2:47" ht="15.75" customHeight="1" x14ac:dyDescent="0.2">
      <c r="B584" s="2"/>
      <c r="C584" s="36"/>
      <c r="D584" s="36"/>
      <c r="E584" s="36"/>
      <c r="F584" s="36"/>
      <c r="G584" s="35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</row>
    <row r="585" spans="2:47" ht="15.75" customHeight="1" x14ac:dyDescent="0.2">
      <c r="B585" s="2"/>
      <c r="C585" s="36"/>
      <c r="D585" s="36"/>
      <c r="E585" s="36"/>
      <c r="F585" s="36"/>
      <c r="G585" s="35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</row>
    <row r="586" spans="2:47" ht="15.75" customHeight="1" x14ac:dyDescent="0.2">
      <c r="B586" s="2"/>
      <c r="C586" s="36"/>
      <c r="D586" s="36"/>
      <c r="E586" s="36"/>
      <c r="F586" s="36"/>
      <c r="G586" s="35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</row>
    <row r="587" spans="2:47" ht="15.75" customHeight="1" x14ac:dyDescent="0.2">
      <c r="B587" s="2"/>
      <c r="C587" s="36"/>
      <c r="D587" s="36"/>
      <c r="E587" s="36"/>
      <c r="F587" s="36"/>
      <c r="G587" s="35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</row>
    <row r="588" spans="2:47" ht="15.75" customHeight="1" x14ac:dyDescent="0.2">
      <c r="B588" s="2"/>
      <c r="C588" s="36"/>
      <c r="D588" s="36"/>
      <c r="E588" s="36"/>
      <c r="F588" s="36"/>
      <c r="G588" s="35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</row>
    <row r="589" spans="2:47" ht="15.75" customHeight="1" x14ac:dyDescent="0.2">
      <c r="B589" s="2"/>
      <c r="C589" s="36"/>
      <c r="D589" s="36"/>
      <c r="E589" s="36"/>
      <c r="F589" s="36"/>
      <c r="G589" s="35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</row>
    <row r="590" spans="2:47" ht="15.75" customHeight="1" x14ac:dyDescent="0.2">
      <c r="B590" s="2"/>
      <c r="C590" s="36"/>
      <c r="D590" s="36"/>
      <c r="E590" s="36"/>
      <c r="F590" s="36"/>
      <c r="G590" s="35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</row>
    <row r="591" spans="2:47" ht="15.75" customHeight="1" x14ac:dyDescent="0.2">
      <c r="B591" s="2"/>
      <c r="C591" s="36"/>
      <c r="D591" s="36"/>
      <c r="E591" s="36"/>
      <c r="F591" s="36"/>
      <c r="G591" s="35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</row>
    <row r="592" spans="2:47" ht="15.75" customHeight="1" x14ac:dyDescent="0.2">
      <c r="B592" s="2"/>
      <c r="C592" s="36"/>
      <c r="D592" s="36"/>
      <c r="E592" s="36"/>
      <c r="F592" s="36"/>
      <c r="G592" s="35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</row>
    <row r="593" spans="2:47" ht="15.75" customHeight="1" x14ac:dyDescent="0.2">
      <c r="B593" s="2"/>
      <c r="C593" s="36"/>
      <c r="D593" s="36"/>
      <c r="E593" s="36"/>
      <c r="F593" s="36"/>
      <c r="G593" s="35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</row>
    <row r="594" spans="2:47" ht="15.75" customHeight="1" x14ac:dyDescent="0.2">
      <c r="B594" s="2"/>
      <c r="C594" s="36"/>
      <c r="D594" s="36"/>
      <c r="E594" s="36"/>
      <c r="F594" s="36"/>
      <c r="G594" s="35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</row>
    <row r="595" spans="2:47" ht="15.75" customHeight="1" x14ac:dyDescent="0.2">
      <c r="B595" s="2"/>
      <c r="C595" s="36"/>
      <c r="D595" s="36"/>
      <c r="E595" s="36"/>
      <c r="F595" s="36"/>
      <c r="G595" s="35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</row>
    <row r="596" spans="2:47" ht="15.75" customHeight="1" x14ac:dyDescent="0.2">
      <c r="B596" s="2"/>
      <c r="C596" s="36"/>
      <c r="D596" s="36"/>
      <c r="E596" s="36"/>
      <c r="F596" s="36"/>
      <c r="G596" s="35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</row>
    <row r="597" spans="2:47" ht="15.75" customHeight="1" x14ac:dyDescent="0.2">
      <c r="B597" s="2"/>
      <c r="C597" s="36"/>
      <c r="D597" s="36"/>
      <c r="E597" s="36"/>
      <c r="F597" s="36"/>
      <c r="G597" s="35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</row>
    <row r="598" spans="2:47" ht="15.75" customHeight="1" x14ac:dyDescent="0.2">
      <c r="B598" s="2"/>
      <c r="C598" s="36"/>
      <c r="D598" s="36"/>
      <c r="E598" s="36"/>
      <c r="F598" s="36"/>
      <c r="G598" s="35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</row>
    <row r="599" spans="2:47" ht="15.75" customHeight="1" x14ac:dyDescent="0.2">
      <c r="B599" s="2"/>
      <c r="C599" s="36"/>
      <c r="D599" s="36"/>
      <c r="E599" s="36"/>
      <c r="F599" s="36"/>
      <c r="G599" s="35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</row>
    <row r="600" spans="2:47" ht="15.75" customHeight="1" x14ac:dyDescent="0.2">
      <c r="B600" s="2"/>
      <c r="C600" s="36"/>
      <c r="D600" s="36"/>
      <c r="E600" s="36"/>
      <c r="F600" s="36"/>
      <c r="G600" s="35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</row>
    <row r="601" spans="2:47" ht="15.75" customHeight="1" x14ac:dyDescent="0.2">
      <c r="B601" s="2"/>
      <c r="C601" s="36"/>
      <c r="D601" s="36"/>
      <c r="E601" s="36"/>
      <c r="F601" s="36"/>
      <c r="G601" s="35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</row>
    <row r="602" spans="2:47" ht="15.75" customHeight="1" x14ac:dyDescent="0.2">
      <c r="B602" s="2"/>
      <c r="C602" s="36"/>
      <c r="D602" s="36"/>
      <c r="E602" s="36"/>
      <c r="F602" s="36"/>
      <c r="G602" s="35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</row>
    <row r="603" spans="2:47" ht="15.75" customHeight="1" x14ac:dyDescent="0.2">
      <c r="B603" s="2"/>
      <c r="C603" s="36"/>
      <c r="D603" s="36"/>
      <c r="E603" s="36"/>
      <c r="F603" s="36"/>
      <c r="G603" s="35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</row>
    <row r="604" spans="2:47" ht="15.75" customHeight="1" x14ac:dyDescent="0.2">
      <c r="B604" s="2"/>
      <c r="C604" s="36"/>
      <c r="D604" s="36"/>
      <c r="E604" s="36"/>
      <c r="F604" s="36"/>
      <c r="G604" s="35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</row>
    <row r="605" spans="2:47" ht="15.75" customHeight="1" x14ac:dyDescent="0.2">
      <c r="B605" s="2"/>
      <c r="C605" s="36"/>
      <c r="D605" s="36"/>
      <c r="E605" s="36"/>
      <c r="F605" s="36"/>
      <c r="G605" s="35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</row>
    <row r="606" spans="2:47" ht="15.75" customHeight="1" x14ac:dyDescent="0.2">
      <c r="B606" s="2"/>
      <c r="C606" s="36"/>
      <c r="D606" s="36"/>
      <c r="E606" s="36"/>
      <c r="F606" s="36"/>
      <c r="G606" s="35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</row>
    <row r="607" spans="2:47" ht="15.75" customHeight="1" x14ac:dyDescent="0.2">
      <c r="B607" s="2"/>
      <c r="C607" s="36"/>
      <c r="D607" s="36"/>
      <c r="E607" s="36"/>
      <c r="F607" s="36"/>
      <c r="G607" s="35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</row>
    <row r="608" spans="2:47" ht="15.75" customHeight="1" x14ac:dyDescent="0.2">
      <c r="B608" s="2"/>
      <c r="C608" s="36"/>
      <c r="D608" s="36"/>
      <c r="E608" s="36"/>
      <c r="F608" s="36"/>
      <c r="G608" s="35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</row>
    <row r="609" spans="2:47" ht="15.75" customHeight="1" x14ac:dyDescent="0.2">
      <c r="B609" s="2"/>
      <c r="C609" s="36"/>
      <c r="D609" s="36"/>
      <c r="E609" s="36"/>
      <c r="F609" s="36"/>
      <c r="G609" s="35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</row>
    <row r="610" spans="2:47" ht="15.75" customHeight="1" x14ac:dyDescent="0.2">
      <c r="B610" s="2"/>
      <c r="C610" s="36"/>
      <c r="D610" s="36"/>
      <c r="E610" s="36"/>
      <c r="F610" s="36"/>
      <c r="G610" s="35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</row>
    <row r="611" spans="2:47" ht="15.75" customHeight="1" x14ac:dyDescent="0.2">
      <c r="B611" s="2"/>
      <c r="C611" s="36"/>
      <c r="D611" s="36"/>
      <c r="E611" s="36"/>
      <c r="F611" s="36"/>
      <c r="G611" s="35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</row>
    <row r="612" spans="2:47" ht="15.75" customHeight="1" x14ac:dyDescent="0.2">
      <c r="B612" s="2"/>
      <c r="C612" s="36"/>
      <c r="D612" s="36"/>
      <c r="E612" s="36"/>
      <c r="F612" s="36"/>
      <c r="G612" s="35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</row>
    <row r="613" spans="2:47" ht="15.75" customHeight="1" x14ac:dyDescent="0.2">
      <c r="B613" s="2"/>
      <c r="C613" s="36"/>
      <c r="D613" s="36"/>
      <c r="E613" s="36"/>
      <c r="F613" s="36"/>
      <c r="G613" s="35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</row>
    <row r="614" spans="2:47" ht="15.75" customHeight="1" x14ac:dyDescent="0.2">
      <c r="B614" s="2"/>
      <c r="C614" s="36"/>
      <c r="D614" s="36"/>
      <c r="E614" s="36"/>
      <c r="F614" s="36"/>
      <c r="G614" s="35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</row>
    <row r="615" spans="2:47" ht="15.75" customHeight="1" x14ac:dyDescent="0.2">
      <c r="B615" s="2"/>
      <c r="C615" s="36"/>
      <c r="D615" s="36"/>
      <c r="E615" s="36"/>
      <c r="F615" s="36"/>
      <c r="G615" s="35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</row>
    <row r="616" spans="2:47" ht="15.75" customHeight="1" x14ac:dyDescent="0.2">
      <c r="B616" s="2"/>
      <c r="C616" s="36"/>
      <c r="D616" s="36"/>
      <c r="E616" s="36"/>
      <c r="F616" s="36"/>
      <c r="G616" s="35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</row>
    <row r="617" spans="2:47" ht="15.75" customHeight="1" x14ac:dyDescent="0.2">
      <c r="B617" s="2"/>
      <c r="C617" s="36"/>
      <c r="D617" s="36"/>
      <c r="E617" s="36"/>
      <c r="F617" s="36"/>
      <c r="G617" s="35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</row>
    <row r="618" spans="2:47" ht="15.75" customHeight="1" x14ac:dyDescent="0.2">
      <c r="B618" s="2"/>
      <c r="C618" s="36"/>
      <c r="D618" s="36"/>
      <c r="E618" s="36"/>
      <c r="F618" s="36"/>
      <c r="G618" s="35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</row>
    <row r="619" spans="2:47" ht="15.75" customHeight="1" x14ac:dyDescent="0.2">
      <c r="B619" s="2"/>
      <c r="C619" s="36"/>
      <c r="D619" s="36"/>
      <c r="E619" s="36"/>
      <c r="F619" s="36"/>
      <c r="G619" s="35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</row>
    <row r="620" spans="2:47" ht="15.75" customHeight="1" x14ac:dyDescent="0.2">
      <c r="B620" s="2"/>
      <c r="C620" s="36"/>
      <c r="D620" s="36"/>
      <c r="E620" s="36"/>
      <c r="F620" s="36"/>
      <c r="G620" s="35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</row>
    <row r="621" spans="2:47" ht="15.75" customHeight="1" x14ac:dyDescent="0.2">
      <c r="B621" s="2"/>
      <c r="C621" s="36"/>
      <c r="D621" s="36"/>
      <c r="E621" s="36"/>
      <c r="F621" s="36"/>
      <c r="G621" s="35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</row>
    <row r="622" spans="2:47" ht="15.75" customHeight="1" x14ac:dyDescent="0.2">
      <c r="B622" s="2"/>
      <c r="C622" s="36"/>
      <c r="D622" s="36"/>
      <c r="E622" s="36"/>
      <c r="F622" s="36"/>
      <c r="G622" s="35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</row>
    <row r="623" spans="2:47" ht="15.75" customHeight="1" x14ac:dyDescent="0.2">
      <c r="B623" s="2"/>
      <c r="C623" s="36"/>
      <c r="D623" s="36"/>
      <c r="E623" s="36"/>
      <c r="F623" s="36"/>
      <c r="G623" s="35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</row>
    <row r="624" spans="2:47" ht="15.75" customHeight="1" x14ac:dyDescent="0.2">
      <c r="B624" s="2"/>
      <c r="C624" s="36"/>
      <c r="D624" s="36"/>
      <c r="E624" s="36"/>
      <c r="F624" s="36"/>
      <c r="G624" s="35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</row>
    <row r="625" spans="2:47" ht="15.75" customHeight="1" x14ac:dyDescent="0.2">
      <c r="B625" s="2"/>
      <c r="C625" s="36"/>
      <c r="D625" s="36"/>
      <c r="E625" s="36"/>
      <c r="F625" s="36"/>
      <c r="G625" s="35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</row>
    <row r="626" spans="2:47" ht="15.75" customHeight="1" x14ac:dyDescent="0.2">
      <c r="B626" s="2"/>
      <c r="C626" s="36"/>
      <c r="D626" s="36"/>
      <c r="E626" s="36"/>
      <c r="F626" s="36"/>
      <c r="G626" s="35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</row>
    <row r="627" spans="2:47" ht="15.75" customHeight="1" x14ac:dyDescent="0.2">
      <c r="B627" s="2"/>
      <c r="C627" s="36"/>
      <c r="D627" s="36"/>
      <c r="E627" s="36"/>
      <c r="F627" s="36"/>
      <c r="G627" s="35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</row>
    <row r="628" spans="2:47" ht="15.75" customHeight="1" x14ac:dyDescent="0.2">
      <c r="B628" s="2"/>
      <c r="C628" s="36"/>
      <c r="D628" s="36"/>
      <c r="E628" s="36"/>
      <c r="F628" s="36"/>
      <c r="G628" s="35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</row>
    <row r="629" spans="2:47" ht="15.75" customHeight="1" x14ac:dyDescent="0.2">
      <c r="B629" s="2"/>
      <c r="C629" s="36"/>
      <c r="D629" s="36"/>
      <c r="E629" s="36"/>
      <c r="F629" s="36"/>
      <c r="G629" s="35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</row>
    <row r="630" spans="2:47" ht="15.75" customHeight="1" x14ac:dyDescent="0.2">
      <c r="B630" s="2"/>
      <c r="C630" s="36"/>
      <c r="D630" s="36"/>
      <c r="E630" s="36"/>
      <c r="F630" s="36"/>
      <c r="G630" s="35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</row>
    <row r="631" spans="2:47" ht="15.75" customHeight="1" x14ac:dyDescent="0.2">
      <c r="B631" s="2"/>
      <c r="C631" s="36"/>
      <c r="D631" s="36"/>
      <c r="E631" s="36"/>
      <c r="F631" s="36"/>
      <c r="G631" s="35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</row>
    <row r="632" spans="2:47" ht="15.75" customHeight="1" x14ac:dyDescent="0.2">
      <c r="B632" s="2"/>
      <c r="C632" s="36"/>
      <c r="D632" s="36"/>
      <c r="E632" s="36"/>
      <c r="F632" s="36"/>
      <c r="G632" s="35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</row>
    <row r="633" spans="2:47" ht="15.75" customHeight="1" x14ac:dyDescent="0.2">
      <c r="B633" s="2"/>
      <c r="C633" s="36"/>
      <c r="D633" s="36"/>
      <c r="E633" s="36"/>
      <c r="F633" s="36"/>
      <c r="G633" s="35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</row>
    <row r="634" spans="2:47" ht="15.75" customHeight="1" x14ac:dyDescent="0.2">
      <c r="B634" s="2"/>
      <c r="C634" s="36"/>
      <c r="D634" s="36"/>
      <c r="E634" s="36"/>
      <c r="F634" s="36"/>
      <c r="G634" s="35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</row>
    <row r="635" spans="2:47" ht="15.75" customHeight="1" x14ac:dyDescent="0.2"/>
    <row r="636" spans="2:47" ht="15.75" customHeight="1" x14ac:dyDescent="0.2"/>
    <row r="637" spans="2:47" ht="15.75" customHeight="1" x14ac:dyDescent="0.2"/>
    <row r="638" spans="2:47" ht="15.75" customHeight="1" x14ac:dyDescent="0.2"/>
    <row r="639" spans="2:47" ht="15.75" customHeight="1" x14ac:dyDescent="0.2"/>
    <row r="640" spans="2:47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</sheetData>
  <mergeCells count="2">
    <mergeCell ref="B3:F3"/>
    <mergeCell ref="B4:F4"/>
  </mergeCells>
  <phoneticPr fontId="12" type="noConversion"/>
  <pageMargins left="0.45" right="0.15748031496062992" top="0.15748031496062992" bottom="0.15748031496062992" header="0.15748031496062992" footer="0.15748031496062992"/>
  <pageSetup paperSize="9" scale="81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I2"/>
  <sheetViews>
    <sheetView tabSelected="1" workbookViewId="0">
      <selection activeCell="I3" sqref="I3"/>
    </sheetView>
  </sheetViews>
  <sheetFormatPr defaultRowHeight="12.75" x14ac:dyDescent="0.2"/>
  <sheetData>
    <row r="1" spans="9:9" x14ac:dyDescent="0.2">
      <c r="I1" s="260" t="s">
        <v>1000</v>
      </c>
    </row>
    <row r="2" spans="9:9" x14ac:dyDescent="0.2">
      <c r="I2" s="260" t="str">
        <f>'16.Gördülő tervezés'!F2</f>
        <v>a 3/2021.(V.28.) önkormányzati rendelethez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zoomScale="80" zoomScaleNormal="80" zoomScaleSheetLayoutView="84" workbookViewId="0">
      <selection activeCell="G28" sqref="G28"/>
    </sheetView>
  </sheetViews>
  <sheetFormatPr defaultRowHeight="12.75" x14ac:dyDescent="0.2"/>
  <cols>
    <col min="1" max="1" width="14.42578125" style="409" customWidth="1"/>
    <col min="2" max="2" width="12.140625" style="409" customWidth="1"/>
    <col min="3" max="3" width="9.42578125" style="409" customWidth="1"/>
    <col min="4" max="4" width="9.28515625" style="409" customWidth="1"/>
    <col min="5" max="5" width="8.5703125" style="409" customWidth="1"/>
    <col min="6" max="6" width="8.140625" style="409" customWidth="1"/>
    <col min="7" max="7" width="9.5703125" style="409" customWidth="1"/>
    <col min="8" max="8" width="14.140625" style="409" customWidth="1"/>
    <col min="9" max="9" width="8" style="409" customWidth="1"/>
    <col min="10" max="10" width="9.140625" style="409" hidden="1" customWidth="1"/>
    <col min="11" max="11" width="5.85546875" style="409" customWidth="1"/>
    <col min="12" max="12" width="10.5703125" style="409" customWidth="1"/>
    <col min="13" max="13" width="9.28515625" style="409" bestFit="1" customWidth="1"/>
    <col min="14" max="14" width="10" style="409" customWidth="1"/>
    <col min="15" max="15" width="12.28515625" style="455" customWidth="1"/>
    <col min="16" max="16" width="10.5703125" style="409" customWidth="1"/>
    <col min="17" max="17" width="10.7109375" style="409" customWidth="1"/>
    <col min="18" max="18" width="8" style="408" customWidth="1"/>
    <col min="19" max="19" width="8.42578125" style="409" customWidth="1"/>
    <col min="20" max="20" width="10.140625" style="409" customWidth="1"/>
    <col min="21" max="16384" width="9.140625" style="409"/>
  </cols>
  <sheetData>
    <row r="1" spans="1:20" x14ac:dyDescent="0.2">
      <c r="A1" s="406"/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7"/>
      <c r="P1" s="406"/>
      <c r="Q1" s="406"/>
    </row>
    <row r="2" spans="1:20" x14ac:dyDescent="0.2">
      <c r="A2" s="407" t="s">
        <v>621</v>
      </c>
      <c r="B2" s="406"/>
      <c r="C2" s="406"/>
      <c r="D2" s="406"/>
      <c r="E2" s="406"/>
      <c r="G2" s="406"/>
      <c r="H2" s="406"/>
      <c r="I2" s="406"/>
      <c r="J2" s="406"/>
      <c r="K2" s="406"/>
      <c r="L2" s="406"/>
      <c r="M2" s="406"/>
      <c r="N2" s="406"/>
      <c r="O2" s="407"/>
      <c r="P2" s="406"/>
      <c r="Q2" s="406"/>
    </row>
    <row r="3" spans="1:20" ht="13.5" thickBot="1" x14ac:dyDescent="0.25">
      <c r="A3" s="407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7"/>
      <c r="Q3" s="410" t="s">
        <v>512</v>
      </c>
    </row>
    <row r="4" spans="1:20" ht="13.5" thickBot="1" x14ac:dyDescent="0.25">
      <c r="A4" s="727" t="s">
        <v>513</v>
      </c>
      <c r="B4" s="731" t="s">
        <v>514</v>
      </c>
      <c r="C4" s="733" t="s">
        <v>515</v>
      </c>
      <c r="D4" s="733"/>
      <c r="E4" s="733"/>
      <c r="F4" s="733"/>
      <c r="G4" s="733"/>
      <c r="H4" s="727" t="s">
        <v>513</v>
      </c>
      <c r="I4" s="735" t="s">
        <v>516</v>
      </c>
      <c r="J4" s="736"/>
      <c r="K4" s="736"/>
      <c r="L4" s="736"/>
      <c r="M4" s="736"/>
      <c r="N4" s="736"/>
      <c r="O4" s="737"/>
      <c r="P4" s="738" t="s">
        <v>517</v>
      </c>
      <c r="Q4" s="723" t="s">
        <v>622</v>
      </c>
      <c r="S4" s="725" t="s">
        <v>623</v>
      </c>
    </row>
    <row r="5" spans="1:20" s="415" customFormat="1" ht="48.75" thickBot="1" x14ac:dyDescent="0.25">
      <c r="A5" s="728"/>
      <c r="B5" s="732"/>
      <c r="C5" s="411" t="s">
        <v>518</v>
      </c>
      <c r="D5" s="412" t="s">
        <v>519</v>
      </c>
      <c r="E5" s="412" t="s">
        <v>520</v>
      </c>
      <c r="F5" s="413" t="s">
        <v>521</v>
      </c>
      <c r="G5" s="414" t="s">
        <v>522</v>
      </c>
      <c r="H5" s="734"/>
      <c r="I5" s="411" t="s">
        <v>523</v>
      </c>
      <c r="K5" s="412" t="s">
        <v>524</v>
      </c>
      <c r="L5" s="412" t="s">
        <v>525</v>
      </c>
      <c r="M5" s="412" t="s">
        <v>526</v>
      </c>
      <c r="N5" s="413" t="s">
        <v>527</v>
      </c>
      <c r="O5" s="414" t="s">
        <v>528</v>
      </c>
      <c r="P5" s="739"/>
      <c r="Q5" s="724"/>
      <c r="R5" s="416" t="s">
        <v>529</v>
      </c>
      <c r="S5" s="726"/>
    </row>
    <row r="6" spans="1:20" x14ac:dyDescent="0.2">
      <c r="A6" s="417" t="s">
        <v>530</v>
      </c>
      <c r="B6" s="418">
        <f>'[3]TKT műk.'!B39</f>
        <v>2302</v>
      </c>
      <c r="C6" s="419">
        <f>'[3]Társulási hozzájár.'!F9</f>
        <v>1151</v>
      </c>
      <c r="D6" s="420">
        <f>'[3]TKT műk.'!E39</f>
        <v>217.42356377799416</v>
      </c>
      <c r="E6" s="421">
        <f>[3]Ügyelet!E26</f>
        <v>6348.2028381188675</v>
      </c>
      <c r="F6" s="422">
        <f>[3]Labor!H27</f>
        <v>4459</v>
      </c>
      <c r="G6" s="423">
        <f t="shared" ref="G6:G18" si="0">SUM(C6:F6)</f>
        <v>12175.626401896861</v>
      </c>
      <c r="H6" s="424" t="s">
        <v>530</v>
      </c>
      <c r="I6" s="425">
        <f>'[3]Püg.,TV, étkeztetés '!E20</f>
        <v>3540</v>
      </c>
      <c r="K6" s="420">
        <v>0</v>
      </c>
      <c r="L6" s="420">
        <f>SUM('[3]Családsegítés, gyerm.jólét'!V41)</f>
        <v>208.01317563247162</v>
      </c>
      <c r="M6" s="421">
        <f>[3]Óvoda!H22+[3]Óvoda!C30</f>
        <v>8569</v>
      </c>
      <c r="N6" s="426">
        <f>'[3]Püg.,TV, étkeztetés '!D20</f>
        <v>620</v>
      </c>
      <c r="O6" s="423">
        <f>I6+L6+M6+N6</f>
        <v>12937.013175632472</v>
      </c>
      <c r="P6" s="427">
        <f t="shared" ref="P6:P19" si="1">G6+O6</f>
        <v>25112.639577529335</v>
      </c>
      <c r="Q6" s="428">
        <v>21983.516144707701</v>
      </c>
      <c r="R6" s="429">
        <f>P6-Q6</f>
        <v>3129.1234328216342</v>
      </c>
      <c r="S6" s="430">
        <v>0</v>
      </c>
    </row>
    <row r="7" spans="1:20" x14ac:dyDescent="0.2">
      <c r="A7" s="431" t="s">
        <v>531</v>
      </c>
      <c r="B7" s="418">
        <f>'[3]TKT műk.'!B40</f>
        <v>561</v>
      </c>
      <c r="C7" s="419">
        <f>'[3]Társulási hozzájár.'!F10</f>
        <v>280</v>
      </c>
      <c r="D7" s="420">
        <f>'[3]TKT műk.'!E40</f>
        <v>52.986368062317432</v>
      </c>
      <c r="E7" s="421">
        <f>[3]Ügyelet!E27</f>
        <v>1590.9801682365705</v>
      </c>
      <c r="F7" s="422">
        <f>[3]Labor!H28</f>
        <v>1087</v>
      </c>
      <c r="G7" s="423">
        <f t="shared" si="0"/>
        <v>3010.9665362988881</v>
      </c>
      <c r="H7" s="432" t="s">
        <v>531</v>
      </c>
      <c r="I7" s="425">
        <f>'[3]Püg.,TV, étkeztetés '!E21</f>
        <v>165</v>
      </c>
      <c r="K7" s="420">
        <v>0</v>
      </c>
      <c r="L7" s="420">
        <f>SUM('[3]Családsegítés, gyerm.jólét'!V54)</f>
        <v>135.0852473700306</v>
      </c>
      <c r="M7" s="433">
        <v>0</v>
      </c>
      <c r="N7" s="426">
        <f>'[3]Püg.,TV, étkeztetés '!D21</f>
        <v>0</v>
      </c>
      <c r="O7" s="423">
        <f t="shared" ref="O7:O18" si="2">I7+L7+M7+N7</f>
        <v>300.08524737003063</v>
      </c>
      <c r="P7" s="427">
        <f t="shared" si="1"/>
        <v>3311.0517836689187</v>
      </c>
      <c r="Q7" s="434">
        <v>2422.926615311449</v>
      </c>
      <c r="R7" s="429">
        <f t="shared" ref="R7:R19" si="3">P7-Q7</f>
        <v>888.12516835746965</v>
      </c>
      <c r="S7" s="435">
        <v>0</v>
      </c>
    </row>
    <row r="8" spans="1:20" x14ac:dyDescent="0.2">
      <c r="A8" s="431" t="s">
        <v>532</v>
      </c>
      <c r="B8" s="418">
        <f>'[3]TKT műk.'!B41</f>
        <v>2232</v>
      </c>
      <c r="C8" s="419">
        <f>'[3]Társulási hozzájár.'!F11</f>
        <v>1116</v>
      </c>
      <c r="D8" s="420">
        <f>'[3]TKT műk.'!E41</f>
        <v>210.81207400194742</v>
      </c>
      <c r="E8" s="421">
        <f>[3]Ügyelet!E28</f>
        <v>5955.6223800546923</v>
      </c>
      <c r="F8" s="422">
        <f>[3]Labor!H29</f>
        <v>4324</v>
      </c>
      <c r="G8" s="423">
        <f t="shared" si="0"/>
        <v>11606.43445405664</v>
      </c>
      <c r="H8" s="432" t="s">
        <v>532</v>
      </c>
      <c r="I8" s="425">
        <f>'[3]Püg.,TV, étkeztetés '!E22</f>
        <v>0</v>
      </c>
      <c r="K8" s="420">
        <v>0</v>
      </c>
      <c r="L8" s="420">
        <f>SUM('[3]Családsegítés, gyerm.jólét'!V49)</f>
        <v>1003.0215740812282</v>
      </c>
      <c r="M8" s="433">
        <v>0</v>
      </c>
      <c r="N8" s="426">
        <f>'[3]Püg.,TV, étkeztetés '!D22</f>
        <v>0</v>
      </c>
      <c r="O8" s="423">
        <f t="shared" si="2"/>
        <v>1003.0215740812282</v>
      </c>
      <c r="P8" s="427">
        <f t="shared" si="1"/>
        <v>12609.456028137869</v>
      </c>
      <c r="Q8" s="434">
        <v>13167.695259332875</v>
      </c>
      <c r="R8" s="429">
        <f t="shared" si="3"/>
        <v>-558.23923119500614</v>
      </c>
      <c r="S8" s="435">
        <v>0</v>
      </c>
    </row>
    <row r="9" spans="1:20" x14ac:dyDescent="0.2">
      <c r="A9" s="431" t="s">
        <v>533</v>
      </c>
      <c r="B9" s="418">
        <f>'[3]TKT műk.'!B42</f>
        <v>1827</v>
      </c>
      <c r="C9" s="419">
        <f>'[3]Társulási hozzájár.'!F12</f>
        <v>914</v>
      </c>
      <c r="D9" s="420">
        <f>'[3]TKT műk.'!E42</f>
        <v>172.55988315481986</v>
      </c>
      <c r="E9" s="421">
        <f>[3]Ügyelet!E29</f>
        <v>4339.6918885325267</v>
      </c>
      <c r="F9" s="422">
        <f>[3]Labor!H30</f>
        <v>3539</v>
      </c>
      <c r="G9" s="423">
        <f t="shared" si="0"/>
        <v>8965.2517716873463</v>
      </c>
      <c r="H9" s="432" t="s">
        <v>533</v>
      </c>
      <c r="I9" s="425">
        <f>'[3]Püg.,TV, étkeztetés '!E23</f>
        <v>0</v>
      </c>
      <c r="K9" s="420">
        <v>0</v>
      </c>
      <c r="L9" s="420">
        <f>SUM('[3]Családsegítés, gyerm.jólét'!V53)</f>
        <v>392.9752650764529</v>
      </c>
      <c r="M9" s="433">
        <v>0</v>
      </c>
      <c r="N9" s="426">
        <f>'[3]Püg.,TV, étkeztetés '!D23</f>
        <v>0</v>
      </c>
      <c r="O9" s="423">
        <f t="shared" si="2"/>
        <v>392.9752650764529</v>
      </c>
      <c r="P9" s="427">
        <f>G9+O9</f>
        <v>9358.2270367637993</v>
      </c>
      <c r="Q9" s="434">
        <v>7730.9942962433797</v>
      </c>
      <c r="R9" s="429">
        <f t="shared" si="3"/>
        <v>1627.2327405204196</v>
      </c>
      <c r="S9" s="435">
        <v>0</v>
      </c>
    </row>
    <row r="10" spans="1:20" x14ac:dyDescent="0.2">
      <c r="A10" s="431" t="s">
        <v>534</v>
      </c>
      <c r="B10" s="418">
        <f>'[3]TKT műk.'!B43</f>
        <v>596</v>
      </c>
      <c r="C10" s="419">
        <f>'[3]Társulási hozzájár.'!F13</f>
        <v>298</v>
      </c>
      <c r="D10" s="420">
        <f>'[3]TKT műk.'!E43</f>
        <v>56.292112950340794</v>
      </c>
      <c r="E10" s="421">
        <f>[3]Ügyelet!E30</f>
        <v>264.43775855584806</v>
      </c>
      <c r="F10" s="422">
        <f>[3]Labor!H31</f>
        <v>770</v>
      </c>
      <c r="G10" s="423">
        <f t="shared" si="0"/>
        <v>1388.7298715061888</v>
      </c>
      <c r="H10" s="432" t="s">
        <v>534</v>
      </c>
      <c r="I10" s="425">
        <f>'[3]Püg.,TV, étkeztetés '!E24</f>
        <v>165</v>
      </c>
      <c r="K10" s="420">
        <v>0</v>
      </c>
      <c r="L10" s="420">
        <f>SUM('[3]Családsegítés, gyerm.jólét'!V42)</f>
        <v>146.83282985821532</v>
      </c>
      <c r="M10" s="433">
        <f>[3]Óvoda!H18+[3]Óvoda!E30</f>
        <v>4230.8</v>
      </c>
      <c r="N10" s="426">
        <f>'[3]Püg.,TV, étkeztetés '!D24</f>
        <v>1510</v>
      </c>
      <c r="O10" s="423">
        <f t="shared" si="2"/>
        <v>6052.6328298582157</v>
      </c>
      <c r="P10" s="427">
        <f t="shared" si="1"/>
        <v>7441.3627013644045</v>
      </c>
      <c r="Q10" s="434">
        <v>6250.3340054271885</v>
      </c>
      <c r="R10" s="429">
        <f t="shared" si="3"/>
        <v>1191.0286959372161</v>
      </c>
      <c r="S10" s="435">
        <v>0</v>
      </c>
    </row>
    <row r="11" spans="1:20" x14ac:dyDescent="0.2">
      <c r="A11" s="431" t="s">
        <v>535</v>
      </c>
      <c r="B11" s="418">
        <f>'[3]TKT műk.'!B44</f>
        <v>551</v>
      </c>
      <c r="C11" s="419">
        <f>'[3]Társulási hozzájár.'!F14</f>
        <v>276</v>
      </c>
      <c r="D11" s="420">
        <f>'[3]TKT műk.'!E44</f>
        <v>52.04186952288218</v>
      </c>
      <c r="E11" s="421">
        <f>[3]Ügyelet!E31</f>
        <v>264.43775855584806</v>
      </c>
      <c r="F11" s="422">
        <f>[3]Labor!H32</f>
        <v>711</v>
      </c>
      <c r="G11" s="423">
        <f t="shared" si="0"/>
        <v>1303.4796280787302</v>
      </c>
      <c r="H11" s="432" t="s">
        <v>535</v>
      </c>
      <c r="I11" s="425">
        <f>'[3]Püg.,TV, étkeztetés '!E25</f>
        <v>165</v>
      </c>
      <c r="K11" s="420">
        <v>0</v>
      </c>
      <c r="L11" s="420">
        <f>SUM('[3]Családsegítés, gyerm.jólét'!V43)</f>
        <v>281.42959056157918</v>
      </c>
      <c r="M11" s="433">
        <f>[3]Óvoda!H19</f>
        <v>934.80000000000007</v>
      </c>
      <c r="N11" s="426">
        <f>'[3]Püg.,TV, étkeztetés '!D25</f>
        <v>0</v>
      </c>
      <c r="O11" s="423">
        <f t="shared" si="2"/>
        <v>1381.2295905615792</v>
      </c>
      <c r="P11" s="427">
        <f>G11+O11</f>
        <v>2684.7092186403097</v>
      </c>
      <c r="Q11" s="434">
        <v>2610.0282868179179</v>
      </c>
      <c r="R11" s="429">
        <f t="shared" si="3"/>
        <v>74.680931822391813</v>
      </c>
      <c r="S11" s="435">
        <v>0</v>
      </c>
    </row>
    <row r="12" spans="1:20" x14ac:dyDescent="0.2">
      <c r="A12" s="431" t="s">
        <v>536</v>
      </c>
      <c r="B12" s="418">
        <f>'[3]TKT műk.'!B45</f>
        <v>1430</v>
      </c>
      <c r="C12" s="419">
        <f>'[3]Társulási hozzájár.'!F15</f>
        <v>715</v>
      </c>
      <c r="D12" s="420">
        <f>'[3]TKT műk.'!E45</f>
        <v>135.0632911392405</v>
      </c>
      <c r="E12" s="421">
        <f>[3]Ügyelet!E32</f>
        <v>1242.857465212486</v>
      </c>
      <c r="F12" s="422">
        <f>[3]Labor!H33</f>
        <v>1847</v>
      </c>
      <c r="G12" s="423">
        <f t="shared" si="0"/>
        <v>3939.9207563517266</v>
      </c>
      <c r="H12" s="432" t="s">
        <v>536</v>
      </c>
      <c r="I12" s="425">
        <f>'[3]Püg.,TV, étkeztetés '!E26</f>
        <v>0</v>
      </c>
      <c r="K12" s="420">
        <v>0</v>
      </c>
      <c r="L12" s="420">
        <f>SUM('[3]Családsegítés, gyerm.jólét'!V56)</f>
        <v>0</v>
      </c>
      <c r="M12" s="433">
        <v>0</v>
      </c>
      <c r="N12" s="426">
        <f>'[3]Püg.,TV, étkeztetés '!D26</f>
        <v>470</v>
      </c>
      <c r="O12" s="423">
        <f t="shared" si="2"/>
        <v>470</v>
      </c>
      <c r="P12" s="427">
        <f t="shared" si="1"/>
        <v>4409.9207563517266</v>
      </c>
      <c r="Q12" s="434">
        <v>4179.2184327612249</v>
      </c>
      <c r="R12" s="429">
        <f t="shared" si="3"/>
        <v>230.70232359050169</v>
      </c>
      <c r="S12" s="435">
        <v>0</v>
      </c>
    </row>
    <row r="13" spans="1:20" x14ac:dyDescent="0.2">
      <c r="A13" s="431" t="s">
        <v>537</v>
      </c>
      <c r="B13" s="418">
        <f>'[3]TKT műk.'!B46</f>
        <v>541</v>
      </c>
      <c r="C13" s="419">
        <f>'[3]Társulási hozzájár.'!F16</f>
        <v>270</v>
      </c>
      <c r="D13" s="420">
        <f>'[3]TKT műk.'!E46</f>
        <v>51.097370983446929</v>
      </c>
      <c r="E13" s="421">
        <f>[3]Ügyelet!E33</f>
        <v>520.0609251598346</v>
      </c>
      <c r="F13" s="422">
        <f>[3]Labor!H34</f>
        <v>699</v>
      </c>
      <c r="G13" s="423">
        <f t="shared" si="0"/>
        <v>1540.1582961432814</v>
      </c>
      <c r="H13" s="432" t="s">
        <v>537</v>
      </c>
      <c r="I13" s="425">
        <f>'[3]Püg.,TV, étkeztetés '!E27</f>
        <v>165</v>
      </c>
      <c r="K13" s="420">
        <v>0</v>
      </c>
      <c r="L13" s="420">
        <f>SUM('[3]Családsegítés, gyerm.jólét'!V50)</f>
        <v>378.18846235849571</v>
      </c>
      <c r="M13" s="433">
        <v>0</v>
      </c>
      <c r="N13" s="426">
        <f>'[3]Püg.,TV, étkeztetés '!D27</f>
        <v>0</v>
      </c>
      <c r="O13" s="423">
        <f t="shared" si="2"/>
        <v>543.18846235849571</v>
      </c>
      <c r="P13" s="427">
        <f t="shared" si="1"/>
        <v>2083.346758501777</v>
      </c>
      <c r="Q13" s="434">
        <v>2581.2007974672379</v>
      </c>
      <c r="R13" s="429">
        <f t="shared" si="3"/>
        <v>-497.85403896546086</v>
      </c>
      <c r="S13" s="435">
        <v>0</v>
      </c>
      <c r="T13" s="436">
        <v>40</v>
      </c>
    </row>
    <row r="14" spans="1:20" x14ac:dyDescent="0.2">
      <c r="A14" s="431" t="s">
        <v>538</v>
      </c>
      <c r="B14" s="418">
        <f>'[3]TKT műk.'!B47</f>
        <v>389</v>
      </c>
      <c r="C14" s="419">
        <f>'[3]Társulási hozzájár.'!F17</f>
        <v>194</v>
      </c>
      <c r="D14" s="420">
        <f>'[3]TKT műk.'!E47</f>
        <v>36.740993184031161</v>
      </c>
      <c r="E14" s="421">
        <f>[3]Ügyelet!E34</f>
        <v>185.10643098909367</v>
      </c>
      <c r="F14" s="422">
        <f>[3]Labor!H35</f>
        <v>502</v>
      </c>
      <c r="G14" s="423">
        <f t="shared" si="0"/>
        <v>917.84742417312486</v>
      </c>
      <c r="H14" s="432" t="s">
        <v>538</v>
      </c>
      <c r="I14" s="425">
        <f>'[3]Püg.,TV, étkeztetés '!E28</f>
        <v>165</v>
      </c>
      <c r="K14" s="420">
        <v>0</v>
      </c>
      <c r="L14" s="420">
        <f>SUM('[3]Családsegítés, gyerm.jólét'!V51)</f>
        <v>690.60501821986236</v>
      </c>
      <c r="M14" s="433">
        <v>0</v>
      </c>
      <c r="N14" s="426">
        <f>'[3]Püg.,TV, étkeztetés '!D28</f>
        <v>0</v>
      </c>
      <c r="O14" s="423">
        <f t="shared" si="2"/>
        <v>855.60501821986236</v>
      </c>
      <c r="P14" s="427">
        <f t="shared" si="1"/>
        <v>1773.4524423929872</v>
      </c>
      <c r="Q14" s="434">
        <v>2137.8464473318013</v>
      </c>
      <c r="R14" s="429">
        <f t="shared" si="3"/>
        <v>-364.39400493881408</v>
      </c>
      <c r="S14" s="435">
        <v>0</v>
      </c>
      <c r="T14" s="437"/>
    </row>
    <row r="15" spans="1:20" x14ac:dyDescent="0.2">
      <c r="A15" s="431" t="s">
        <v>539</v>
      </c>
      <c r="B15" s="418">
        <f>'[3]TKT műk.'!B48</f>
        <v>387</v>
      </c>
      <c r="C15" s="419">
        <f>'[3]Társulási hozzájár.'!F18</f>
        <v>194</v>
      </c>
      <c r="D15" s="420">
        <f>'[3]TKT műk.'!E48</f>
        <v>36.552093476144108</v>
      </c>
      <c r="E15" s="421">
        <f>[3]Ügyelet!E35</f>
        <v>132.21887927792403</v>
      </c>
      <c r="F15" s="422">
        <f>[3]Labor!H36</f>
        <v>500</v>
      </c>
      <c r="G15" s="423">
        <f t="shared" si="0"/>
        <v>862.77097275406811</v>
      </c>
      <c r="H15" s="432" t="s">
        <v>539</v>
      </c>
      <c r="I15" s="425">
        <f>'[3]Püg.,TV, étkeztetés '!E29</f>
        <v>0</v>
      </c>
      <c r="K15" s="420">
        <v>0</v>
      </c>
      <c r="L15" s="420">
        <f>SUM('[3]Családsegítés, gyerm.jólét'!V44)</f>
        <v>147.36572440366982</v>
      </c>
      <c r="M15" s="433">
        <f>[3]Óvoda!H20</f>
        <v>623.20000000000005</v>
      </c>
      <c r="N15" s="426">
        <f>'[3]Püg.,TV, étkeztetés '!D29</f>
        <v>0</v>
      </c>
      <c r="O15" s="423">
        <f>I15+L15+M15+N15</f>
        <v>770.56572440366983</v>
      </c>
      <c r="P15" s="427">
        <f>G15+O15</f>
        <v>1633.3366971577379</v>
      </c>
      <c r="Q15" s="434">
        <v>1582.0235698904514</v>
      </c>
      <c r="R15" s="429">
        <f t="shared" si="3"/>
        <v>51.313127267286518</v>
      </c>
      <c r="S15" s="435">
        <v>0</v>
      </c>
      <c r="T15" s="437"/>
    </row>
    <row r="16" spans="1:20" x14ac:dyDescent="0.2">
      <c r="A16" s="431" t="s">
        <v>540</v>
      </c>
      <c r="B16" s="418">
        <f>'[3]TKT műk.'!B49</f>
        <v>690</v>
      </c>
      <c r="C16" s="419">
        <f>'[3]Társulási hozzájár.'!F19</f>
        <v>345</v>
      </c>
      <c r="D16" s="420">
        <f>'[3]TKT műk.'!E49</f>
        <v>65.170399221032142</v>
      </c>
      <c r="E16" s="421">
        <f>[3]Ügyelet!E36</f>
        <v>1774.626455783183</v>
      </c>
      <c r="F16" s="422">
        <f>[3]Labor!H37</f>
        <v>1337</v>
      </c>
      <c r="G16" s="423">
        <f t="shared" si="0"/>
        <v>3521.7968550042151</v>
      </c>
      <c r="H16" s="432" t="s">
        <v>540</v>
      </c>
      <c r="I16" s="425">
        <f>'[3]Püg.,TV, étkeztetés '!E30</f>
        <v>165</v>
      </c>
      <c r="K16" s="420">
        <v>0</v>
      </c>
      <c r="L16" s="420">
        <f>SUM('[3]Családsegítés, gyerm.jólét'!V45)</f>
        <v>172.30496816791779</v>
      </c>
      <c r="M16" s="433">
        <f>[3]Óvoda!H21</f>
        <v>623.20000000000005</v>
      </c>
      <c r="N16" s="426">
        <f>'[3]Püg.,TV, étkeztetés '!D30</f>
        <v>0</v>
      </c>
      <c r="O16" s="423">
        <f>I16+L16+M16+N16</f>
        <v>960.50496816791781</v>
      </c>
      <c r="P16" s="427">
        <f t="shared" si="1"/>
        <v>4482.3018231721326</v>
      </c>
      <c r="Q16" s="434">
        <v>4073.6712371154435</v>
      </c>
      <c r="R16" s="429">
        <f t="shared" si="3"/>
        <v>408.63058605668903</v>
      </c>
      <c r="S16" s="435">
        <v>0</v>
      </c>
      <c r="T16" s="437"/>
    </row>
    <row r="17" spans="1:20" x14ac:dyDescent="0.2">
      <c r="A17" s="431" t="s">
        <v>541</v>
      </c>
      <c r="B17" s="418">
        <f>'[3]TKT műk.'!B50</f>
        <v>586</v>
      </c>
      <c r="C17" s="419">
        <f>'[3]Társulási hozzájár.'!F20</f>
        <v>293</v>
      </c>
      <c r="D17" s="438">
        <f>'[3]TKT műk.'!E50</f>
        <v>55.34761441090555</v>
      </c>
      <c r="E17" s="433">
        <f>[3]Ügyelet!E37</f>
        <v>484.80255735238813</v>
      </c>
      <c r="F17" s="422">
        <f>[3]Labor!H38</f>
        <v>757</v>
      </c>
      <c r="G17" s="439">
        <f t="shared" si="0"/>
        <v>1590.1501717632937</v>
      </c>
      <c r="H17" s="432" t="s">
        <v>541</v>
      </c>
      <c r="I17" s="440">
        <f>'[3]Püg.,TV, étkeztetés '!E31</f>
        <v>0</v>
      </c>
      <c r="K17" s="438">
        <v>0</v>
      </c>
      <c r="L17" s="438">
        <f>SUM('[3]Családsegítés, gyerm.jólét'!V46)</f>
        <v>429.81669617737009</v>
      </c>
      <c r="M17" s="433">
        <v>0</v>
      </c>
      <c r="N17" s="426">
        <f>'[3]Püg.,TV, étkeztetés '!D31</f>
        <v>0</v>
      </c>
      <c r="O17" s="423">
        <f t="shared" si="2"/>
        <v>429.81669617737009</v>
      </c>
      <c r="P17" s="441">
        <f>G17+O17</f>
        <v>2019.9668679406636</v>
      </c>
      <c r="Q17" s="434">
        <v>1660.6708355159137</v>
      </c>
      <c r="R17" s="429">
        <f t="shared" si="3"/>
        <v>359.29603242474991</v>
      </c>
      <c r="S17" s="435">
        <v>831</v>
      </c>
      <c r="T17" s="437"/>
    </row>
    <row r="18" spans="1:20" x14ac:dyDescent="0.2">
      <c r="A18" s="466" t="s">
        <v>542</v>
      </c>
      <c r="B18" s="467">
        <f>'[3]TKT műk.'!B51</f>
        <v>232</v>
      </c>
      <c r="C18" s="468">
        <f>'[3]Társulási hozzájár.'!F21</f>
        <v>116</v>
      </c>
      <c r="D18" s="469">
        <f>'[3]TKT műk.'!E51</f>
        <v>21.912366114897761</v>
      </c>
      <c r="E18" s="470">
        <f>[3]Ügyelet!E38</f>
        <v>334.95449417074093</v>
      </c>
      <c r="F18" s="471">
        <f>[3]Labor!H39</f>
        <v>299</v>
      </c>
      <c r="G18" s="472">
        <f t="shared" si="0"/>
        <v>771.86686028563872</v>
      </c>
      <c r="H18" s="473" t="s">
        <v>542</v>
      </c>
      <c r="I18" s="474">
        <f>'[3]Püg.,TV, étkeztetés '!E32</f>
        <v>0</v>
      </c>
      <c r="J18" s="475"/>
      <c r="K18" s="469">
        <v>0</v>
      </c>
      <c r="L18" s="469">
        <f>SUM('[3]Családsegítés, gyerm.jólét'!V47)</f>
        <v>740.93394809270967</v>
      </c>
      <c r="M18" s="470">
        <v>0</v>
      </c>
      <c r="N18" s="476">
        <f>'[3]Püg.,TV, étkeztetés '!D32</f>
        <v>0</v>
      </c>
      <c r="O18" s="477">
        <f t="shared" si="2"/>
        <v>740.93394809270967</v>
      </c>
      <c r="P18" s="472">
        <f>G18+O18</f>
        <v>1512.8008083783484</v>
      </c>
      <c r="Q18" s="478">
        <v>1888.1932470774154</v>
      </c>
      <c r="R18" s="429">
        <f t="shared" si="3"/>
        <v>-375.39243869906704</v>
      </c>
      <c r="S18" s="435">
        <f>387+958</f>
        <v>1345</v>
      </c>
    </row>
    <row r="19" spans="1:20" hidden="1" x14ac:dyDescent="0.2">
      <c r="A19" s="442" t="s">
        <v>543</v>
      </c>
      <c r="B19" s="443"/>
      <c r="C19" s="419"/>
      <c r="D19" s="438"/>
      <c r="E19" s="433"/>
      <c r="F19" s="444"/>
      <c r="G19" s="439"/>
      <c r="H19" s="445" t="s">
        <v>543</v>
      </c>
      <c r="I19" s="440"/>
      <c r="K19" s="438">
        <v>0</v>
      </c>
      <c r="L19" s="438">
        <f>SUM('[3]Családsegítés, gyerm.jólét'!V57)</f>
        <v>0</v>
      </c>
      <c r="M19" s="433"/>
      <c r="N19" s="426">
        <f>'[3]Püg.,TV, étkeztetés '!D33+'[3]Püg.,TV, étkeztetés '!I33</f>
        <v>2600</v>
      </c>
      <c r="O19" s="439" t="e">
        <f>I19+#REF!+L19+M19+N19</f>
        <v>#REF!</v>
      </c>
      <c r="P19" s="441" t="e">
        <f t="shared" si="1"/>
        <v>#REF!</v>
      </c>
      <c r="Q19" s="434" t="e">
        <v>#REF!</v>
      </c>
      <c r="R19" s="429" t="e">
        <f t="shared" si="3"/>
        <v>#REF!</v>
      </c>
      <c r="S19" s="435"/>
    </row>
    <row r="20" spans="1:20" ht="13.5" thickBot="1" x14ac:dyDescent="0.25">
      <c r="A20" s="446" t="s">
        <v>38</v>
      </c>
      <c r="B20" s="447">
        <f>SUM(B6:B19)</f>
        <v>12324</v>
      </c>
      <c r="C20" s="448">
        <f>SUM(C6:C18)</f>
        <v>6162</v>
      </c>
      <c r="D20" s="448">
        <f>SUM(D6:D18)</f>
        <v>1164.0000000000002</v>
      </c>
      <c r="E20" s="449">
        <f>SUM(E6:E18)</f>
        <v>23438.000000000004</v>
      </c>
      <c r="F20" s="450">
        <f>SUM(F6:F18)</f>
        <v>20831</v>
      </c>
      <c r="G20" s="447">
        <f>SUM(G6:G18)</f>
        <v>51595.000000000007</v>
      </c>
      <c r="H20" s="451" t="s">
        <v>38</v>
      </c>
      <c r="I20" s="448">
        <f>SUM(I6:I18)</f>
        <v>4530</v>
      </c>
      <c r="K20" s="449">
        <v>0</v>
      </c>
      <c r="L20" s="449">
        <f>SUM(L6:L19)-1</f>
        <v>4725.5725000000029</v>
      </c>
      <c r="M20" s="449">
        <f>SUM(M6:M18)</f>
        <v>14981</v>
      </c>
      <c r="N20" s="452">
        <f>SUM(N6:N18)</f>
        <v>2600</v>
      </c>
      <c r="O20" s="447">
        <f>SUM(I20:N20)</f>
        <v>26836.572500000002</v>
      </c>
      <c r="P20" s="447">
        <f>SUM(P6:P18)</f>
        <v>78432.572500000009</v>
      </c>
      <c r="Q20" s="453">
        <v>72269.319175000011</v>
      </c>
      <c r="R20" s="429">
        <f>P20-Q20</f>
        <v>6163.2533249999979</v>
      </c>
      <c r="S20" s="454">
        <f>SUM(S6:S18)</f>
        <v>2176</v>
      </c>
    </row>
    <row r="21" spans="1:20" x14ac:dyDescent="0.2">
      <c r="A21" s="455"/>
      <c r="B21" s="456"/>
      <c r="C21" s="456"/>
      <c r="D21" s="457">
        <f>SUM(C20+D20)</f>
        <v>7326</v>
      </c>
      <c r="E21" s="456"/>
      <c r="F21" s="456"/>
      <c r="G21" s="456"/>
      <c r="H21" s="455"/>
      <c r="I21" s="456"/>
      <c r="J21" s="456"/>
      <c r="K21" s="456"/>
      <c r="L21" s="456"/>
      <c r="M21" s="456"/>
      <c r="N21" s="429">
        <f>I20+N20</f>
        <v>7130</v>
      </c>
      <c r="O21" s="456"/>
      <c r="P21" s="456"/>
      <c r="Q21" s="458"/>
      <c r="R21" s="429"/>
    </row>
    <row r="22" spans="1:20" ht="13.5" thickBot="1" x14ac:dyDescent="0.25">
      <c r="J22" s="455"/>
      <c r="K22" s="455"/>
    </row>
    <row r="23" spans="1:20" x14ac:dyDescent="0.2">
      <c r="A23" s="727" t="s">
        <v>513</v>
      </c>
      <c r="B23" s="729" t="s">
        <v>544</v>
      </c>
      <c r="E23" s="459"/>
      <c r="J23" s="455"/>
      <c r="K23" s="455"/>
    </row>
    <row r="24" spans="1:20" ht="38.25" customHeight="1" thickBot="1" x14ac:dyDescent="0.25">
      <c r="A24" s="728"/>
      <c r="B24" s="730"/>
      <c r="O24" s="409"/>
      <c r="R24" s="409"/>
    </row>
    <row r="25" spans="1:20" x14ac:dyDescent="0.2">
      <c r="A25" s="417" t="s">
        <v>530</v>
      </c>
      <c r="B25" s="460">
        <f>'[3]Házi segítségnyújtás'!E36</f>
        <v>3592.0256410256416</v>
      </c>
      <c r="O25" s="409"/>
      <c r="R25" s="409"/>
    </row>
    <row r="26" spans="1:20" x14ac:dyDescent="0.2">
      <c r="A26" s="431" t="s">
        <v>531</v>
      </c>
      <c r="B26" s="460">
        <f>'[3]Házi segítségnyújtás'!E37</f>
        <v>861.84615384615404</v>
      </c>
      <c r="O26" s="409"/>
      <c r="R26" s="409"/>
    </row>
    <row r="27" spans="1:20" x14ac:dyDescent="0.2">
      <c r="A27" s="431" t="s">
        <v>532</v>
      </c>
      <c r="B27" s="460">
        <f>'[3]Házi segítségnyújtás'!E38</f>
        <v>0</v>
      </c>
      <c r="O27" s="409"/>
      <c r="R27" s="409"/>
    </row>
    <row r="28" spans="1:20" x14ac:dyDescent="0.2">
      <c r="A28" s="431" t="s">
        <v>533</v>
      </c>
      <c r="B28" s="460">
        <f>'[3]Házi segítségnyújtás'!E39</f>
        <v>0</v>
      </c>
      <c r="O28" s="409"/>
      <c r="R28" s="409"/>
    </row>
    <row r="29" spans="1:20" x14ac:dyDescent="0.2">
      <c r="A29" s="431" t="s">
        <v>534</v>
      </c>
      <c r="B29" s="460">
        <f>'[3]Házi segítségnyújtás'!E40</f>
        <v>861.84615384615404</v>
      </c>
      <c r="O29" s="409"/>
      <c r="R29" s="409"/>
    </row>
    <row r="30" spans="1:20" x14ac:dyDescent="0.2">
      <c r="A30" s="431" t="s">
        <v>535</v>
      </c>
      <c r="B30" s="460">
        <f>'[3]Házi segítségnyújtás'!E41</f>
        <v>1005.4871794871796</v>
      </c>
    </row>
    <row r="31" spans="1:20" x14ac:dyDescent="0.2">
      <c r="A31" s="431" t="s">
        <v>536</v>
      </c>
      <c r="B31" s="460">
        <f>'[3]Házi segítségnyújtás'!E42</f>
        <v>1292.7692307692309</v>
      </c>
    </row>
    <row r="32" spans="1:20" x14ac:dyDescent="0.2">
      <c r="A32" s="431" t="s">
        <v>537</v>
      </c>
      <c r="B32" s="460">
        <f>'[3]Házi segítségnyújtás'!E43</f>
        <v>1005.4871794871796</v>
      </c>
    </row>
    <row r="33" spans="1:2" x14ac:dyDescent="0.2">
      <c r="A33" s="431" t="s">
        <v>538</v>
      </c>
      <c r="B33" s="460">
        <f>'[3]Házi segítségnyújtás'!E44</f>
        <v>1005.4871794871796</v>
      </c>
    </row>
    <row r="34" spans="1:2" x14ac:dyDescent="0.2">
      <c r="A34" s="431" t="s">
        <v>539</v>
      </c>
      <c r="B34" s="460">
        <f>'[3]Házi segítségnyújtás'!E45</f>
        <v>0</v>
      </c>
    </row>
    <row r="35" spans="1:2" x14ac:dyDescent="0.2">
      <c r="A35" s="431" t="s">
        <v>540</v>
      </c>
      <c r="B35" s="460">
        <f>'[3]Házi segítségnyújtás'!E46</f>
        <v>574.56410256410265</v>
      </c>
    </row>
    <row r="36" spans="1:2" x14ac:dyDescent="0.2">
      <c r="A36" s="431" t="s">
        <v>541</v>
      </c>
      <c r="B36" s="461">
        <f>'[3]Házi segítségnyújtás'!E47</f>
        <v>1005.4871794871796</v>
      </c>
    </row>
    <row r="37" spans="1:2" x14ac:dyDescent="0.2">
      <c r="A37" s="466" t="s">
        <v>542</v>
      </c>
      <c r="B37" s="479">
        <f>'[3]Házi segítségnyújtás'!E48</f>
        <v>0</v>
      </c>
    </row>
    <row r="38" spans="1:2" ht="13.5" thickBot="1" x14ac:dyDescent="0.25">
      <c r="A38" s="446" t="s">
        <v>38</v>
      </c>
      <c r="B38" s="462">
        <f>SUM(B25:B37)-1</f>
        <v>11204.000000000004</v>
      </c>
    </row>
  </sheetData>
  <mergeCells count="10">
    <mergeCell ref="Q4:Q5"/>
    <mergeCell ref="S4:S5"/>
    <mergeCell ref="A23:A24"/>
    <mergeCell ref="B23:B24"/>
    <mergeCell ref="A4:A5"/>
    <mergeCell ref="B4:B5"/>
    <mergeCell ref="C4:G4"/>
    <mergeCell ref="H4:H5"/>
    <mergeCell ref="I4:O4"/>
    <mergeCell ref="P4:P5"/>
  </mergeCells>
  <pageMargins left="0.39370078740157483" right="0.19685039370078741" top="0.27559055118110237" bottom="0.47244094488188981" header="0.27559055118110237" footer="0.31496062992125984"/>
  <pageSetup paperSize="9"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24"/>
  <sheetViews>
    <sheetView zoomScale="140" zoomScaleNormal="140" workbookViewId="0">
      <selection activeCell="F3" sqref="F3"/>
    </sheetView>
  </sheetViews>
  <sheetFormatPr defaultRowHeight="12.75" x14ac:dyDescent="0.2"/>
  <cols>
    <col min="1" max="1" width="6.28515625" style="2" customWidth="1"/>
    <col min="2" max="2" width="61.28515625" customWidth="1"/>
    <col min="3" max="3" width="14.28515625" customWidth="1"/>
    <col min="4" max="4" width="14" hidden="1" customWidth="1"/>
    <col min="5" max="6" width="13" style="41" customWidth="1"/>
    <col min="7" max="7" width="7.85546875" customWidth="1"/>
    <col min="8" max="8" width="9.140625" customWidth="1"/>
  </cols>
  <sheetData>
    <row r="1" spans="1:46" ht="15" customHeight="1" x14ac:dyDescent="0.3">
      <c r="A1" s="59"/>
      <c r="B1" s="39"/>
      <c r="F1" s="60" t="s">
        <v>545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ht="15" customHeight="1" x14ac:dyDescent="0.3">
      <c r="A2" s="59"/>
      <c r="B2" s="39"/>
      <c r="F2" s="60" t="s">
        <v>999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spans="1:46" ht="19.5" x14ac:dyDescent="0.35">
      <c r="A3" s="59"/>
      <c r="B3" s="614" t="s">
        <v>983</v>
      </c>
      <c r="C3" s="614"/>
      <c r="D3" s="614"/>
      <c r="E3" s="615"/>
      <c r="F3" s="489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spans="1:46" ht="19.5" x14ac:dyDescent="0.35">
      <c r="A4" s="59"/>
      <c r="B4" s="614"/>
      <c r="C4" s="614"/>
      <c r="D4" s="614"/>
      <c r="E4" s="615"/>
      <c r="F4" s="489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1:46" ht="13.5" thickBot="1" x14ac:dyDescent="0.25">
      <c r="A5" s="59"/>
      <c r="B5" s="1"/>
      <c r="F5" s="60" t="s"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1:46" ht="53.25" customHeight="1" thickBot="1" x14ac:dyDescent="0.25">
      <c r="A6" s="189" t="s">
        <v>99</v>
      </c>
      <c r="B6" s="181" t="s">
        <v>12</v>
      </c>
      <c r="C6" s="255" t="s">
        <v>410</v>
      </c>
      <c r="D6" s="255" t="s">
        <v>677</v>
      </c>
      <c r="E6" s="255" t="s">
        <v>682</v>
      </c>
      <c r="F6" s="255" t="s">
        <v>683</v>
      </c>
      <c r="G6" s="493" t="s">
        <v>736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</row>
    <row r="7" spans="1:46" ht="20.25" customHeight="1" x14ac:dyDescent="0.2">
      <c r="A7" s="190" t="s">
        <v>100</v>
      </c>
      <c r="B7" s="182" t="s">
        <v>350</v>
      </c>
      <c r="C7" s="238">
        <f>SUM(C8+C15+C21+C28+C39+C45+C49)</f>
        <v>38034</v>
      </c>
      <c r="D7" s="238">
        <f>SUM(D8+D15+D21+D28+D39+D45+D49)</f>
        <v>50020</v>
      </c>
      <c r="E7" s="238">
        <f>SUM(E8+E15+E21+E28+E39+E45+E49)</f>
        <v>61206</v>
      </c>
      <c r="F7" s="238">
        <f>SUM(F8+F15+F21+F28+F39+F45+F49)</f>
        <v>62082</v>
      </c>
      <c r="G7" s="494">
        <f>(F7/E7)*100</f>
        <v>101.43123223213411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1:46" ht="18" customHeight="1" x14ac:dyDescent="0.25">
      <c r="A8" s="18" t="s">
        <v>101</v>
      </c>
      <c r="B8" s="183" t="s">
        <v>201</v>
      </c>
      <c r="C8" s="42">
        <f>SUM('2.működés'!D8)</f>
        <v>25846</v>
      </c>
      <c r="D8" s="42">
        <f>SUM('2.működés'!E8)</f>
        <v>29548</v>
      </c>
      <c r="E8" s="42">
        <f>SUM('2.működés'!F8)</f>
        <v>31178</v>
      </c>
      <c r="F8" s="42">
        <f>SUM('2.működés'!G8)</f>
        <v>31176</v>
      </c>
      <c r="G8" s="494">
        <f t="shared" ref="G8:G70" si="0">(F8/E8)*100</f>
        <v>99.993585220347683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</row>
    <row r="9" spans="1:46" ht="13.5" hidden="1" customHeight="1" x14ac:dyDescent="0.2">
      <c r="A9" s="10" t="s">
        <v>102</v>
      </c>
      <c r="B9" s="185" t="s">
        <v>110</v>
      </c>
      <c r="C9" s="7"/>
      <c r="D9" s="7"/>
      <c r="E9" s="7"/>
      <c r="F9" s="7"/>
      <c r="G9" s="494" t="e">
        <f t="shared" si="0"/>
        <v>#DIV/0!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</row>
    <row r="10" spans="1:46" ht="13.5" hidden="1" customHeight="1" x14ac:dyDescent="0.2">
      <c r="A10" s="10" t="s">
        <v>151</v>
      </c>
      <c r="B10" s="185" t="s">
        <v>152</v>
      </c>
      <c r="C10" s="7"/>
      <c r="D10" s="7"/>
      <c r="E10" s="7"/>
      <c r="F10" s="7"/>
      <c r="G10" s="494" t="e">
        <f t="shared" si="0"/>
        <v>#DIV/0!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1:46" ht="13.5" hidden="1" customHeight="1" x14ac:dyDescent="0.2">
      <c r="A11" s="10" t="s">
        <v>103</v>
      </c>
      <c r="B11" s="185" t="s">
        <v>107</v>
      </c>
      <c r="C11" s="8"/>
      <c r="D11" s="8"/>
      <c r="E11" s="8"/>
      <c r="F11" s="8"/>
      <c r="G11" s="494" t="e">
        <f t="shared" si="0"/>
        <v>#DIV/0!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1:46" ht="13.5" hidden="1" customHeight="1" x14ac:dyDescent="0.2">
      <c r="A12" s="10" t="s">
        <v>104</v>
      </c>
      <c r="B12" s="185" t="s">
        <v>108</v>
      </c>
      <c r="C12" s="12"/>
      <c r="D12" s="12"/>
      <c r="E12" s="12"/>
      <c r="F12" s="12"/>
      <c r="G12" s="494" t="e">
        <f t="shared" si="0"/>
        <v>#DIV/0!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1:46" ht="13.5" hidden="1" customHeight="1" x14ac:dyDescent="0.2">
      <c r="A13" s="10" t="s">
        <v>105</v>
      </c>
      <c r="B13" s="185" t="s">
        <v>109</v>
      </c>
      <c r="C13" s="17"/>
      <c r="D13" s="17"/>
      <c r="E13" s="17"/>
      <c r="F13" s="17"/>
      <c r="G13" s="494" t="e">
        <f t="shared" si="0"/>
        <v>#DIV/0!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1:46" ht="12.75" hidden="1" customHeight="1" x14ac:dyDescent="0.2">
      <c r="A14" s="10" t="s">
        <v>106</v>
      </c>
      <c r="B14" s="185" t="s">
        <v>111</v>
      </c>
      <c r="C14" s="17"/>
      <c r="D14" s="17"/>
      <c r="E14" s="17"/>
      <c r="F14" s="17"/>
      <c r="G14" s="494" t="e">
        <f t="shared" si="0"/>
        <v>#DIV/0!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1:46" ht="18" customHeight="1" x14ac:dyDescent="0.25">
      <c r="A15" s="18" t="s">
        <v>112</v>
      </c>
      <c r="B15" s="183" t="s">
        <v>202</v>
      </c>
      <c r="C15" s="46">
        <f>SUM('3.felh'!C12)</f>
        <v>3448</v>
      </c>
      <c r="D15" s="46">
        <f>SUM('3.felh'!D12)</f>
        <v>11440</v>
      </c>
      <c r="E15" s="46">
        <f>SUM('3.felh'!E12)</f>
        <v>20545</v>
      </c>
      <c r="F15" s="46">
        <f>SUM('3.felh'!F12)</f>
        <v>20545</v>
      </c>
      <c r="G15" s="494">
        <f t="shared" si="0"/>
        <v>100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1:46" ht="13.5" hidden="1" customHeight="1" x14ac:dyDescent="0.2">
      <c r="A16" s="10" t="s">
        <v>113</v>
      </c>
      <c r="B16" s="185" t="s">
        <v>120</v>
      </c>
      <c r="C16" s="7"/>
      <c r="D16" s="7"/>
      <c r="E16" s="7"/>
      <c r="F16" s="7"/>
      <c r="G16" s="494" t="e">
        <f t="shared" si="0"/>
        <v>#DIV/0!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1:46" ht="13.5" hidden="1" customHeight="1" x14ac:dyDescent="0.2">
      <c r="A17" s="10" t="s">
        <v>153</v>
      </c>
      <c r="B17" s="185" t="s">
        <v>154</v>
      </c>
      <c r="C17" s="17"/>
      <c r="D17" s="17"/>
      <c r="E17" s="17"/>
      <c r="F17" s="17"/>
      <c r="G17" s="494" t="e">
        <f t="shared" si="0"/>
        <v>#DIV/0!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1:46" ht="13.5" hidden="1" customHeight="1" x14ac:dyDescent="0.2">
      <c r="A18" s="10" t="s">
        <v>114</v>
      </c>
      <c r="B18" s="185" t="s">
        <v>117</v>
      </c>
      <c r="C18" s="17"/>
      <c r="D18" s="17"/>
      <c r="E18" s="17"/>
      <c r="F18" s="17"/>
      <c r="G18" s="494" t="e">
        <f t="shared" si="0"/>
        <v>#DIV/0!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1:46" ht="13.5" hidden="1" customHeight="1" x14ac:dyDescent="0.2">
      <c r="A19" s="10" t="s">
        <v>115</v>
      </c>
      <c r="B19" s="185" t="s">
        <v>118</v>
      </c>
      <c r="C19" s="17"/>
      <c r="D19" s="17"/>
      <c r="E19" s="17"/>
      <c r="F19" s="17"/>
      <c r="G19" s="494" t="e">
        <f t="shared" si="0"/>
        <v>#DIV/0!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1:46" ht="13.5" hidden="1" customHeight="1" x14ac:dyDescent="0.2">
      <c r="A20" s="10" t="s">
        <v>116</v>
      </c>
      <c r="B20" s="185" t="s">
        <v>119</v>
      </c>
      <c r="C20" s="17"/>
      <c r="D20" s="17"/>
      <c r="E20" s="17"/>
      <c r="F20" s="17"/>
      <c r="G20" s="494" t="e">
        <f t="shared" si="0"/>
        <v>#DIV/0!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1:46" ht="18" customHeight="1" x14ac:dyDescent="0.25">
      <c r="A21" s="18" t="s">
        <v>121</v>
      </c>
      <c r="B21" s="183" t="s">
        <v>81</v>
      </c>
      <c r="C21" s="46">
        <f>SUM('2.működés'!D57)</f>
        <v>6905</v>
      </c>
      <c r="D21" s="46">
        <f>SUM('2.működés'!E57)</f>
        <v>7075</v>
      </c>
      <c r="E21" s="46">
        <f>SUM('2.működés'!F57)</f>
        <v>7165</v>
      </c>
      <c r="F21" s="46">
        <f>SUM('2.működés'!G57)</f>
        <v>8258</v>
      </c>
      <c r="G21" s="494">
        <f t="shared" si="0"/>
        <v>115.25471039776691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1:46" ht="13.5" hidden="1" customHeight="1" x14ac:dyDescent="0.2">
      <c r="A22" s="10" t="s">
        <v>122</v>
      </c>
      <c r="B22" s="185" t="s">
        <v>128</v>
      </c>
      <c r="C22" s="17"/>
      <c r="D22" s="17"/>
      <c r="E22" s="17"/>
      <c r="F22" s="17"/>
      <c r="G22" s="494" t="e">
        <f t="shared" si="0"/>
        <v>#DIV/0!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1:46" ht="13.5" hidden="1" customHeight="1" x14ac:dyDescent="0.2">
      <c r="A23" s="10" t="s">
        <v>123</v>
      </c>
      <c r="B23" s="185" t="s">
        <v>129</v>
      </c>
      <c r="C23" s="17"/>
      <c r="D23" s="17"/>
      <c r="E23" s="17"/>
      <c r="F23" s="17"/>
      <c r="G23" s="494" t="e">
        <f t="shared" si="0"/>
        <v>#DIV/0!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1:46" ht="13.5" hidden="1" customHeight="1" x14ac:dyDescent="0.2">
      <c r="A24" s="10" t="s">
        <v>124</v>
      </c>
      <c r="B24" s="186" t="s">
        <v>130</v>
      </c>
      <c r="C24" s="51"/>
      <c r="D24" s="51"/>
      <c r="E24" s="51"/>
      <c r="F24" s="51"/>
      <c r="G24" s="494" t="e">
        <f t="shared" si="0"/>
        <v>#DIV/0!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1:46" ht="13.5" hidden="1" customHeight="1" x14ac:dyDescent="0.2">
      <c r="A25" s="10" t="s">
        <v>125</v>
      </c>
      <c r="B25" s="185" t="s">
        <v>157</v>
      </c>
      <c r="C25" s="43"/>
      <c r="D25" s="43"/>
      <c r="E25" s="43"/>
      <c r="F25" s="43"/>
      <c r="G25" s="494" t="e">
        <f t="shared" si="0"/>
        <v>#DIV/0!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1:46" s="53" customFormat="1" ht="13.5" hidden="1" customHeight="1" x14ac:dyDescent="0.2">
      <c r="A26" s="10" t="s">
        <v>126</v>
      </c>
      <c r="B26" s="185" t="s">
        <v>158</v>
      </c>
      <c r="C26" s="17"/>
      <c r="D26" s="17"/>
      <c r="E26" s="17"/>
      <c r="F26" s="17"/>
      <c r="G26" s="494" t="e">
        <f t="shared" si="0"/>
        <v>#DIV/0!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1:46" s="53" customFormat="1" ht="13.5" hidden="1" customHeight="1" x14ac:dyDescent="0.2">
      <c r="A27" s="10" t="s">
        <v>127</v>
      </c>
      <c r="B27" s="185" t="s">
        <v>131</v>
      </c>
      <c r="C27" s="17"/>
      <c r="D27" s="17"/>
      <c r="E27" s="17"/>
      <c r="F27" s="17"/>
      <c r="G27" s="494" t="e">
        <f t="shared" si="0"/>
        <v>#DIV/0!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1:46" s="53" customFormat="1" ht="18" customHeight="1" x14ac:dyDescent="0.25">
      <c r="A28" s="18" t="s">
        <v>132</v>
      </c>
      <c r="B28" s="183" t="s">
        <v>203</v>
      </c>
      <c r="C28" s="46">
        <f>SUM('2.működés'!D71)</f>
        <v>1811</v>
      </c>
      <c r="D28" s="46">
        <f>SUM('2.működés'!E71)</f>
        <v>1933</v>
      </c>
      <c r="E28" s="46">
        <f>SUM('2.működés'!F71)</f>
        <v>2144</v>
      </c>
      <c r="F28" s="46">
        <f>SUM('2.működés'!G71)</f>
        <v>1969</v>
      </c>
      <c r="G28" s="494">
        <f t="shared" si="0"/>
        <v>91.837686567164184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1:46" ht="13.5" hidden="1" customHeight="1" x14ac:dyDescent="0.2">
      <c r="A29" s="10" t="s">
        <v>135</v>
      </c>
      <c r="B29" s="185" t="s">
        <v>133</v>
      </c>
      <c r="C29" s="17"/>
      <c r="D29" s="17"/>
      <c r="E29" s="17"/>
      <c r="F29" s="17"/>
      <c r="G29" s="494" t="e">
        <f t="shared" si="0"/>
        <v>#DIV/0!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1:46" s="53" customFormat="1" ht="13.5" hidden="1" customHeight="1" x14ac:dyDescent="0.2">
      <c r="A30" s="10" t="s">
        <v>136</v>
      </c>
      <c r="B30" s="185" t="s">
        <v>134</v>
      </c>
      <c r="C30" s="17"/>
      <c r="D30" s="17"/>
      <c r="E30" s="17"/>
      <c r="F30" s="17"/>
      <c r="G30" s="494" t="e">
        <f t="shared" si="0"/>
        <v>#DIV/0!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1:46" s="53" customFormat="1" ht="13.5" hidden="1" customHeight="1" x14ac:dyDescent="0.2">
      <c r="A31" s="10" t="s">
        <v>137</v>
      </c>
      <c r="B31" s="185" t="s">
        <v>140</v>
      </c>
      <c r="C31" s="12"/>
      <c r="D31" s="12"/>
      <c r="E31" s="12"/>
      <c r="F31" s="12"/>
      <c r="G31" s="494" t="e">
        <f t="shared" si="0"/>
        <v>#DIV/0!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1:46" ht="13.5" hidden="1" customHeight="1" x14ac:dyDescent="0.2">
      <c r="A32" s="10" t="s">
        <v>138</v>
      </c>
      <c r="B32" s="186" t="s">
        <v>141</v>
      </c>
      <c r="C32" s="10"/>
      <c r="D32" s="10"/>
      <c r="E32" s="10"/>
      <c r="F32" s="10"/>
      <c r="G32" s="494" t="e">
        <f t="shared" si="0"/>
        <v>#DIV/0!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ht="13.5" hidden="1" customHeight="1" x14ac:dyDescent="0.2">
      <c r="A33" s="10" t="s">
        <v>139</v>
      </c>
      <c r="B33" s="26" t="s">
        <v>142</v>
      </c>
      <c r="C33" s="10"/>
      <c r="D33" s="10"/>
      <c r="E33" s="10"/>
      <c r="F33" s="10"/>
      <c r="G33" s="494" t="e">
        <f t="shared" si="0"/>
        <v>#DIV/0!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ht="13.5" hidden="1" customHeight="1" x14ac:dyDescent="0.2">
      <c r="A34" s="10" t="s">
        <v>143</v>
      </c>
      <c r="B34" s="26" t="s">
        <v>144</v>
      </c>
      <c r="C34" s="10"/>
      <c r="D34" s="10"/>
      <c r="E34" s="10"/>
      <c r="F34" s="10"/>
      <c r="G34" s="494" t="e">
        <f t="shared" si="0"/>
        <v>#DIV/0!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1:46" ht="13.5" hidden="1" customHeight="1" x14ac:dyDescent="0.2">
      <c r="A35" s="10" t="s">
        <v>145</v>
      </c>
      <c r="B35" s="26" t="s">
        <v>146</v>
      </c>
      <c r="C35" s="10"/>
      <c r="D35" s="10"/>
      <c r="E35" s="10"/>
      <c r="F35" s="10"/>
      <c r="G35" s="494" t="e">
        <f t="shared" si="0"/>
        <v>#DIV/0!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1:46" ht="13.5" hidden="1" customHeight="1" x14ac:dyDescent="0.2">
      <c r="A36" s="10" t="s">
        <v>147</v>
      </c>
      <c r="B36" s="26" t="s">
        <v>148</v>
      </c>
      <c r="C36" s="10"/>
      <c r="D36" s="10"/>
      <c r="E36" s="10"/>
      <c r="F36" s="10"/>
      <c r="G36" s="494" t="e">
        <f t="shared" si="0"/>
        <v>#DIV/0!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1:46" ht="13.5" hidden="1" customHeight="1" x14ac:dyDescent="0.2">
      <c r="A37" s="10" t="s">
        <v>149</v>
      </c>
      <c r="B37" s="26" t="s">
        <v>150</v>
      </c>
      <c r="C37" s="10"/>
      <c r="D37" s="10"/>
      <c r="E37" s="10"/>
      <c r="F37" s="10"/>
      <c r="G37" s="494" t="e">
        <f t="shared" si="0"/>
        <v>#DIV/0!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1:46" ht="13.5" hidden="1" customHeight="1" x14ac:dyDescent="0.2">
      <c r="A38" s="10" t="s">
        <v>155</v>
      </c>
      <c r="B38" s="26" t="s">
        <v>156</v>
      </c>
      <c r="C38" s="10"/>
      <c r="D38" s="10"/>
      <c r="E38" s="10"/>
      <c r="F38" s="10"/>
      <c r="G38" s="494" t="e">
        <f t="shared" si="0"/>
        <v>#DIV/0!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6" ht="17.25" customHeight="1" x14ac:dyDescent="0.25">
      <c r="A39" s="18" t="s">
        <v>159</v>
      </c>
      <c r="B39" s="183" t="s">
        <v>204</v>
      </c>
      <c r="C39" s="46">
        <f>SUM('3.felh'!C20)</f>
        <v>0</v>
      </c>
      <c r="D39" s="46">
        <f>SUM('3.felh'!D20)</f>
        <v>0</v>
      </c>
      <c r="E39" s="46">
        <f>SUM('3.felh'!E20)</f>
        <v>0</v>
      </c>
      <c r="F39" s="46">
        <f>SUM('3.felh'!F20)</f>
        <v>0</v>
      </c>
      <c r="G39" s="49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1:46" ht="13.5" hidden="1" customHeight="1" x14ac:dyDescent="0.2">
      <c r="A40" s="10" t="s">
        <v>160</v>
      </c>
      <c r="B40" s="26" t="s">
        <v>165</v>
      </c>
      <c r="C40" s="10"/>
      <c r="D40" s="10"/>
      <c r="E40" s="10"/>
      <c r="F40" s="10"/>
      <c r="G40" s="494" t="e">
        <f t="shared" si="0"/>
        <v>#DIV/0!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 ht="13.5" hidden="1" customHeight="1" x14ac:dyDescent="0.2">
      <c r="A41" s="10" t="s">
        <v>161</v>
      </c>
      <c r="B41" s="26" t="s">
        <v>166</v>
      </c>
      <c r="C41" s="10"/>
      <c r="D41" s="10"/>
      <c r="E41" s="10"/>
      <c r="F41" s="10"/>
      <c r="G41" s="494" t="e">
        <f t="shared" si="0"/>
        <v>#DIV/0!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 ht="13.5" hidden="1" customHeight="1" x14ac:dyDescent="0.2">
      <c r="A42" s="10" t="s">
        <v>162</v>
      </c>
      <c r="B42" s="26" t="s">
        <v>167</v>
      </c>
      <c r="C42" s="10"/>
      <c r="D42" s="10"/>
      <c r="E42" s="10"/>
      <c r="F42" s="10"/>
      <c r="G42" s="494" t="e">
        <f t="shared" si="0"/>
        <v>#DIV/0!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</row>
    <row r="43" spans="1:46" ht="13.5" hidden="1" customHeight="1" x14ac:dyDescent="0.2">
      <c r="A43" s="10" t="s">
        <v>163</v>
      </c>
      <c r="B43" s="26" t="s">
        <v>168</v>
      </c>
      <c r="C43" s="10"/>
      <c r="D43" s="10"/>
      <c r="E43" s="10"/>
      <c r="F43" s="10"/>
      <c r="G43" s="494" t="e">
        <f t="shared" si="0"/>
        <v>#DIV/0!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spans="1:46" ht="13.5" hidden="1" customHeight="1" x14ac:dyDescent="0.2">
      <c r="A44" s="172" t="s">
        <v>164</v>
      </c>
      <c r="B44" s="26" t="s">
        <v>169</v>
      </c>
      <c r="C44" s="10"/>
      <c r="D44" s="10"/>
      <c r="E44" s="10"/>
      <c r="F44" s="10"/>
      <c r="G44" s="494" t="e">
        <f t="shared" si="0"/>
        <v>#DIV/0!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</row>
    <row r="45" spans="1:46" ht="18" customHeight="1" x14ac:dyDescent="0.25">
      <c r="A45" s="18" t="s">
        <v>170</v>
      </c>
      <c r="B45" s="183" t="s">
        <v>205</v>
      </c>
      <c r="C45" s="46">
        <f>SUM('2.működés'!D83)</f>
        <v>24</v>
      </c>
      <c r="D45" s="46">
        <f>SUM('2.működés'!E83)</f>
        <v>24</v>
      </c>
      <c r="E45" s="46">
        <f>SUM('2.működés'!F83)</f>
        <v>174</v>
      </c>
      <c r="F45" s="46">
        <f>SUM('2.működés'!G83)</f>
        <v>134</v>
      </c>
      <c r="G45" s="494">
        <f t="shared" si="0"/>
        <v>77.011494252873561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</row>
    <row r="46" spans="1:46" ht="13.5" hidden="1" customHeight="1" x14ac:dyDescent="0.2">
      <c r="A46" s="172" t="s">
        <v>175</v>
      </c>
      <c r="B46" s="26" t="s">
        <v>172</v>
      </c>
      <c r="C46" s="10"/>
      <c r="D46" s="10"/>
      <c r="E46" s="10"/>
      <c r="F46" s="10"/>
      <c r="G46" s="494" t="e">
        <f t="shared" si="0"/>
        <v>#DIV/0!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spans="1:46" ht="13.5" hidden="1" customHeight="1" x14ac:dyDescent="0.2">
      <c r="A47" s="172" t="s">
        <v>176</v>
      </c>
      <c r="B47" s="26" t="s">
        <v>173</v>
      </c>
      <c r="C47" s="10"/>
      <c r="D47" s="10"/>
      <c r="E47" s="10"/>
      <c r="F47" s="10"/>
      <c r="G47" s="494" t="e">
        <f t="shared" si="0"/>
        <v>#DIV/0!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</row>
    <row r="48" spans="1:46" ht="13.5" hidden="1" customHeight="1" x14ac:dyDescent="0.2">
      <c r="A48" s="172" t="s">
        <v>177</v>
      </c>
      <c r="B48" s="26" t="s">
        <v>174</v>
      </c>
      <c r="C48" s="10"/>
      <c r="D48" s="10"/>
      <c r="E48" s="10"/>
      <c r="F48" s="10"/>
      <c r="G48" s="494" t="e">
        <f t="shared" si="0"/>
        <v>#DIV/0!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spans="1:46" ht="18" customHeight="1" x14ac:dyDescent="0.25">
      <c r="A49" s="18" t="s">
        <v>171</v>
      </c>
      <c r="B49" s="183" t="s">
        <v>206</v>
      </c>
      <c r="C49" s="46">
        <f>SUM('3.felh'!C25)</f>
        <v>0</v>
      </c>
      <c r="D49" s="46">
        <f>SUM('3.felh'!D25)</f>
        <v>0</v>
      </c>
      <c r="E49" s="46">
        <f>SUM('3.felh'!E25)</f>
        <v>0</v>
      </c>
      <c r="F49" s="46">
        <f>SUM('3.felh'!F25)</f>
        <v>0</v>
      </c>
      <c r="G49" s="49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</row>
    <row r="50" spans="1:46" ht="13.5" hidden="1" customHeight="1" x14ac:dyDescent="0.25">
      <c r="A50" s="10" t="s">
        <v>178</v>
      </c>
      <c r="B50" s="26" t="s">
        <v>181</v>
      </c>
      <c r="C50" s="46"/>
      <c r="D50" s="46"/>
      <c r="E50" s="46"/>
      <c r="F50" s="46"/>
      <c r="G50" s="494" t="e">
        <f t="shared" si="0"/>
        <v>#DIV/0!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spans="1:46" ht="13.5" hidden="1" customHeight="1" x14ac:dyDescent="0.25">
      <c r="A51" s="10" t="s">
        <v>179</v>
      </c>
      <c r="B51" s="26" t="s">
        <v>182</v>
      </c>
      <c r="C51" s="46"/>
      <c r="D51" s="46"/>
      <c r="E51" s="46"/>
      <c r="F51" s="46"/>
      <c r="G51" s="494" t="e">
        <f t="shared" si="0"/>
        <v>#DIV/0!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spans="1:46" ht="13.5" hidden="1" customHeight="1" thickBot="1" x14ac:dyDescent="0.3">
      <c r="A52" s="13" t="s">
        <v>180</v>
      </c>
      <c r="B52" s="193" t="s">
        <v>183</v>
      </c>
      <c r="C52" s="194"/>
      <c r="D52" s="194"/>
      <c r="E52" s="194"/>
      <c r="F52" s="194"/>
      <c r="G52" s="494" t="e">
        <f t="shared" si="0"/>
        <v>#DIV/0!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  <row r="53" spans="1:46" ht="21.75" customHeight="1" x14ac:dyDescent="0.25">
      <c r="A53" s="30" t="s">
        <v>344</v>
      </c>
      <c r="B53" s="240" t="s">
        <v>346</v>
      </c>
      <c r="C53" s="46">
        <f>SUM(C54+C59)</f>
        <v>10489</v>
      </c>
      <c r="D53" s="46">
        <f>SUM(D54+D59)</f>
        <v>8717</v>
      </c>
      <c r="E53" s="46">
        <f>SUM(E54+E59)</f>
        <v>6375</v>
      </c>
      <c r="F53" s="46">
        <f>SUM(F54+F59)</f>
        <v>6837</v>
      </c>
      <c r="G53" s="494">
        <f t="shared" si="0"/>
        <v>107.2470588235294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</row>
    <row r="54" spans="1:46" ht="18" customHeight="1" x14ac:dyDescent="0.25">
      <c r="A54" s="30"/>
      <c r="B54" s="29" t="s">
        <v>353</v>
      </c>
      <c r="C54" s="46">
        <f>SUM(C55)+C58</f>
        <v>7267</v>
      </c>
      <c r="D54" s="46">
        <f>SUM(D55)+D58</f>
        <v>5495</v>
      </c>
      <c r="E54" s="46">
        <f>SUM(E55)+E58</f>
        <v>6375</v>
      </c>
      <c r="F54" s="46">
        <f>SUM(F55)+F58</f>
        <v>6837</v>
      </c>
      <c r="G54" s="494">
        <f t="shared" si="0"/>
        <v>107.2470588235294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</row>
    <row r="55" spans="1:46" ht="13.5" customHeight="1" x14ac:dyDescent="0.2">
      <c r="A55" s="10"/>
      <c r="B55" s="188" t="s">
        <v>401</v>
      </c>
      <c r="C55" s="15">
        <f>SUM(C56:C57)</f>
        <v>7267</v>
      </c>
      <c r="D55" s="15">
        <f>SUM(D56:D57)</f>
        <v>5495</v>
      </c>
      <c r="E55" s="15">
        <f>SUM(E56:E57)</f>
        <v>5495</v>
      </c>
      <c r="F55" s="15">
        <f>SUM(F56:F57)</f>
        <v>5957</v>
      </c>
      <c r="G55" s="494">
        <f t="shared" si="0"/>
        <v>108.40764331210191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</row>
    <row r="56" spans="1:46" ht="13.5" customHeight="1" x14ac:dyDescent="0.2">
      <c r="A56" s="10"/>
      <c r="B56" s="188" t="s">
        <v>399</v>
      </c>
      <c r="C56" s="16">
        <f>'2.működés'!D90</f>
        <v>4256</v>
      </c>
      <c r="D56" s="16">
        <f>'2.működés'!E90</f>
        <v>2484</v>
      </c>
      <c r="E56" s="16">
        <f>'2.működés'!F90</f>
        <v>2484</v>
      </c>
      <c r="F56" s="16">
        <f>'2.működés'!G90</f>
        <v>2946</v>
      </c>
      <c r="G56" s="494">
        <f t="shared" si="0"/>
        <v>118.59903381642512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</row>
    <row r="57" spans="1:46" ht="13.5" customHeight="1" x14ac:dyDescent="0.2">
      <c r="A57" s="10"/>
      <c r="B57" s="188" t="s">
        <v>400</v>
      </c>
      <c r="C57" s="16">
        <f>'3.felh'!C32</f>
        <v>3011</v>
      </c>
      <c r="D57" s="16">
        <f>'3.felh'!D32</f>
        <v>3011</v>
      </c>
      <c r="E57" s="16">
        <f>'3.felh'!E32</f>
        <v>3011</v>
      </c>
      <c r="F57" s="16">
        <f>'3.felh'!F32</f>
        <v>3011</v>
      </c>
      <c r="G57" s="494">
        <f t="shared" si="0"/>
        <v>100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</row>
    <row r="58" spans="1:46" ht="13.5" customHeight="1" x14ac:dyDescent="0.2">
      <c r="A58" s="10"/>
      <c r="B58" s="232" t="s">
        <v>422</v>
      </c>
      <c r="C58" s="16">
        <f>'2.működés'!D91</f>
        <v>0</v>
      </c>
      <c r="D58" s="16">
        <f>'2.működés'!E91</f>
        <v>0</v>
      </c>
      <c r="E58" s="16">
        <f>'2.működés'!F91</f>
        <v>880</v>
      </c>
      <c r="F58" s="16">
        <f>'2.működés'!G91</f>
        <v>880</v>
      </c>
      <c r="G58" s="494">
        <f t="shared" si="0"/>
        <v>100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</row>
    <row r="59" spans="1:46" ht="18" customHeight="1" x14ac:dyDescent="0.25">
      <c r="A59" s="10"/>
      <c r="B59" s="29" t="s">
        <v>354</v>
      </c>
      <c r="C59" s="46">
        <f>SUM(C60:C61)</f>
        <v>3222</v>
      </c>
      <c r="D59" s="46">
        <f>SUM(D60:D61)</f>
        <v>3222</v>
      </c>
      <c r="E59" s="46">
        <f>SUM(E60:E61)</f>
        <v>0</v>
      </c>
      <c r="F59" s="46">
        <f>SUM(F60:F61)</f>
        <v>0</v>
      </c>
      <c r="G59" s="49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spans="1:46" ht="13.5" customHeight="1" x14ac:dyDescent="0.2">
      <c r="A60" s="10"/>
      <c r="B60" s="185" t="s">
        <v>356</v>
      </c>
      <c r="C60" s="16">
        <f>SUM('2.működés'!D93)</f>
        <v>3222</v>
      </c>
      <c r="D60" s="17">
        <f>'2.működés'!E93</f>
        <v>3222</v>
      </c>
      <c r="E60" s="17">
        <f>'2.működés'!F93</f>
        <v>0</v>
      </c>
      <c r="F60" s="17">
        <f>'2.működés'!G93</f>
        <v>0</v>
      </c>
      <c r="G60" s="49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</row>
    <row r="61" spans="1:46" ht="13.5" customHeight="1" thickBot="1" x14ac:dyDescent="0.25">
      <c r="A61" s="195"/>
      <c r="B61" s="10" t="s">
        <v>357</v>
      </c>
      <c r="C61" s="17">
        <f>SUM('3.felh'!C33)</f>
        <v>0</v>
      </c>
      <c r="D61" s="17">
        <f>SUM('3.felh'!D33)</f>
        <v>0</v>
      </c>
      <c r="E61" s="17">
        <f>SUM('3.felh'!E33)</f>
        <v>0</v>
      </c>
      <c r="F61" s="17">
        <f>SUM('3.felh'!F33)</f>
        <v>0</v>
      </c>
      <c r="G61" s="49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</row>
    <row r="62" spans="1:46" ht="23.25" customHeight="1" thickBot="1" x14ac:dyDescent="0.4">
      <c r="A62" s="195"/>
      <c r="B62" s="49" t="s">
        <v>374</v>
      </c>
      <c r="C62" s="256">
        <f>SUM(C7+C53)</f>
        <v>48523</v>
      </c>
      <c r="D62" s="256">
        <f>SUM(D7+D53)</f>
        <v>58737</v>
      </c>
      <c r="E62" s="256">
        <f>SUM(E7+E53)</f>
        <v>67581</v>
      </c>
      <c r="F62" s="296">
        <f>SUM(F7+F53)</f>
        <v>68919</v>
      </c>
      <c r="G62" s="494">
        <f t="shared" si="0"/>
        <v>101.97984640653439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</row>
    <row r="63" spans="1:46" ht="20.25" customHeight="1" x14ac:dyDescent="0.25">
      <c r="A63" s="190" t="s">
        <v>187</v>
      </c>
      <c r="B63" s="187" t="s">
        <v>349</v>
      </c>
      <c r="C63" s="297">
        <f>SUM(C64+C67)</f>
        <v>47582</v>
      </c>
      <c r="D63" s="297">
        <f>SUM(D64+D67)</f>
        <v>57796</v>
      </c>
      <c r="E63" s="297">
        <f>SUM(E64+E67)</f>
        <v>66640</v>
      </c>
      <c r="F63" s="297">
        <f>SUM(F64+F67)</f>
        <v>49889</v>
      </c>
      <c r="G63" s="494">
        <f t="shared" si="0"/>
        <v>74.863445378151255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</row>
    <row r="64" spans="1:46" ht="18" customHeight="1" x14ac:dyDescent="0.25">
      <c r="A64" s="18" t="s">
        <v>184</v>
      </c>
      <c r="B64" s="191" t="s">
        <v>7</v>
      </c>
      <c r="C64" s="298">
        <f>SUM(C65:C66)</f>
        <v>47307</v>
      </c>
      <c r="D64" s="298">
        <f>SUM(D65:D66)</f>
        <v>49537</v>
      </c>
      <c r="E64" s="298">
        <f>SUM(E65:E66)</f>
        <v>49276</v>
      </c>
      <c r="F64" s="298">
        <f>SUM(F65:F66)</f>
        <v>41630</v>
      </c>
      <c r="G64" s="494">
        <f t="shared" si="0"/>
        <v>84.483318451172977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</row>
    <row r="65" spans="1:46" x14ac:dyDescent="0.2">
      <c r="A65" s="10"/>
      <c r="B65" s="184" t="s">
        <v>8</v>
      </c>
      <c r="C65" s="282">
        <f>SUM('2.működés'!D96+'2.működés'!D97+'2.működés'!D98+'2.működés'!D99+'2.működés'!D101)</f>
        <v>47183</v>
      </c>
      <c r="D65" s="282">
        <f>SUM('2.működés'!E96+'2.működés'!E97+'2.működés'!E98+'2.működés'!E99+'2.működés'!E101)</f>
        <v>48660</v>
      </c>
      <c r="E65" s="282">
        <f>SUM('2.működés'!F96+'2.működés'!F97+'2.működés'!F98+'2.működés'!F99+'2.működés'!F101)</f>
        <v>47502</v>
      </c>
      <c r="F65" s="282">
        <f>SUM('2.működés'!G96+'2.működés'!G97+'2.működés'!G98+'2.működés'!G99+'2.működés'!G101)</f>
        <v>41630</v>
      </c>
      <c r="G65" s="494">
        <f t="shared" si="0"/>
        <v>87.638415224622122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</row>
    <row r="66" spans="1:46" ht="13.5" customHeight="1" x14ac:dyDescent="0.2">
      <c r="A66" s="10"/>
      <c r="B66" s="196" t="s">
        <v>368</v>
      </c>
      <c r="C66" s="290">
        <f>SUM('2.működés'!D102)</f>
        <v>124</v>
      </c>
      <c r="D66" s="290">
        <f>SUM('2.működés'!E102)</f>
        <v>877</v>
      </c>
      <c r="E66" s="290">
        <f>SUM('2.működés'!F102)</f>
        <v>1774</v>
      </c>
      <c r="F66" s="290">
        <f>SUM('2.működés'!G102)</f>
        <v>0</v>
      </c>
      <c r="G66" s="494">
        <f t="shared" si="0"/>
        <v>0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</row>
    <row r="67" spans="1:46" ht="18" customHeight="1" x14ac:dyDescent="0.25">
      <c r="A67" s="18" t="s">
        <v>185</v>
      </c>
      <c r="B67" s="183" t="s">
        <v>207</v>
      </c>
      <c r="C67" s="300">
        <f>SUM(C68:C70)</f>
        <v>275</v>
      </c>
      <c r="D67" s="300">
        <f>SUM(D68:D70)</f>
        <v>8259</v>
      </c>
      <c r="E67" s="300">
        <f>SUM(E68:E70)</f>
        <v>17364</v>
      </c>
      <c r="F67" s="300">
        <f>SUM(F68:F70)</f>
        <v>8259</v>
      </c>
      <c r="G67" s="494">
        <f t="shared" si="0"/>
        <v>47.563925362819624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</row>
    <row r="68" spans="1:46" s="53" customFormat="1" ht="13.5" customHeight="1" x14ac:dyDescent="0.2">
      <c r="A68" s="10"/>
      <c r="B68" s="185" t="s">
        <v>307</v>
      </c>
      <c r="C68" s="248">
        <f>SUM('3.felh'!C37)</f>
        <v>275</v>
      </c>
      <c r="D68" s="248">
        <f>SUM('3.felh'!D37)</f>
        <v>8259</v>
      </c>
      <c r="E68" s="248">
        <f>SUM('3.felh'!E37)</f>
        <v>8259</v>
      </c>
      <c r="F68" s="248">
        <f>SUM('3.felh'!F37)</f>
        <v>8259</v>
      </c>
      <c r="G68" s="494">
        <f t="shared" si="0"/>
        <v>100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</row>
    <row r="69" spans="1:46" s="53" customFormat="1" ht="13.5" customHeight="1" x14ac:dyDescent="0.2">
      <c r="A69" s="10"/>
      <c r="B69" s="185" t="s">
        <v>308</v>
      </c>
      <c r="C69" s="301">
        <f>SUM('3.felh'!C45)</f>
        <v>0</v>
      </c>
      <c r="D69" s="301">
        <f>SUM('3.felh'!D45)</f>
        <v>0</v>
      </c>
      <c r="E69" s="301">
        <f>SUM('3.felh'!E45)</f>
        <v>0</v>
      </c>
      <c r="F69" s="301">
        <f>SUM('3.felh'!F45)</f>
        <v>0</v>
      </c>
      <c r="G69" s="49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</row>
    <row r="70" spans="1:46" s="53" customFormat="1" ht="13.5" customHeight="1" x14ac:dyDescent="0.2">
      <c r="A70" s="10"/>
      <c r="B70" s="185" t="s">
        <v>309</v>
      </c>
      <c r="C70" s="301">
        <f>SUM(C71:C72)</f>
        <v>0</v>
      </c>
      <c r="D70" s="301">
        <f>SUM(D71:D72)</f>
        <v>0</v>
      </c>
      <c r="E70" s="301">
        <f>SUM(E71:E72)</f>
        <v>9105</v>
      </c>
      <c r="F70" s="301">
        <f>SUM(F71:F72)</f>
        <v>0</v>
      </c>
      <c r="G70" s="494">
        <f t="shared" si="0"/>
        <v>0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</row>
    <row r="71" spans="1:46" s="53" customFormat="1" ht="13.5" customHeight="1" x14ac:dyDescent="0.2">
      <c r="A71" s="10"/>
      <c r="B71" s="185" t="s">
        <v>359</v>
      </c>
      <c r="C71" s="301">
        <f>SUM('3.felh'!C53)</f>
        <v>0</v>
      </c>
      <c r="D71" s="301">
        <f>SUM('3.felh'!D53)</f>
        <v>0</v>
      </c>
      <c r="E71" s="301">
        <f>SUM('3.felh'!E53)</f>
        <v>0</v>
      </c>
      <c r="F71" s="301">
        <f>SUM('3.felh'!F53)</f>
        <v>0</v>
      </c>
      <c r="G71" s="49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</row>
    <row r="72" spans="1:46" s="53" customFormat="1" ht="13.5" customHeight="1" x14ac:dyDescent="0.2">
      <c r="A72" s="10"/>
      <c r="B72" s="196" t="s">
        <v>411</v>
      </c>
      <c r="C72" s="312">
        <f>SUM('3.felh'!C54)</f>
        <v>0</v>
      </c>
      <c r="D72" s="312">
        <f>SUM('3.felh'!D54)</f>
        <v>0</v>
      </c>
      <c r="E72" s="312">
        <f>SUM('3.felh'!E54)</f>
        <v>9105</v>
      </c>
      <c r="F72" s="312">
        <f>SUM('3.felh'!F54)</f>
        <v>0</v>
      </c>
      <c r="G72" s="494">
        <f>(F72/E72)*100</f>
        <v>0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</row>
    <row r="73" spans="1:46" ht="21.75" customHeight="1" x14ac:dyDescent="0.25">
      <c r="A73" s="18" t="s">
        <v>186</v>
      </c>
      <c r="B73" s="241" t="s">
        <v>358</v>
      </c>
      <c r="C73" s="289">
        <f>C74</f>
        <v>941</v>
      </c>
      <c r="D73" s="289">
        <f>D74</f>
        <v>941</v>
      </c>
      <c r="E73" s="289">
        <f>E74</f>
        <v>941</v>
      </c>
      <c r="F73" s="289">
        <f>F74</f>
        <v>941</v>
      </c>
      <c r="G73" s="494">
        <f>(F73/E73)*100</f>
        <v>100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</row>
    <row r="74" spans="1:46" ht="16.5" customHeight="1" thickBot="1" x14ac:dyDescent="0.25">
      <c r="A74" s="235"/>
      <c r="B74" s="232" t="str">
        <f>'2.működés'!C104</f>
        <v>Államháztartáson belüli megelőlegezések visszafizetése</v>
      </c>
      <c r="C74" s="290">
        <f>'2.működés'!D104</f>
        <v>941</v>
      </c>
      <c r="D74" s="290">
        <f>'2.működés'!E104</f>
        <v>941</v>
      </c>
      <c r="E74" s="290">
        <f>'2.működés'!F104</f>
        <v>941</v>
      </c>
      <c r="F74" s="290">
        <f>'2.működés'!G104</f>
        <v>941</v>
      </c>
      <c r="G74" s="494">
        <f>(F74/E74)*100</f>
        <v>100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</row>
    <row r="75" spans="1:46" s="4" customFormat="1" ht="24" customHeight="1" thickBot="1" x14ac:dyDescent="0.4">
      <c r="A75" s="195"/>
      <c r="B75" s="54" t="s">
        <v>375</v>
      </c>
      <c r="C75" s="256">
        <f>SUM(C63+C73)</f>
        <v>48523</v>
      </c>
      <c r="D75" s="256">
        <f>SUM(D63+D73)</f>
        <v>58737</v>
      </c>
      <c r="E75" s="256">
        <f>SUM(E63+E73)</f>
        <v>67581</v>
      </c>
      <c r="F75" s="296">
        <f>SUM(F63+F73)</f>
        <v>50830</v>
      </c>
      <c r="G75" s="494">
        <f>(F75/E75)*100</f>
        <v>75.213447566623756</v>
      </c>
      <c r="H75" s="3"/>
      <c r="I75" s="337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ht="15.75" customHeight="1" x14ac:dyDescent="0.2">
      <c r="B76" s="4"/>
      <c r="C76" s="387"/>
      <c r="D76" s="4"/>
      <c r="E76" s="339"/>
      <c r="F76" s="339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</row>
    <row r="77" spans="1:46" s="316" customFormat="1" ht="15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</row>
    <row r="78" spans="1:46" s="316" customFormat="1" ht="15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</row>
    <row r="79" spans="1:46" s="316" customFormat="1" ht="15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</row>
    <row r="80" spans="1:46" s="316" customFormat="1" ht="15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</row>
    <row r="81" spans="1:46" s="316" customFormat="1" ht="15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</row>
    <row r="82" spans="1:46" s="316" customFormat="1" ht="15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</row>
    <row r="83" spans="1:46" ht="15.75" customHeight="1" x14ac:dyDescent="0.2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</row>
    <row r="84" spans="1:46" ht="15.75" customHeight="1" x14ac:dyDescent="0.2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</row>
    <row r="85" spans="1:46" ht="15.75" customHeight="1" x14ac:dyDescent="0.2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</row>
    <row r="86" spans="1:46" ht="15.75" customHeight="1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</row>
    <row r="87" spans="1:46" ht="15.75" customHeight="1" x14ac:dyDescent="0.2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</row>
    <row r="88" spans="1:46" ht="15.75" customHeight="1" x14ac:dyDescent="0.2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</row>
    <row r="89" spans="1:46" ht="15.75" customHeight="1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</row>
    <row r="90" spans="1:46" ht="15.75" customHeight="1" x14ac:dyDescent="0.2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</row>
    <row r="91" spans="1:46" ht="15.75" customHeight="1" x14ac:dyDescent="0.2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</row>
    <row r="92" spans="1:46" ht="15.75" customHeight="1" x14ac:dyDescent="0.2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</row>
    <row r="93" spans="1:46" ht="15.75" customHeight="1" x14ac:dyDescent="0.2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</row>
    <row r="94" spans="1:46" ht="15.75" customHeight="1" x14ac:dyDescent="0.2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</row>
    <row r="95" spans="1:46" ht="15.75" customHeight="1" x14ac:dyDescent="0.2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</row>
    <row r="96" spans="1:46" ht="15.75" customHeight="1" x14ac:dyDescent="0.2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</row>
    <row r="97" spans="2:46" ht="15.75" customHeight="1" x14ac:dyDescent="0.2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</row>
    <row r="98" spans="2:46" ht="15.75" customHeight="1" x14ac:dyDescent="0.2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</row>
    <row r="99" spans="2:46" ht="15.75" customHeight="1" x14ac:dyDescent="0.2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</row>
    <row r="100" spans="2:46" ht="15.75" customHeight="1" x14ac:dyDescent="0.2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</row>
    <row r="101" spans="2:46" ht="15.75" customHeight="1" x14ac:dyDescent="0.2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</row>
    <row r="102" spans="2:46" ht="15.75" customHeight="1" x14ac:dyDescent="0.2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</row>
    <row r="103" spans="2:46" ht="15.75" customHeight="1" x14ac:dyDescent="0.2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</row>
    <row r="104" spans="2:46" ht="15.75" customHeight="1" x14ac:dyDescent="0.2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</row>
    <row r="105" spans="2:46" ht="15.75" customHeight="1" x14ac:dyDescent="0.2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</row>
    <row r="106" spans="2:46" ht="15.75" customHeight="1" x14ac:dyDescent="0.2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</row>
    <row r="107" spans="2:46" ht="15.75" customHeight="1" x14ac:dyDescent="0.2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</row>
    <row r="108" spans="2:46" ht="15.75" customHeight="1" x14ac:dyDescent="0.2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</row>
    <row r="109" spans="2:46" ht="15.75" customHeight="1" x14ac:dyDescent="0.2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</row>
    <row r="110" spans="2:46" ht="15.75" customHeight="1" x14ac:dyDescent="0.2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</row>
    <row r="111" spans="2:46" ht="15.75" customHeight="1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</row>
    <row r="112" spans="2:46" ht="15.75" customHeight="1" x14ac:dyDescent="0.2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</row>
    <row r="113" spans="2:46" ht="15.75" customHeight="1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</row>
    <row r="114" spans="2:46" ht="15.75" customHeight="1" x14ac:dyDescent="0.2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</row>
    <row r="115" spans="2:46" ht="15.75" customHeight="1" x14ac:dyDescent="0.2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</row>
    <row r="116" spans="2:46" ht="15.75" customHeight="1" x14ac:dyDescent="0.2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</row>
    <row r="117" spans="2:46" ht="15.75" customHeight="1" x14ac:dyDescent="0.2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46" ht="15.75" customHeight="1" x14ac:dyDescent="0.2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</row>
    <row r="119" spans="2:46" ht="15.75" customHeight="1" x14ac:dyDescent="0.2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</row>
    <row r="120" spans="2:46" ht="15.75" customHeight="1" x14ac:dyDescent="0.2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</row>
    <row r="121" spans="2:46" ht="15.75" customHeight="1" x14ac:dyDescent="0.2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</row>
    <row r="122" spans="2:46" ht="15.75" customHeight="1" x14ac:dyDescent="0.2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</row>
    <row r="123" spans="2:46" ht="15.75" customHeight="1" x14ac:dyDescent="0.2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</row>
    <row r="124" spans="2:46" ht="15.75" customHeight="1" x14ac:dyDescent="0.2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</row>
    <row r="125" spans="2:46" ht="15.75" customHeight="1" x14ac:dyDescent="0.2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</row>
    <row r="126" spans="2:46" ht="15.75" customHeight="1" x14ac:dyDescent="0.2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</row>
    <row r="127" spans="2:46" ht="15.75" customHeight="1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</row>
    <row r="128" spans="2:46" ht="15.75" customHeight="1" x14ac:dyDescent="0.2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</row>
    <row r="129" spans="2:46" ht="15.75" customHeight="1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</row>
    <row r="130" spans="2:46" ht="15.75" customHeight="1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</row>
    <row r="131" spans="2:46" ht="15.75" customHeight="1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</row>
    <row r="132" spans="2:46" ht="15.75" customHeight="1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</row>
    <row r="133" spans="2:46" ht="15.75" customHeight="1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</row>
    <row r="134" spans="2:46" ht="15.75" customHeight="1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</row>
    <row r="135" spans="2:46" ht="15.75" customHeight="1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</row>
    <row r="136" spans="2:46" ht="15.7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</row>
    <row r="137" spans="2:46" ht="15.75" customHeight="1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</row>
    <row r="138" spans="2:46" ht="15.75" customHeight="1" x14ac:dyDescent="0.2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</row>
    <row r="139" spans="2:46" ht="15.75" customHeight="1" x14ac:dyDescent="0.2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</row>
    <row r="140" spans="2:46" ht="15.75" customHeight="1" x14ac:dyDescent="0.2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</row>
    <row r="141" spans="2:46" ht="15.75" customHeight="1" x14ac:dyDescent="0.2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</row>
    <row r="142" spans="2:46" ht="15.75" customHeight="1" x14ac:dyDescent="0.2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</row>
    <row r="143" spans="2:46" ht="15.75" customHeight="1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</row>
    <row r="144" spans="2:46" ht="15.75" customHeight="1" x14ac:dyDescent="0.2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</row>
    <row r="145" spans="2:46" ht="15.75" customHeight="1" x14ac:dyDescent="0.2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</row>
    <row r="146" spans="2:46" ht="15.75" customHeight="1" x14ac:dyDescent="0.2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</row>
    <row r="147" spans="2:46" ht="15.75" customHeight="1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</row>
    <row r="148" spans="2:46" ht="15.75" customHeight="1" x14ac:dyDescent="0.2">
      <c r="B148" s="2"/>
      <c r="C148" s="2"/>
      <c r="D148" s="2"/>
      <c r="E148" s="36"/>
      <c r="F148" s="3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</row>
    <row r="149" spans="2:46" ht="15.75" customHeight="1" x14ac:dyDescent="0.2">
      <c r="B149" s="2"/>
      <c r="C149" s="2"/>
      <c r="D149" s="2"/>
      <c r="E149" s="36"/>
      <c r="F149" s="3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</row>
    <row r="150" spans="2:46" ht="15.75" customHeight="1" x14ac:dyDescent="0.2">
      <c r="B150" s="2"/>
      <c r="C150" s="2"/>
      <c r="D150" s="2"/>
      <c r="E150" s="36"/>
      <c r="F150" s="3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</row>
    <row r="151" spans="2:46" ht="15.75" customHeight="1" x14ac:dyDescent="0.2">
      <c r="B151" s="2"/>
      <c r="C151" s="2"/>
      <c r="D151" s="2"/>
      <c r="E151" s="36"/>
      <c r="F151" s="3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</row>
    <row r="152" spans="2:46" ht="15.75" customHeight="1" x14ac:dyDescent="0.2">
      <c r="B152" s="2"/>
      <c r="C152" s="2"/>
      <c r="D152" s="2"/>
      <c r="E152" s="36"/>
      <c r="F152" s="3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</row>
    <row r="153" spans="2:46" ht="15.75" customHeight="1" x14ac:dyDescent="0.2">
      <c r="B153" s="2"/>
      <c r="C153" s="2"/>
      <c r="D153" s="2"/>
      <c r="E153" s="36"/>
      <c r="F153" s="3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</row>
    <row r="154" spans="2:46" ht="15.75" customHeight="1" x14ac:dyDescent="0.2">
      <c r="B154" s="2"/>
      <c r="C154" s="2"/>
      <c r="D154" s="2"/>
      <c r="E154" s="36"/>
      <c r="F154" s="3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</row>
    <row r="155" spans="2:46" ht="15.75" customHeight="1" x14ac:dyDescent="0.2">
      <c r="B155" s="2"/>
      <c r="C155" s="2"/>
      <c r="D155" s="2"/>
      <c r="E155" s="36"/>
      <c r="F155" s="3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</row>
    <row r="156" spans="2:46" ht="15.75" customHeight="1" x14ac:dyDescent="0.2">
      <c r="B156" s="2"/>
      <c r="C156" s="2"/>
      <c r="D156" s="2"/>
      <c r="E156" s="36"/>
      <c r="F156" s="3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</row>
    <row r="157" spans="2:46" ht="15.75" customHeight="1" x14ac:dyDescent="0.2">
      <c r="B157" s="2"/>
      <c r="C157" s="2"/>
      <c r="D157" s="2"/>
      <c r="E157" s="36"/>
      <c r="F157" s="3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</row>
    <row r="158" spans="2:46" ht="15.75" customHeight="1" x14ac:dyDescent="0.2">
      <c r="B158" s="2"/>
      <c r="C158" s="2"/>
      <c r="D158" s="2"/>
      <c r="E158" s="36"/>
      <c r="F158" s="3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</row>
    <row r="159" spans="2:46" ht="15.75" customHeight="1" x14ac:dyDescent="0.2">
      <c r="B159" s="2"/>
      <c r="C159" s="2"/>
      <c r="D159" s="2"/>
      <c r="E159" s="36"/>
      <c r="F159" s="3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</row>
    <row r="160" spans="2:46" ht="15.75" customHeight="1" x14ac:dyDescent="0.2">
      <c r="B160" s="2"/>
      <c r="C160" s="2"/>
      <c r="D160" s="2"/>
      <c r="E160" s="36"/>
      <c r="F160" s="3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</row>
    <row r="161" spans="2:46" ht="15.75" customHeight="1" x14ac:dyDescent="0.2">
      <c r="B161" s="2"/>
      <c r="C161" s="2"/>
      <c r="D161" s="2"/>
      <c r="E161" s="36"/>
      <c r="F161" s="3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</row>
    <row r="162" spans="2:46" ht="15.75" customHeight="1" x14ac:dyDescent="0.2">
      <c r="B162" s="2"/>
      <c r="C162" s="2"/>
      <c r="D162" s="2"/>
      <c r="E162" s="36"/>
      <c r="F162" s="3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</row>
    <row r="163" spans="2:46" ht="15.75" customHeight="1" x14ac:dyDescent="0.2">
      <c r="B163" s="2"/>
      <c r="C163" s="2"/>
      <c r="D163" s="2"/>
      <c r="E163" s="36"/>
      <c r="F163" s="3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</row>
    <row r="164" spans="2:46" ht="15.75" customHeight="1" x14ac:dyDescent="0.2">
      <c r="B164" s="2"/>
      <c r="C164" s="2"/>
      <c r="D164" s="2"/>
      <c r="E164" s="36"/>
      <c r="F164" s="3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</row>
    <row r="165" spans="2:46" ht="15.75" customHeight="1" x14ac:dyDescent="0.2">
      <c r="B165" s="2"/>
      <c r="C165" s="2"/>
      <c r="D165" s="2"/>
      <c r="E165" s="36"/>
      <c r="F165" s="3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</row>
    <row r="166" spans="2:46" ht="15.75" customHeight="1" x14ac:dyDescent="0.2">
      <c r="B166" s="2"/>
      <c r="C166" s="2"/>
      <c r="D166" s="2"/>
      <c r="E166" s="36"/>
      <c r="F166" s="3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</row>
    <row r="167" spans="2:46" ht="15.75" customHeight="1" x14ac:dyDescent="0.2">
      <c r="B167" s="2"/>
      <c r="C167" s="2"/>
      <c r="D167" s="2"/>
      <c r="E167" s="36"/>
      <c r="F167" s="3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</row>
    <row r="168" spans="2:46" ht="15.75" customHeight="1" x14ac:dyDescent="0.2">
      <c r="B168" s="2"/>
      <c r="C168" s="2"/>
      <c r="D168" s="2"/>
      <c r="E168" s="36"/>
      <c r="F168" s="3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</row>
    <row r="169" spans="2:46" ht="15.75" customHeight="1" x14ac:dyDescent="0.2">
      <c r="B169" s="2"/>
      <c r="C169" s="2"/>
      <c r="D169" s="2"/>
      <c r="E169" s="36"/>
      <c r="F169" s="3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</row>
    <row r="170" spans="2:46" ht="15.75" customHeight="1" x14ac:dyDescent="0.2">
      <c r="B170" s="2"/>
      <c r="C170" s="2"/>
      <c r="D170" s="2"/>
      <c r="E170" s="36"/>
      <c r="F170" s="3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</row>
    <row r="171" spans="2:46" ht="15.75" customHeight="1" x14ac:dyDescent="0.2">
      <c r="B171" s="2"/>
      <c r="C171" s="2"/>
      <c r="D171" s="2"/>
      <c r="E171" s="36"/>
      <c r="F171" s="3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</row>
    <row r="172" spans="2:46" ht="15.75" customHeight="1" x14ac:dyDescent="0.2">
      <c r="B172" s="2"/>
      <c r="C172" s="2"/>
      <c r="D172" s="2"/>
      <c r="E172" s="36"/>
      <c r="F172" s="3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</row>
    <row r="173" spans="2:46" ht="15.75" customHeight="1" x14ac:dyDescent="0.2">
      <c r="B173" s="2"/>
      <c r="C173" s="2"/>
      <c r="D173" s="2"/>
      <c r="E173" s="36"/>
      <c r="F173" s="3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</row>
    <row r="174" spans="2:46" ht="15.75" customHeight="1" x14ac:dyDescent="0.2">
      <c r="B174" s="2"/>
      <c r="C174" s="2"/>
      <c r="D174" s="2"/>
      <c r="E174" s="36"/>
      <c r="F174" s="3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</row>
    <row r="175" spans="2:46" ht="15.75" customHeight="1" x14ac:dyDescent="0.2">
      <c r="B175" s="2"/>
      <c r="C175" s="2"/>
      <c r="D175" s="2"/>
      <c r="E175" s="36"/>
      <c r="F175" s="3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</row>
    <row r="176" spans="2:46" ht="15.75" customHeight="1" x14ac:dyDescent="0.2">
      <c r="B176" s="2"/>
      <c r="C176" s="2"/>
      <c r="D176" s="2"/>
      <c r="E176" s="36"/>
      <c r="F176" s="3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</row>
    <row r="177" spans="2:46" ht="15.75" customHeight="1" x14ac:dyDescent="0.2">
      <c r="B177" s="2"/>
      <c r="C177" s="2"/>
      <c r="D177" s="2"/>
      <c r="E177" s="36"/>
      <c r="F177" s="3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</row>
    <row r="178" spans="2:46" ht="15.75" customHeight="1" x14ac:dyDescent="0.2">
      <c r="B178" s="2"/>
      <c r="C178" s="2"/>
      <c r="D178" s="2"/>
      <c r="E178" s="36"/>
      <c r="F178" s="3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</row>
    <row r="179" spans="2:46" ht="15.75" customHeight="1" x14ac:dyDescent="0.2">
      <c r="B179" s="2"/>
      <c r="C179" s="2"/>
      <c r="D179" s="2"/>
      <c r="E179" s="36"/>
      <c r="F179" s="3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</row>
    <row r="180" spans="2:46" ht="15.75" customHeight="1" x14ac:dyDescent="0.2">
      <c r="B180" s="2"/>
      <c r="C180" s="2"/>
      <c r="D180" s="2"/>
      <c r="E180" s="36"/>
      <c r="F180" s="3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</row>
    <row r="181" spans="2:46" ht="15.75" customHeight="1" x14ac:dyDescent="0.2">
      <c r="B181" s="2"/>
      <c r="C181" s="2"/>
      <c r="D181" s="2"/>
      <c r="E181" s="36"/>
      <c r="F181" s="3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</row>
    <row r="182" spans="2:46" ht="15.75" customHeight="1" x14ac:dyDescent="0.2">
      <c r="B182" s="2"/>
      <c r="C182" s="2"/>
      <c r="D182" s="2"/>
      <c r="E182" s="36"/>
      <c r="F182" s="3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</row>
    <row r="183" spans="2:46" ht="15.75" customHeight="1" x14ac:dyDescent="0.2">
      <c r="B183" s="2"/>
      <c r="C183" s="2"/>
      <c r="D183" s="2"/>
      <c r="E183" s="36"/>
      <c r="F183" s="3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</row>
    <row r="184" spans="2:46" ht="15.75" customHeight="1" x14ac:dyDescent="0.2">
      <c r="B184" s="2"/>
      <c r="C184" s="2"/>
      <c r="D184" s="2"/>
      <c r="E184" s="36"/>
      <c r="F184" s="3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</row>
    <row r="185" spans="2:46" ht="15.75" customHeight="1" x14ac:dyDescent="0.2">
      <c r="B185" s="2"/>
      <c r="C185" s="2"/>
      <c r="D185" s="2"/>
      <c r="E185" s="36"/>
      <c r="F185" s="3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</row>
    <row r="186" spans="2:46" ht="15.75" customHeight="1" x14ac:dyDescent="0.2">
      <c r="B186" s="2"/>
      <c r="C186" s="2"/>
      <c r="D186" s="2"/>
      <c r="E186" s="36"/>
      <c r="F186" s="3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</row>
    <row r="187" spans="2:46" ht="15.75" customHeight="1" x14ac:dyDescent="0.2">
      <c r="B187" s="2"/>
      <c r="C187" s="2"/>
      <c r="D187" s="2"/>
      <c r="E187" s="36"/>
      <c r="F187" s="3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</row>
    <row r="188" spans="2:46" ht="15.75" customHeight="1" x14ac:dyDescent="0.2">
      <c r="B188" s="2"/>
      <c r="C188" s="2"/>
      <c r="D188" s="2"/>
      <c r="E188" s="36"/>
      <c r="F188" s="3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</row>
    <row r="189" spans="2:46" ht="15.75" customHeight="1" x14ac:dyDescent="0.2">
      <c r="B189" s="2"/>
      <c r="C189" s="2"/>
      <c r="D189" s="2"/>
      <c r="E189" s="36"/>
      <c r="F189" s="3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</row>
    <row r="190" spans="2:46" ht="15.75" customHeight="1" x14ac:dyDescent="0.2">
      <c r="B190" s="2"/>
      <c r="C190" s="2"/>
      <c r="D190" s="2"/>
      <c r="E190" s="36"/>
      <c r="F190" s="3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</row>
    <row r="191" spans="2:46" ht="15.75" customHeight="1" x14ac:dyDescent="0.2">
      <c r="B191" s="2"/>
      <c r="C191" s="2"/>
      <c r="D191" s="2"/>
      <c r="E191" s="36"/>
      <c r="F191" s="3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</row>
    <row r="192" spans="2:46" ht="15.75" customHeight="1" x14ac:dyDescent="0.2">
      <c r="B192" s="2"/>
      <c r="C192" s="2"/>
      <c r="D192" s="2"/>
      <c r="E192" s="36"/>
      <c r="F192" s="3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</row>
    <row r="193" spans="2:46" ht="15.75" customHeight="1" x14ac:dyDescent="0.2">
      <c r="B193" s="2"/>
      <c r="C193" s="2"/>
      <c r="D193" s="2"/>
      <c r="E193" s="36"/>
      <c r="F193" s="3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</row>
    <row r="194" spans="2:46" ht="15.75" customHeight="1" x14ac:dyDescent="0.2">
      <c r="B194" s="2"/>
      <c r="C194" s="2"/>
      <c r="D194" s="2"/>
      <c r="E194" s="36"/>
      <c r="F194" s="3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</row>
    <row r="195" spans="2:46" ht="15.75" customHeight="1" x14ac:dyDescent="0.2">
      <c r="B195" s="2"/>
      <c r="C195" s="2"/>
      <c r="D195" s="2"/>
      <c r="E195" s="36"/>
      <c r="F195" s="3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</row>
    <row r="196" spans="2:46" ht="15.75" customHeight="1" x14ac:dyDescent="0.2">
      <c r="B196" s="2"/>
      <c r="C196" s="2"/>
      <c r="D196" s="2"/>
      <c r="E196" s="36"/>
      <c r="F196" s="3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</row>
    <row r="197" spans="2:46" ht="15.75" customHeight="1" x14ac:dyDescent="0.2">
      <c r="B197" s="2"/>
      <c r="C197" s="2"/>
      <c r="D197" s="2"/>
      <c r="E197" s="36"/>
      <c r="F197" s="3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</row>
    <row r="198" spans="2:46" ht="15.75" customHeight="1" x14ac:dyDescent="0.2">
      <c r="B198" s="2"/>
      <c r="C198" s="2"/>
      <c r="D198" s="2"/>
      <c r="E198" s="36"/>
      <c r="F198" s="3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</row>
    <row r="199" spans="2:46" ht="15.75" customHeight="1" x14ac:dyDescent="0.2">
      <c r="B199" s="2"/>
      <c r="C199" s="2"/>
      <c r="D199" s="2"/>
      <c r="E199" s="36"/>
      <c r="F199" s="3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</row>
    <row r="200" spans="2:46" ht="15.75" customHeight="1" x14ac:dyDescent="0.2">
      <c r="B200" s="2"/>
      <c r="C200" s="2"/>
      <c r="D200" s="2"/>
      <c r="E200" s="36"/>
      <c r="F200" s="3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</row>
    <row r="201" spans="2:46" ht="15.75" customHeight="1" x14ac:dyDescent="0.2">
      <c r="B201" s="2"/>
      <c r="C201" s="2"/>
      <c r="D201" s="2"/>
      <c r="E201" s="36"/>
      <c r="F201" s="3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</row>
    <row r="202" spans="2:46" ht="15.75" customHeight="1" x14ac:dyDescent="0.2">
      <c r="B202" s="2"/>
      <c r="C202" s="2"/>
      <c r="D202" s="2"/>
      <c r="E202" s="36"/>
      <c r="F202" s="3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</row>
    <row r="203" spans="2:46" ht="15.75" customHeight="1" x14ac:dyDescent="0.2">
      <c r="B203" s="2"/>
      <c r="C203" s="2"/>
      <c r="D203" s="2"/>
      <c r="E203" s="36"/>
      <c r="F203" s="3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</row>
    <row r="204" spans="2:46" ht="15.75" customHeight="1" x14ac:dyDescent="0.2">
      <c r="B204" s="2"/>
      <c r="C204" s="2"/>
      <c r="D204" s="2"/>
      <c r="E204" s="36"/>
      <c r="F204" s="3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</row>
    <row r="205" spans="2:46" ht="15.75" customHeight="1" x14ac:dyDescent="0.2">
      <c r="B205" s="2"/>
      <c r="C205" s="2"/>
      <c r="D205" s="2"/>
      <c r="E205" s="36"/>
      <c r="F205" s="3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</row>
    <row r="206" spans="2:46" ht="15.75" customHeight="1" x14ac:dyDescent="0.2">
      <c r="B206" s="2"/>
      <c r="C206" s="2"/>
      <c r="D206" s="2"/>
      <c r="E206" s="36"/>
      <c r="F206" s="3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</row>
    <row r="207" spans="2:46" ht="15.75" customHeight="1" x14ac:dyDescent="0.2">
      <c r="B207" s="2"/>
      <c r="C207" s="2"/>
      <c r="D207" s="2"/>
      <c r="E207" s="36"/>
      <c r="F207" s="3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</row>
    <row r="208" spans="2:46" ht="15.75" customHeight="1" x14ac:dyDescent="0.2">
      <c r="B208" s="2"/>
      <c r="C208" s="2"/>
      <c r="D208" s="2"/>
      <c r="E208" s="36"/>
      <c r="F208" s="3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</row>
    <row r="209" spans="2:46" ht="15.75" customHeight="1" x14ac:dyDescent="0.2">
      <c r="B209" s="2"/>
      <c r="C209" s="2"/>
      <c r="D209" s="2"/>
      <c r="E209" s="36"/>
      <c r="F209" s="3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</row>
    <row r="210" spans="2:46" ht="15.75" customHeight="1" x14ac:dyDescent="0.2">
      <c r="B210" s="2"/>
      <c r="C210" s="2"/>
      <c r="D210" s="2"/>
      <c r="E210" s="36"/>
      <c r="F210" s="3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</row>
    <row r="211" spans="2:46" ht="15.75" customHeight="1" x14ac:dyDescent="0.2">
      <c r="B211" s="2"/>
      <c r="C211" s="2"/>
      <c r="D211" s="2"/>
      <c r="E211" s="36"/>
      <c r="F211" s="3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</row>
    <row r="212" spans="2:46" ht="15.75" customHeight="1" x14ac:dyDescent="0.2">
      <c r="B212" s="2"/>
      <c r="C212" s="2"/>
      <c r="D212" s="2"/>
      <c r="E212" s="36"/>
      <c r="F212" s="3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</row>
    <row r="213" spans="2:46" ht="15.75" customHeight="1" x14ac:dyDescent="0.2">
      <c r="B213" s="2"/>
      <c r="C213" s="2"/>
      <c r="D213" s="2"/>
      <c r="E213" s="36"/>
      <c r="F213" s="3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</row>
    <row r="214" spans="2:46" ht="15.75" customHeight="1" x14ac:dyDescent="0.2">
      <c r="B214" s="2"/>
      <c r="C214" s="2"/>
      <c r="D214" s="2"/>
      <c r="E214" s="36"/>
      <c r="F214" s="3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</row>
    <row r="215" spans="2:46" ht="15.75" customHeight="1" x14ac:dyDescent="0.2">
      <c r="B215" s="2"/>
      <c r="C215" s="2"/>
      <c r="D215" s="2"/>
      <c r="E215" s="36"/>
      <c r="F215" s="3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</row>
    <row r="216" spans="2:46" ht="15.75" customHeight="1" x14ac:dyDescent="0.2">
      <c r="B216" s="2"/>
      <c r="C216" s="2"/>
      <c r="D216" s="2"/>
      <c r="E216" s="36"/>
      <c r="F216" s="3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</row>
    <row r="217" spans="2:46" ht="15.75" customHeight="1" x14ac:dyDescent="0.2">
      <c r="B217" s="2"/>
      <c r="C217" s="2"/>
      <c r="D217" s="2"/>
      <c r="E217" s="36"/>
      <c r="F217" s="3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</row>
    <row r="218" spans="2:46" ht="15.75" customHeight="1" x14ac:dyDescent="0.2">
      <c r="B218" s="2"/>
      <c r="C218" s="2"/>
      <c r="D218" s="2"/>
      <c r="E218" s="36"/>
      <c r="F218" s="3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</row>
    <row r="219" spans="2:46" ht="15.75" customHeight="1" x14ac:dyDescent="0.2">
      <c r="B219" s="2"/>
      <c r="C219" s="2"/>
      <c r="D219" s="2"/>
      <c r="E219" s="36"/>
      <c r="F219" s="3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</row>
    <row r="220" spans="2:46" ht="15.75" customHeight="1" x14ac:dyDescent="0.2">
      <c r="B220" s="2"/>
      <c r="C220" s="2"/>
      <c r="D220" s="2"/>
      <c r="E220" s="36"/>
      <c r="F220" s="3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</row>
    <row r="221" spans="2:46" ht="15.75" customHeight="1" x14ac:dyDescent="0.2">
      <c r="B221" s="2"/>
      <c r="C221" s="2"/>
      <c r="D221" s="2"/>
      <c r="E221" s="36"/>
      <c r="F221" s="3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</row>
    <row r="222" spans="2:46" ht="15.75" customHeight="1" x14ac:dyDescent="0.2">
      <c r="B222" s="2"/>
      <c r="C222" s="2"/>
      <c r="D222" s="2"/>
      <c r="E222" s="36"/>
      <c r="F222" s="3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</row>
    <row r="223" spans="2:46" ht="15.75" customHeight="1" x14ac:dyDescent="0.2">
      <c r="B223" s="2"/>
      <c r="C223" s="2"/>
      <c r="D223" s="2"/>
      <c r="E223" s="36"/>
      <c r="F223" s="3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</row>
    <row r="224" spans="2:46" ht="15.75" customHeight="1" x14ac:dyDescent="0.2">
      <c r="B224" s="2"/>
      <c r="C224" s="2"/>
      <c r="D224" s="2"/>
      <c r="E224" s="36"/>
      <c r="F224" s="3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</row>
    <row r="225" spans="2:46" ht="15.75" customHeight="1" x14ac:dyDescent="0.2">
      <c r="B225" s="2"/>
      <c r="C225" s="2"/>
      <c r="D225" s="2"/>
      <c r="E225" s="36"/>
      <c r="F225" s="3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</row>
    <row r="226" spans="2:46" ht="15.75" customHeight="1" x14ac:dyDescent="0.2">
      <c r="B226" s="2"/>
      <c r="C226" s="2"/>
      <c r="D226" s="2"/>
      <c r="E226" s="36"/>
      <c r="F226" s="3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</row>
    <row r="227" spans="2:46" ht="15.75" customHeight="1" x14ac:dyDescent="0.2">
      <c r="B227" s="2"/>
      <c r="C227" s="2"/>
      <c r="D227" s="2"/>
      <c r="E227" s="36"/>
      <c r="F227" s="3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</row>
    <row r="228" spans="2:46" ht="15.75" customHeight="1" x14ac:dyDescent="0.2">
      <c r="B228" s="2"/>
      <c r="C228" s="2"/>
      <c r="D228" s="2"/>
      <c r="E228" s="36"/>
      <c r="F228" s="3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</row>
    <row r="229" spans="2:46" ht="15.75" customHeight="1" x14ac:dyDescent="0.2">
      <c r="B229" s="2"/>
      <c r="C229" s="2"/>
      <c r="D229" s="2"/>
      <c r="E229" s="36"/>
      <c r="F229" s="3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</row>
    <row r="230" spans="2:46" ht="15.75" customHeight="1" x14ac:dyDescent="0.2">
      <c r="B230" s="2"/>
      <c r="C230" s="2"/>
      <c r="D230" s="2"/>
      <c r="E230" s="36"/>
      <c r="F230" s="3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</row>
    <row r="231" spans="2:46" ht="15.75" customHeight="1" x14ac:dyDescent="0.2">
      <c r="B231" s="2"/>
      <c r="C231" s="2"/>
      <c r="D231" s="2"/>
      <c r="E231" s="36"/>
      <c r="F231" s="3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</row>
    <row r="232" spans="2:46" ht="15.75" customHeight="1" x14ac:dyDescent="0.2">
      <c r="B232" s="2"/>
      <c r="C232" s="2"/>
      <c r="D232" s="2"/>
      <c r="E232" s="36"/>
      <c r="F232" s="3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</row>
    <row r="233" spans="2:46" ht="15.75" customHeight="1" x14ac:dyDescent="0.2">
      <c r="B233" s="2"/>
      <c r="C233" s="2"/>
      <c r="D233" s="2"/>
      <c r="E233" s="36"/>
      <c r="F233" s="3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</row>
    <row r="234" spans="2:46" ht="15.75" customHeight="1" x14ac:dyDescent="0.2">
      <c r="B234" s="2"/>
      <c r="C234" s="2"/>
      <c r="D234" s="2"/>
      <c r="E234" s="36"/>
      <c r="F234" s="3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</row>
    <row r="235" spans="2:46" ht="15.75" customHeight="1" x14ac:dyDescent="0.2">
      <c r="B235" s="2"/>
      <c r="C235" s="2"/>
      <c r="D235" s="2"/>
      <c r="E235" s="36"/>
      <c r="F235" s="3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</row>
    <row r="236" spans="2:46" ht="15.75" customHeight="1" x14ac:dyDescent="0.2">
      <c r="B236" s="2"/>
      <c r="C236" s="2"/>
      <c r="D236" s="2"/>
      <c r="E236" s="36"/>
      <c r="F236" s="3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</row>
    <row r="237" spans="2:46" ht="15.75" customHeight="1" x14ac:dyDescent="0.2">
      <c r="B237" s="2"/>
      <c r="C237" s="2"/>
      <c r="D237" s="2"/>
      <c r="E237" s="36"/>
      <c r="F237" s="3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</row>
    <row r="238" spans="2:46" ht="15.75" customHeight="1" x14ac:dyDescent="0.2">
      <c r="B238" s="2"/>
      <c r="C238" s="2"/>
      <c r="D238" s="2"/>
      <c r="E238" s="36"/>
      <c r="F238" s="3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</row>
    <row r="239" spans="2:46" ht="15.75" customHeight="1" x14ac:dyDescent="0.2">
      <c r="B239" s="2"/>
      <c r="C239" s="2"/>
      <c r="D239" s="2"/>
      <c r="E239" s="36"/>
      <c r="F239" s="3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</row>
    <row r="240" spans="2:46" ht="15.75" customHeight="1" x14ac:dyDescent="0.2">
      <c r="B240" s="2"/>
      <c r="C240" s="2"/>
      <c r="D240" s="2"/>
      <c r="E240" s="36"/>
      <c r="F240" s="3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</row>
    <row r="241" spans="2:46" ht="15.75" customHeight="1" x14ac:dyDescent="0.2">
      <c r="B241" s="2"/>
      <c r="C241" s="2"/>
      <c r="D241" s="2"/>
      <c r="E241" s="36"/>
      <c r="F241" s="3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</row>
    <row r="242" spans="2:46" ht="15.75" customHeight="1" x14ac:dyDescent="0.2">
      <c r="B242" s="2"/>
      <c r="C242" s="2"/>
      <c r="D242" s="2"/>
      <c r="E242" s="36"/>
      <c r="F242" s="3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</row>
    <row r="243" spans="2:46" ht="15.75" customHeight="1" x14ac:dyDescent="0.2">
      <c r="B243" s="2"/>
      <c r="C243" s="2"/>
      <c r="D243" s="2"/>
      <c r="E243" s="36"/>
      <c r="F243" s="3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</row>
    <row r="244" spans="2:46" ht="15.75" customHeight="1" x14ac:dyDescent="0.2">
      <c r="B244" s="2"/>
      <c r="C244" s="2"/>
      <c r="D244" s="2"/>
      <c r="E244" s="36"/>
      <c r="F244" s="3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</row>
    <row r="245" spans="2:46" ht="15.75" customHeight="1" x14ac:dyDescent="0.2">
      <c r="B245" s="2"/>
      <c r="C245" s="2"/>
      <c r="D245" s="2"/>
      <c r="E245" s="36"/>
      <c r="F245" s="3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</row>
    <row r="246" spans="2:46" ht="15.75" customHeight="1" x14ac:dyDescent="0.2">
      <c r="B246" s="2"/>
      <c r="C246" s="2"/>
      <c r="D246" s="2"/>
      <c r="E246" s="36"/>
      <c r="F246" s="3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</row>
    <row r="247" spans="2:46" ht="15.75" customHeight="1" x14ac:dyDescent="0.2">
      <c r="B247" s="2"/>
      <c r="C247" s="2"/>
      <c r="D247" s="2"/>
      <c r="E247" s="36"/>
      <c r="F247" s="3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</row>
    <row r="248" spans="2:46" ht="15.75" customHeight="1" x14ac:dyDescent="0.2">
      <c r="B248" s="2"/>
      <c r="C248" s="2"/>
      <c r="D248" s="2"/>
      <c r="E248" s="36"/>
      <c r="F248" s="3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</row>
    <row r="249" spans="2:46" ht="15.75" customHeight="1" x14ac:dyDescent="0.2">
      <c r="B249" s="2"/>
      <c r="C249" s="2"/>
      <c r="D249" s="2"/>
      <c r="E249" s="36"/>
      <c r="F249" s="3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</row>
    <row r="250" spans="2:46" ht="15.75" customHeight="1" x14ac:dyDescent="0.2">
      <c r="B250" s="2"/>
      <c r="C250" s="2"/>
      <c r="D250" s="2"/>
      <c r="E250" s="36"/>
      <c r="F250" s="3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</row>
    <row r="251" spans="2:46" ht="15.75" customHeight="1" x14ac:dyDescent="0.2">
      <c r="B251" s="2"/>
      <c r="C251" s="2"/>
      <c r="D251" s="2"/>
      <c r="E251" s="36"/>
      <c r="F251" s="3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</row>
    <row r="252" spans="2:46" ht="15.75" customHeight="1" x14ac:dyDescent="0.2">
      <c r="B252" s="2"/>
      <c r="C252" s="2"/>
      <c r="D252" s="2"/>
      <c r="E252" s="36"/>
      <c r="F252" s="3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</row>
    <row r="253" spans="2:46" ht="15.75" customHeight="1" x14ac:dyDescent="0.2">
      <c r="B253" s="2"/>
      <c r="C253" s="2"/>
      <c r="D253" s="2"/>
      <c r="E253" s="36"/>
      <c r="F253" s="3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</row>
    <row r="254" spans="2:46" ht="15.75" customHeight="1" x14ac:dyDescent="0.2">
      <c r="B254" s="2"/>
      <c r="C254" s="2"/>
      <c r="D254" s="2"/>
      <c r="E254" s="36"/>
      <c r="F254" s="3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</row>
    <row r="255" spans="2:46" ht="15.75" customHeight="1" x14ac:dyDescent="0.2">
      <c r="B255" s="2"/>
      <c r="C255" s="2"/>
      <c r="D255" s="2"/>
      <c r="E255" s="36"/>
      <c r="F255" s="3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</row>
    <row r="256" spans="2:46" ht="15.75" customHeight="1" x14ac:dyDescent="0.2">
      <c r="B256" s="2"/>
      <c r="C256" s="2"/>
      <c r="D256" s="2"/>
      <c r="E256" s="36"/>
      <c r="F256" s="3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</row>
    <row r="257" spans="2:46" ht="15.75" customHeight="1" x14ac:dyDescent="0.2">
      <c r="B257" s="2"/>
      <c r="C257" s="2"/>
      <c r="D257" s="2"/>
      <c r="E257" s="36"/>
      <c r="F257" s="3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</row>
    <row r="258" spans="2:46" ht="15.75" customHeight="1" x14ac:dyDescent="0.2">
      <c r="B258" s="2"/>
      <c r="C258" s="2"/>
      <c r="D258" s="2"/>
      <c r="E258" s="36"/>
      <c r="F258" s="3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</row>
    <row r="259" spans="2:46" ht="15.75" customHeight="1" x14ac:dyDescent="0.2">
      <c r="B259" s="2"/>
      <c r="C259" s="2"/>
      <c r="D259" s="2"/>
      <c r="E259" s="36"/>
      <c r="F259" s="3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</row>
    <row r="260" spans="2:46" ht="15.75" customHeight="1" x14ac:dyDescent="0.2">
      <c r="B260" s="2"/>
      <c r="C260" s="2"/>
      <c r="D260" s="2"/>
      <c r="E260" s="36"/>
      <c r="F260" s="3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</row>
    <row r="261" spans="2:46" ht="15.75" customHeight="1" x14ac:dyDescent="0.2">
      <c r="B261" s="2"/>
      <c r="C261" s="2"/>
      <c r="D261" s="2"/>
      <c r="E261" s="36"/>
      <c r="F261" s="3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</row>
    <row r="262" spans="2:46" ht="15.75" customHeight="1" x14ac:dyDescent="0.2">
      <c r="B262" s="2"/>
      <c r="C262" s="2"/>
      <c r="D262" s="2"/>
      <c r="E262" s="36"/>
      <c r="F262" s="3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</row>
    <row r="263" spans="2:46" ht="15.75" customHeight="1" x14ac:dyDescent="0.2">
      <c r="B263" s="2"/>
      <c r="C263" s="2"/>
      <c r="D263" s="2"/>
      <c r="E263" s="36"/>
      <c r="F263" s="3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</row>
    <row r="264" spans="2:46" ht="15.75" customHeight="1" x14ac:dyDescent="0.2">
      <c r="B264" s="2"/>
      <c r="C264" s="2"/>
      <c r="D264" s="2"/>
      <c r="E264" s="36"/>
      <c r="F264" s="3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</row>
    <row r="265" spans="2:46" ht="15.75" customHeight="1" x14ac:dyDescent="0.2">
      <c r="B265" s="2"/>
      <c r="C265" s="2"/>
      <c r="D265" s="2"/>
      <c r="E265" s="36"/>
      <c r="F265" s="3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</row>
    <row r="266" spans="2:46" ht="15.75" customHeight="1" x14ac:dyDescent="0.2">
      <c r="B266" s="2"/>
      <c r="C266" s="2"/>
      <c r="D266" s="2"/>
      <c r="E266" s="36"/>
      <c r="F266" s="3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</row>
    <row r="267" spans="2:46" ht="15.75" customHeight="1" x14ac:dyDescent="0.2">
      <c r="B267" s="2"/>
      <c r="C267" s="2"/>
      <c r="D267" s="2"/>
      <c r="E267" s="36"/>
      <c r="F267" s="3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</row>
    <row r="268" spans="2:46" ht="15.75" customHeight="1" x14ac:dyDescent="0.2">
      <c r="B268" s="2"/>
      <c r="C268" s="2"/>
      <c r="D268" s="2"/>
      <c r="E268" s="36"/>
      <c r="F268" s="3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</row>
    <row r="269" spans="2:46" ht="15.75" customHeight="1" x14ac:dyDescent="0.2">
      <c r="B269" s="2"/>
      <c r="C269" s="2"/>
      <c r="D269" s="2"/>
      <c r="E269" s="36"/>
      <c r="F269" s="3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</row>
    <row r="270" spans="2:46" ht="15.75" customHeight="1" x14ac:dyDescent="0.2">
      <c r="B270" s="2"/>
      <c r="C270" s="2"/>
      <c r="D270" s="2"/>
      <c r="E270" s="36"/>
      <c r="F270" s="3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</row>
    <row r="271" spans="2:46" ht="15.75" customHeight="1" x14ac:dyDescent="0.2">
      <c r="B271" s="2"/>
      <c r="C271" s="2"/>
      <c r="D271" s="2"/>
      <c r="E271" s="36"/>
      <c r="F271" s="3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</row>
    <row r="272" spans="2:46" ht="15.75" customHeight="1" x14ac:dyDescent="0.2">
      <c r="B272" s="2"/>
      <c r="C272" s="2"/>
      <c r="D272" s="2"/>
      <c r="E272" s="36"/>
      <c r="F272" s="3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</row>
    <row r="273" spans="2:46" ht="15.75" customHeight="1" x14ac:dyDescent="0.2">
      <c r="B273" s="2"/>
      <c r="C273" s="2"/>
      <c r="D273" s="2"/>
      <c r="E273" s="36"/>
      <c r="F273" s="3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</row>
    <row r="274" spans="2:46" ht="15.75" customHeight="1" x14ac:dyDescent="0.2">
      <c r="B274" s="2"/>
      <c r="C274" s="2"/>
      <c r="D274" s="2"/>
      <c r="E274" s="36"/>
      <c r="F274" s="3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</row>
    <row r="275" spans="2:46" ht="15.75" customHeight="1" x14ac:dyDescent="0.2">
      <c r="B275" s="2"/>
      <c r="C275" s="2"/>
      <c r="D275" s="2"/>
      <c r="E275" s="36"/>
      <c r="F275" s="3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</row>
    <row r="276" spans="2:46" ht="15.75" customHeight="1" x14ac:dyDescent="0.2">
      <c r="B276" s="2"/>
      <c r="C276" s="2"/>
      <c r="D276" s="2"/>
      <c r="E276" s="36"/>
      <c r="F276" s="3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</row>
    <row r="277" spans="2:46" ht="15.75" customHeight="1" x14ac:dyDescent="0.2">
      <c r="B277" s="2"/>
      <c r="C277" s="2"/>
      <c r="D277" s="2"/>
      <c r="E277" s="36"/>
      <c r="F277" s="3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</row>
    <row r="278" spans="2:46" ht="15.75" customHeight="1" x14ac:dyDescent="0.2">
      <c r="B278" s="2"/>
      <c r="C278" s="2"/>
      <c r="D278" s="2"/>
      <c r="E278" s="36"/>
      <c r="F278" s="3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</row>
    <row r="279" spans="2:46" ht="15.75" customHeight="1" x14ac:dyDescent="0.2">
      <c r="B279" s="2"/>
      <c r="C279" s="2"/>
      <c r="D279" s="2"/>
      <c r="E279" s="36"/>
      <c r="F279" s="3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</row>
    <row r="280" spans="2:46" ht="15.75" customHeight="1" x14ac:dyDescent="0.2">
      <c r="B280" s="2"/>
      <c r="C280" s="2"/>
      <c r="D280" s="2"/>
      <c r="E280" s="36"/>
      <c r="F280" s="3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</row>
    <row r="281" spans="2:46" ht="15.75" customHeight="1" x14ac:dyDescent="0.2">
      <c r="B281" s="2"/>
      <c r="C281" s="2"/>
      <c r="D281" s="2"/>
      <c r="E281" s="36"/>
      <c r="F281" s="3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</row>
    <row r="282" spans="2:46" ht="15.75" customHeight="1" x14ac:dyDescent="0.2">
      <c r="B282" s="2"/>
      <c r="C282" s="2"/>
      <c r="D282" s="2"/>
      <c r="E282" s="36"/>
      <c r="F282" s="3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</row>
    <row r="283" spans="2:46" ht="15.75" customHeight="1" x14ac:dyDescent="0.2">
      <c r="B283" s="2"/>
      <c r="C283" s="2"/>
      <c r="D283" s="2"/>
      <c r="E283" s="36"/>
      <c r="F283" s="3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</row>
    <row r="284" spans="2:46" ht="15.75" customHeight="1" x14ac:dyDescent="0.2">
      <c r="B284" s="2"/>
      <c r="C284" s="2"/>
      <c r="D284" s="2"/>
      <c r="E284" s="36"/>
      <c r="F284" s="3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</row>
    <row r="285" spans="2:46" ht="15.75" customHeight="1" x14ac:dyDescent="0.2">
      <c r="B285" s="2"/>
      <c r="C285" s="2"/>
      <c r="D285" s="2"/>
      <c r="E285" s="36"/>
      <c r="F285" s="3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</row>
    <row r="286" spans="2:46" ht="15.75" customHeight="1" x14ac:dyDescent="0.2">
      <c r="B286" s="2"/>
      <c r="C286" s="2"/>
      <c r="D286" s="2"/>
      <c r="E286" s="36"/>
      <c r="F286" s="3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</row>
    <row r="287" spans="2:46" ht="15.75" customHeight="1" x14ac:dyDescent="0.2">
      <c r="B287" s="2"/>
      <c r="C287" s="2"/>
      <c r="D287" s="2"/>
      <c r="E287" s="36"/>
      <c r="F287" s="3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</row>
    <row r="288" spans="2:46" ht="15.75" customHeight="1" x14ac:dyDescent="0.2">
      <c r="B288" s="2"/>
      <c r="C288" s="2"/>
      <c r="D288" s="2"/>
      <c r="E288" s="36"/>
      <c r="F288" s="3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</row>
    <row r="289" spans="2:46" ht="15.75" customHeight="1" x14ac:dyDescent="0.2">
      <c r="B289" s="2"/>
      <c r="C289" s="2"/>
      <c r="D289" s="2"/>
      <c r="E289" s="36"/>
      <c r="F289" s="3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</row>
    <row r="290" spans="2:46" ht="15.75" customHeight="1" x14ac:dyDescent="0.2">
      <c r="B290" s="2"/>
      <c r="C290" s="2"/>
      <c r="D290" s="2"/>
      <c r="E290" s="36"/>
      <c r="F290" s="3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</row>
    <row r="291" spans="2:46" ht="15.75" customHeight="1" x14ac:dyDescent="0.2">
      <c r="B291" s="2"/>
      <c r="C291" s="2"/>
      <c r="D291" s="2"/>
      <c r="E291" s="36"/>
      <c r="F291" s="3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</row>
    <row r="292" spans="2:46" ht="15.75" customHeight="1" x14ac:dyDescent="0.2">
      <c r="B292" s="2"/>
      <c r="C292" s="2"/>
      <c r="D292" s="2"/>
      <c r="E292" s="36"/>
      <c r="F292" s="3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</row>
    <row r="293" spans="2:46" ht="15.75" customHeight="1" x14ac:dyDescent="0.2">
      <c r="B293" s="2"/>
      <c r="C293" s="2"/>
      <c r="D293" s="2"/>
      <c r="E293" s="36"/>
      <c r="F293" s="3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</row>
    <row r="294" spans="2:46" ht="15.75" customHeight="1" x14ac:dyDescent="0.2">
      <c r="B294" s="2"/>
      <c r="C294" s="2"/>
      <c r="D294" s="2"/>
      <c r="E294" s="36"/>
      <c r="F294" s="3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</row>
    <row r="295" spans="2:46" ht="15.75" customHeight="1" x14ac:dyDescent="0.2">
      <c r="B295" s="2"/>
      <c r="C295" s="2"/>
      <c r="D295" s="2"/>
      <c r="E295" s="36"/>
      <c r="F295" s="3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</row>
    <row r="296" spans="2:46" ht="15.75" customHeight="1" x14ac:dyDescent="0.2">
      <c r="B296" s="2"/>
      <c r="C296" s="2"/>
      <c r="D296" s="2"/>
      <c r="E296" s="36"/>
      <c r="F296" s="3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</row>
    <row r="297" spans="2:46" ht="15.75" customHeight="1" x14ac:dyDescent="0.2">
      <c r="B297" s="2"/>
      <c r="C297" s="2"/>
      <c r="D297" s="2"/>
      <c r="E297" s="36"/>
      <c r="F297" s="3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</row>
    <row r="298" spans="2:46" ht="15.75" customHeight="1" x14ac:dyDescent="0.2">
      <c r="B298" s="2"/>
      <c r="C298" s="2"/>
      <c r="D298" s="2"/>
      <c r="E298" s="36"/>
      <c r="F298" s="3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</row>
    <row r="299" spans="2:46" ht="15.75" customHeight="1" x14ac:dyDescent="0.2">
      <c r="B299" s="2"/>
      <c r="C299" s="2"/>
      <c r="D299" s="2"/>
      <c r="E299" s="36"/>
      <c r="F299" s="3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</row>
    <row r="300" spans="2:46" ht="15.75" customHeight="1" x14ac:dyDescent="0.2">
      <c r="B300" s="2"/>
      <c r="C300" s="2"/>
      <c r="D300" s="2"/>
      <c r="E300" s="36"/>
      <c r="F300" s="3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</row>
    <row r="301" spans="2:46" ht="15.75" customHeight="1" x14ac:dyDescent="0.2">
      <c r="B301" s="2"/>
      <c r="C301" s="2"/>
      <c r="D301" s="2"/>
      <c r="E301" s="36"/>
      <c r="F301" s="3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</row>
    <row r="302" spans="2:46" ht="15.75" customHeight="1" x14ac:dyDescent="0.2">
      <c r="B302" s="2"/>
      <c r="C302" s="2"/>
      <c r="D302" s="2"/>
      <c r="E302" s="36"/>
      <c r="F302" s="3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</row>
    <row r="303" spans="2:46" ht="15.75" customHeight="1" x14ac:dyDescent="0.2">
      <c r="B303" s="2"/>
      <c r="C303" s="2"/>
      <c r="D303" s="2"/>
      <c r="E303" s="36"/>
      <c r="F303" s="3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</row>
    <row r="304" spans="2:46" ht="15.75" customHeight="1" x14ac:dyDescent="0.2">
      <c r="B304" s="2"/>
      <c r="C304" s="2"/>
      <c r="D304" s="2"/>
      <c r="E304" s="36"/>
      <c r="F304" s="3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</row>
    <row r="305" spans="2:46" ht="15.75" customHeight="1" x14ac:dyDescent="0.2">
      <c r="B305" s="2"/>
      <c r="C305" s="2"/>
      <c r="D305" s="2"/>
      <c r="E305" s="36"/>
      <c r="F305" s="3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</row>
    <row r="306" spans="2:46" ht="15.75" customHeight="1" x14ac:dyDescent="0.2">
      <c r="B306" s="2"/>
      <c r="C306" s="2"/>
      <c r="D306" s="2"/>
      <c r="E306" s="36"/>
      <c r="F306" s="3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</row>
    <row r="307" spans="2:46" ht="15.75" customHeight="1" x14ac:dyDescent="0.2">
      <c r="B307" s="2"/>
      <c r="C307" s="2"/>
      <c r="D307" s="2"/>
      <c r="E307" s="36"/>
      <c r="F307" s="3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</row>
    <row r="308" spans="2:46" ht="15.75" customHeight="1" x14ac:dyDescent="0.2">
      <c r="B308" s="2"/>
      <c r="C308" s="2"/>
      <c r="D308" s="2"/>
      <c r="E308" s="36"/>
      <c r="F308" s="3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</row>
    <row r="309" spans="2:46" ht="15.75" customHeight="1" x14ac:dyDescent="0.2">
      <c r="B309" s="2"/>
      <c r="C309" s="2"/>
      <c r="D309" s="2"/>
      <c r="E309" s="36"/>
      <c r="F309" s="3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</row>
    <row r="310" spans="2:46" ht="15.75" customHeight="1" x14ac:dyDescent="0.2">
      <c r="B310" s="2"/>
      <c r="C310" s="2"/>
      <c r="D310" s="2"/>
      <c r="E310" s="36"/>
      <c r="F310" s="3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</row>
    <row r="311" spans="2:46" ht="15.75" customHeight="1" x14ac:dyDescent="0.2">
      <c r="B311" s="2"/>
      <c r="C311" s="2"/>
      <c r="D311" s="2"/>
      <c r="E311" s="36"/>
      <c r="F311" s="3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</row>
    <row r="312" spans="2:46" ht="15.75" customHeight="1" x14ac:dyDescent="0.2">
      <c r="B312" s="2"/>
      <c r="C312" s="2"/>
      <c r="D312" s="2"/>
      <c r="E312" s="36"/>
      <c r="F312" s="3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</row>
    <row r="313" spans="2:46" ht="15.75" customHeight="1" x14ac:dyDescent="0.2">
      <c r="B313" s="2"/>
      <c r="C313" s="2"/>
      <c r="D313" s="2"/>
      <c r="E313" s="36"/>
      <c r="F313" s="3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</row>
    <row r="314" spans="2:46" ht="15.75" customHeight="1" x14ac:dyDescent="0.2">
      <c r="B314" s="2"/>
      <c r="C314" s="2"/>
      <c r="D314" s="2"/>
      <c r="E314" s="36"/>
      <c r="F314" s="3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</row>
    <row r="315" spans="2:46" ht="15.75" customHeight="1" x14ac:dyDescent="0.2">
      <c r="B315" s="2"/>
      <c r="C315" s="2"/>
      <c r="D315" s="2"/>
      <c r="E315" s="36"/>
      <c r="F315" s="3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</row>
    <row r="316" spans="2:46" ht="15.75" customHeight="1" x14ac:dyDescent="0.2">
      <c r="B316" s="2"/>
      <c r="C316" s="2"/>
      <c r="D316" s="2"/>
      <c r="E316" s="36"/>
      <c r="F316" s="3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</row>
    <row r="317" spans="2:46" ht="15.75" customHeight="1" x14ac:dyDescent="0.2">
      <c r="B317" s="2"/>
      <c r="C317" s="2"/>
      <c r="D317" s="2"/>
      <c r="E317" s="36"/>
      <c r="F317" s="3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</row>
    <row r="318" spans="2:46" ht="15.75" customHeight="1" x14ac:dyDescent="0.2">
      <c r="B318" s="2"/>
      <c r="C318" s="2"/>
      <c r="D318" s="2"/>
      <c r="E318" s="36"/>
      <c r="F318" s="3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</row>
    <row r="319" spans="2:46" ht="15.75" customHeight="1" x14ac:dyDescent="0.2">
      <c r="B319" s="2"/>
      <c r="C319" s="2"/>
      <c r="D319" s="2"/>
      <c r="E319" s="36"/>
      <c r="F319" s="3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</row>
    <row r="320" spans="2:46" ht="15.75" customHeight="1" x14ac:dyDescent="0.2">
      <c r="B320" s="2"/>
      <c r="C320" s="2"/>
      <c r="D320" s="2"/>
      <c r="E320" s="36"/>
      <c r="F320" s="3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</row>
    <row r="321" spans="2:46" ht="15.75" customHeight="1" x14ac:dyDescent="0.2">
      <c r="B321" s="2"/>
      <c r="C321" s="2"/>
      <c r="D321" s="2"/>
      <c r="E321" s="36"/>
      <c r="F321" s="3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</row>
    <row r="322" spans="2:46" ht="15.75" customHeight="1" x14ac:dyDescent="0.2">
      <c r="B322" s="2"/>
      <c r="C322" s="2"/>
      <c r="D322" s="2"/>
      <c r="E322" s="36"/>
      <c r="F322" s="3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</row>
    <row r="323" spans="2:46" ht="15.75" customHeight="1" x14ac:dyDescent="0.2">
      <c r="B323" s="2"/>
      <c r="C323" s="2"/>
      <c r="D323" s="2"/>
      <c r="E323" s="36"/>
      <c r="F323" s="3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</row>
    <row r="324" spans="2:46" ht="15.75" customHeight="1" x14ac:dyDescent="0.2">
      <c r="B324" s="2"/>
      <c r="C324" s="2"/>
      <c r="D324" s="2"/>
      <c r="E324" s="36"/>
      <c r="F324" s="3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</row>
    <row r="325" spans="2:46" ht="15.75" customHeight="1" x14ac:dyDescent="0.2">
      <c r="B325" s="2"/>
      <c r="C325" s="2"/>
      <c r="D325" s="2"/>
      <c r="E325" s="36"/>
      <c r="F325" s="3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</row>
    <row r="326" spans="2:46" ht="15.75" customHeight="1" x14ac:dyDescent="0.2">
      <c r="B326" s="2"/>
      <c r="C326" s="2"/>
      <c r="D326" s="2"/>
      <c r="E326" s="36"/>
      <c r="F326" s="3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</row>
    <row r="327" spans="2:46" ht="15.75" customHeight="1" x14ac:dyDescent="0.2">
      <c r="B327" s="2"/>
      <c r="C327" s="2"/>
      <c r="D327" s="2"/>
      <c r="E327" s="36"/>
      <c r="F327" s="3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</row>
    <row r="328" spans="2:46" ht="15.75" customHeight="1" x14ac:dyDescent="0.2">
      <c r="B328" s="2"/>
      <c r="C328" s="2"/>
      <c r="D328" s="2"/>
      <c r="E328" s="36"/>
      <c r="F328" s="3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</row>
    <row r="329" spans="2:46" ht="15.75" customHeight="1" x14ac:dyDescent="0.2">
      <c r="B329" s="2"/>
      <c r="C329" s="2"/>
      <c r="D329" s="2"/>
      <c r="E329" s="36"/>
      <c r="F329" s="3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</row>
    <row r="330" spans="2:46" ht="15.75" customHeight="1" x14ac:dyDescent="0.2">
      <c r="B330" s="2"/>
      <c r="C330" s="2"/>
      <c r="D330" s="2"/>
      <c r="E330" s="36"/>
      <c r="F330" s="3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</row>
    <row r="331" spans="2:46" ht="15.75" customHeight="1" x14ac:dyDescent="0.2">
      <c r="B331" s="2"/>
      <c r="C331" s="2"/>
      <c r="D331" s="2"/>
      <c r="E331" s="36"/>
      <c r="F331" s="3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</row>
    <row r="332" spans="2:46" ht="15.75" customHeight="1" x14ac:dyDescent="0.2">
      <c r="B332" s="2"/>
      <c r="C332" s="2"/>
      <c r="D332" s="2"/>
      <c r="E332" s="36"/>
      <c r="F332" s="3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</row>
    <row r="333" spans="2:46" ht="15.75" customHeight="1" x14ac:dyDescent="0.2">
      <c r="B333" s="2"/>
      <c r="C333" s="2"/>
      <c r="D333" s="2"/>
      <c r="E333" s="36"/>
      <c r="F333" s="3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</row>
    <row r="334" spans="2:46" ht="15.75" customHeight="1" x14ac:dyDescent="0.2">
      <c r="B334" s="2"/>
      <c r="C334" s="2"/>
      <c r="D334" s="2"/>
      <c r="E334" s="36"/>
      <c r="F334" s="3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</row>
    <row r="335" spans="2:46" ht="15.75" customHeight="1" x14ac:dyDescent="0.2">
      <c r="B335" s="2"/>
      <c r="C335" s="2"/>
      <c r="D335" s="2"/>
      <c r="E335" s="36"/>
      <c r="F335" s="3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</row>
    <row r="336" spans="2:46" ht="15.75" customHeight="1" x14ac:dyDescent="0.2">
      <c r="B336" s="2"/>
      <c r="C336" s="2"/>
      <c r="D336" s="2"/>
      <c r="E336" s="36"/>
      <c r="F336" s="3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</row>
    <row r="337" spans="2:46" ht="15.75" customHeight="1" x14ac:dyDescent="0.2">
      <c r="B337" s="2"/>
      <c r="C337" s="2"/>
      <c r="D337" s="2"/>
      <c r="E337" s="36"/>
      <c r="F337" s="3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</row>
    <row r="338" spans="2:46" ht="15.75" customHeight="1" x14ac:dyDescent="0.2">
      <c r="B338" s="2"/>
      <c r="C338" s="2"/>
      <c r="D338" s="2"/>
      <c r="E338" s="36"/>
      <c r="F338" s="3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</row>
    <row r="339" spans="2:46" ht="15.75" customHeight="1" x14ac:dyDescent="0.2">
      <c r="B339" s="2"/>
      <c r="C339" s="2"/>
      <c r="D339" s="2"/>
      <c r="E339" s="36"/>
      <c r="F339" s="3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</row>
    <row r="340" spans="2:46" ht="15.75" customHeight="1" x14ac:dyDescent="0.2">
      <c r="B340" s="2"/>
      <c r="C340" s="2"/>
      <c r="D340" s="2"/>
      <c r="E340" s="36"/>
      <c r="F340" s="3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</row>
    <row r="341" spans="2:46" ht="15.75" customHeight="1" x14ac:dyDescent="0.2">
      <c r="B341" s="2"/>
      <c r="C341" s="2"/>
      <c r="D341" s="2"/>
      <c r="E341" s="36"/>
      <c r="F341" s="3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</row>
    <row r="342" spans="2:46" ht="15.75" customHeight="1" x14ac:dyDescent="0.2">
      <c r="B342" s="2"/>
      <c r="C342" s="2"/>
      <c r="D342" s="2"/>
      <c r="E342" s="36"/>
      <c r="F342" s="3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</row>
    <row r="343" spans="2:46" ht="15.75" customHeight="1" x14ac:dyDescent="0.2">
      <c r="B343" s="2"/>
      <c r="C343" s="2"/>
      <c r="D343" s="2"/>
      <c r="E343" s="36"/>
      <c r="F343" s="3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</row>
    <row r="344" spans="2:46" ht="15.75" customHeight="1" x14ac:dyDescent="0.2">
      <c r="B344" s="2"/>
      <c r="C344" s="2"/>
      <c r="D344" s="2"/>
      <c r="E344" s="36"/>
      <c r="F344" s="3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</row>
    <row r="345" spans="2:46" ht="15.75" customHeight="1" x14ac:dyDescent="0.2">
      <c r="B345" s="2"/>
      <c r="C345" s="2"/>
      <c r="D345" s="2"/>
      <c r="E345" s="36"/>
      <c r="F345" s="3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</row>
    <row r="346" spans="2:46" ht="15.75" customHeight="1" x14ac:dyDescent="0.2">
      <c r="B346" s="2"/>
      <c r="C346" s="2"/>
      <c r="D346" s="2"/>
      <c r="E346" s="36"/>
      <c r="F346" s="3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</row>
    <row r="347" spans="2:46" ht="15.75" customHeight="1" x14ac:dyDescent="0.2">
      <c r="B347" s="2"/>
      <c r="C347" s="2"/>
      <c r="D347" s="2"/>
      <c r="E347" s="36"/>
      <c r="F347" s="3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</row>
    <row r="348" spans="2:46" ht="15.75" customHeight="1" x14ac:dyDescent="0.2">
      <c r="B348" s="2"/>
      <c r="C348" s="2"/>
      <c r="D348" s="2"/>
      <c r="E348" s="36"/>
      <c r="F348" s="3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</row>
    <row r="349" spans="2:46" ht="15.75" customHeight="1" x14ac:dyDescent="0.2">
      <c r="B349" s="2"/>
      <c r="C349" s="2"/>
      <c r="D349" s="2"/>
      <c r="E349" s="36"/>
      <c r="F349" s="3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</row>
    <row r="350" spans="2:46" ht="15.75" customHeight="1" x14ac:dyDescent="0.2">
      <c r="B350" s="2"/>
      <c r="C350" s="2"/>
      <c r="D350" s="2"/>
      <c r="E350" s="36"/>
      <c r="F350" s="3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</row>
    <row r="351" spans="2:46" ht="15.75" customHeight="1" x14ac:dyDescent="0.2">
      <c r="B351" s="2"/>
      <c r="C351" s="2"/>
      <c r="D351" s="2"/>
      <c r="E351" s="36"/>
      <c r="F351" s="3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</row>
    <row r="352" spans="2:46" ht="15.75" customHeight="1" x14ac:dyDescent="0.2">
      <c r="B352" s="2"/>
      <c r="C352" s="2"/>
      <c r="D352" s="2"/>
      <c r="E352" s="36"/>
      <c r="F352" s="3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</row>
    <row r="353" spans="2:46" ht="15.75" customHeight="1" x14ac:dyDescent="0.2">
      <c r="B353" s="2"/>
      <c r="C353" s="2"/>
      <c r="D353" s="2"/>
      <c r="E353" s="36"/>
      <c r="F353" s="3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</row>
    <row r="354" spans="2:46" ht="15.75" customHeight="1" x14ac:dyDescent="0.2">
      <c r="B354" s="2"/>
      <c r="C354" s="2"/>
      <c r="D354" s="2"/>
      <c r="E354" s="36"/>
      <c r="F354" s="3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</row>
    <row r="355" spans="2:46" ht="15.75" customHeight="1" x14ac:dyDescent="0.2">
      <c r="B355" s="2"/>
      <c r="C355" s="2"/>
      <c r="D355" s="2"/>
      <c r="E355" s="36"/>
      <c r="F355" s="3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</row>
    <row r="356" spans="2:46" ht="15.75" customHeight="1" x14ac:dyDescent="0.2">
      <c r="B356" s="2"/>
      <c r="C356" s="2"/>
      <c r="D356" s="2"/>
      <c r="E356" s="36"/>
      <c r="F356" s="3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</row>
    <row r="357" spans="2:46" ht="15.75" customHeight="1" x14ac:dyDescent="0.2">
      <c r="B357" s="2"/>
      <c r="C357" s="2"/>
      <c r="D357" s="2"/>
      <c r="E357" s="36"/>
      <c r="F357" s="3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</row>
    <row r="358" spans="2:46" ht="15.75" customHeight="1" x14ac:dyDescent="0.2">
      <c r="B358" s="2"/>
      <c r="C358" s="2"/>
      <c r="D358" s="2"/>
      <c r="E358" s="36"/>
      <c r="F358" s="3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</row>
    <row r="359" spans="2:46" ht="15.75" customHeight="1" x14ac:dyDescent="0.2">
      <c r="B359" s="2"/>
      <c r="C359" s="2"/>
      <c r="D359" s="2"/>
      <c r="E359" s="36"/>
      <c r="F359" s="3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</row>
    <row r="360" spans="2:46" ht="15.75" customHeight="1" x14ac:dyDescent="0.2">
      <c r="B360" s="2"/>
      <c r="C360" s="2"/>
      <c r="D360" s="2"/>
      <c r="E360" s="36"/>
      <c r="F360" s="3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</row>
    <row r="361" spans="2:46" ht="15.75" customHeight="1" x14ac:dyDescent="0.2">
      <c r="B361" s="2"/>
      <c r="C361" s="2"/>
      <c r="D361" s="2"/>
      <c r="E361" s="36"/>
      <c r="F361" s="3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</row>
    <row r="362" spans="2:46" ht="15.75" customHeight="1" x14ac:dyDescent="0.2">
      <c r="B362" s="2"/>
      <c r="C362" s="2"/>
      <c r="D362" s="2"/>
      <c r="E362" s="36"/>
      <c r="F362" s="3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</row>
    <row r="363" spans="2:46" ht="15.75" customHeight="1" x14ac:dyDescent="0.2">
      <c r="B363" s="2"/>
      <c r="C363" s="2"/>
      <c r="D363" s="2"/>
      <c r="E363" s="36"/>
      <c r="F363" s="3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</row>
    <row r="364" spans="2:46" ht="15.75" customHeight="1" x14ac:dyDescent="0.2">
      <c r="B364" s="2"/>
      <c r="C364" s="2"/>
      <c r="D364" s="2"/>
      <c r="E364" s="36"/>
      <c r="F364" s="3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</row>
    <row r="365" spans="2:46" ht="15.75" customHeight="1" x14ac:dyDescent="0.2">
      <c r="B365" s="2"/>
      <c r="C365" s="2"/>
      <c r="D365" s="2"/>
      <c r="E365" s="36"/>
      <c r="F365" s="3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</row>
    <row r="366" spans="2:46" ht="15.75" customHeight="1" x14ac:dyDescent="0.2">
      <c r="B366" s="2"/>
      <c r="C366" s="2"/>
      <c r="D366" s="2"/>
      <c r="E366" s="36"/>
      <c r="F366" s="3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</row>
    <row r="367" spans="2:46" ht="15.75" customHeight="1" x14ac:dyDescent="0.2">
      <c r="B367" s="2"/>
      <c r="C367" s="2"/>
      <c r="D367" s="2"/>
      <c r="E367" s="36"/>
      <c r="F367" s="3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</row>
    <row r="368" spans="2:46" ht="15.75" customHeight="1" x14ac:dyDescent="0.2">
      <c r="B368" s="2"/>
      <c r="C368" s="2"/>
      <c r="D368" s="2"/>
      <c r="E368" s="36"/>
      <c r="F368" s="3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</row>
    <row r="369" spans="2:46" ht="15.75" customHeight="1" x14ac:dyDescent="0.2">
      <c r="B369" s="2"/>
      <c r="C369" s="2"/>
      <c r="D369" s="2"/>
      <c r="E369" s="36"/>
      <c r="F369" s="3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</row>
    <row r="370" spans="2:46" ht="15.75" customHeight="1" x14ac:dyDescent="0.2">
      <c r="B370" s="2"/>
      <c r="C370" s="2"/>
      <c r="D370" s="2"/>
      <c r="E370" s="36"/>
      <c r="F370" s="3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</row>
    <row r="371" spans="2:46" ht="15.75" customHeight="1" x14ac:dyDescent="0.2">
      <c r="B371" s="2"/>
      <c r="C371" s="2"/>
      <c r="D371" s="2"/>
      <c r="E371" s="36"/>
      <c r="F371" s="3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</row>
    <row r="372" spans="2:46" ht="15.75" customHeight="1" x14ac:dyDescent="0.2">
      <c r="B372" s="2"/>
      <c r="C372" s="2"/>
      <c r="D372" s="2"/>
      <c r="E372" s="36"/>
      <c r="F372" s="3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</row>
    <row r="373" spans="2:46" ht="15.75" customHeight="1" x14ac:dyDescent="0.2">
      <c r="B373" s="2"/>
      <c r="C373" s="2"/>
      <c r="D373" s="2"/>
      <c r="E373" s="36"/>
      <c r="F373" s="3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</row>
    <row r="374" spans="2:46" ht="15.75" customHeight="1" x14ac:dyDescent="0.2">
      <c r="B374" s="2"/>
      <c r="C374" s="2"/>
      <c r="D374" s="2"/>
      <c r="E374" s="36"/>
      <c r="F374" s="3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</row>
    <row r="375" spans="2:46" ht="15.75" customHeight="1" x14ac:dyDescent="0.2">
      <c r="B375" s="2"/>
      <c r="C375" s="2"/>
      <c r="D375" s="2"/>
      <c r="E375" s="36"/>
      <c r="F375" s="3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</row>
    <row r="376" spans="2:46" ht="15.75" customHeight="1" x14ac:dyDescent="0.2">
      <c r="B376" s="2"/>
      <c r="C376" s="2"/>
      <c r="D376" s="2"/>
      <c r="E376" s="36"/>
      <c r="F376" s="3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</row>
    <row r="377" spans="2:46" ht="15.75" customHeight="1" x14ac:dyDescent="0.2">
      <c r="B377" s="2"/>
      <c r="C377" s="2"/>
      <c r="D377" s="2"/>
      <c r="E377" s="36"/>
      <c r="F377" s="3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</row>
    <row r="378" spans="2:46" ht="15.75" customHeight="1" x14ac:dyDescent="0.2">
      <c r="B378" s="2"/>
      <c r="C378" s="2"/>
      <c r="D378" s="2"/>
      <c r="E378" s="36"/>
      <c r="F378" s="3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</row>
    <row r="379" spans="2:46" ht="15.75" customHeight="1" x14ac:dyDescent="0.2">
      <c r="B379" s="2"/>
      <c r="C379" s="2"/>
      <c r="D379" s="2"/>
      <c r="E379" s="36"/>
      <c r="F379" s="3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</row>
    <row r="380" spans="2:46" ht="15.75" customHeight="1" x14ac:dyDescent="0.2">
      <c r="B380" s="2"/>
      <c r="C380" s="2"/>
      <c r="D380" s="2"/>
      <c r="E380" s="36"/>
      <c r="F380" s="3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</row>
    <row r="381" spans="2:46" ht="15.75" customHeight="1" x14ac:dyDescent="0.2">
      <c r="B381" s="2"/>
      <c r="C381" s="2"/>
      <c r="D381" s="2"/>
      <c r="E381" s="36"/>
      <c r="F381" s="3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</row>
    <row r="382" spans="2:46" ht="15.75" customHeight="1" x14ac:dyDescent="0.2">
      <c r="B382" s="2"/>
      <c r="C382" s="2"/>
      <c r="D382" s="2"/>
      <c r="E382" s="36"/>
      <c r="F382" s="3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</row>
    <row r="383" spans="2:46" ht="15.75" customHeight="1" x14ac:dyDescent="0.2">
      <c r="B383" s="2"/>
      <c r="C383" s="2"/>
      <c r="D383" s="2"/>
      <c r="E383" s="36"/>
      <c r="F383" s="3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</row>
    <row r="384" spans="2:46" ht="15.75" customHeight="1" x14ac:dyDescent="0.2">
      <c r="B384" s="2"/>
      <c r="C384" s="2"/>
      <c r="D384" s="2"/>
      <c r="E384" s="36"/>
      <c r="F384" s="3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</row>
    <row r="385" spans="2:46" ht="15.75" customHeight="1" x14ac:dyDescent="0.2">
      <c r="B385" s="2"/>
      <c r="C385" s="2"/>
      <c r="D385" s="2"/>
      <c r="E385" s="36"/>
      <c r="F385" s="3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</row>
    <row r="386" spans="2:46" ht="15.75" customHeight="1" x14ac:dyDescent="0.2">
      <c r="B386" s="2"/>
      <c r="C386" s="2"/>
      <c r="D386" s="2"/>
      <c r="E386" s="36"/>
      <c r="F386" s="3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</row>
    <row r="387" spans="2:46" ht="15.75" customHeight="1" x14ac:dyDescent="0.2">
      <c r="B387" s="2"/>
      <c r="C387" s="2"/>
      <c r="D387" s="2"/>
      <c r="E387" s="36"/>
      <c r="F387" s="3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</row>
    <row r="388" spans="2:46" ht="15.75" customHeight="1" x14ac:dyDescent="0.2">
      <c r="B388" s="2"/>
      <c r="C388" s="2"/>
      <c r="D388" s="2"/>
      <c r="E388" s="36"/>
      <c r="F388" s="3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</row>
    <row r="389" spans="2:46" ht="15.75" customHeight="1" x14ac:dyDescent="0.2">
      <c r="B389" s="2"/>
      <c r="C389" s="2"/>
      <c r="D389" s="2"/>
      <c r="E389" s="36"/>
      <c r="F389" s="3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</row>
    <row r="390" spans="2:46" ht="15.75" customHeight="1" x14ac:dyDescent="0.2">
      <c r="B390" s="2"/>
      <c r="C390" s="2"/>
      <c r="D390" s="2"/>
      <c r="E390" s="36"/>
      <c r="F390" s="3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</row>
    <row r="391" spans="2:46" ht="15.75" customHeight="1" x14ac:dyDescent="0.2">
      <c r="B391" s="2"/>
      <c r="C391" s="2"/>
      <c r="D391" s="2"/>
      <c r="E391" s="36"/>
      <c r="F391" s="3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</row>
    <row r="392" spans="2:46" ht="15.75" customHeight="1" x14ac:dyDescent="0.2">
      <c r="B392" s="2"/>
      <c r="C392" s="2"/>
      <c r="D392" s="2"/>
      <c r="E392" s="36"/>
      <c r="F392" s="3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</row>
    <row r="393" spans="2:46" ht="15.75" customHeight="1" x14ac:dyDescent="0.2">
      <c r="B393" s="2"/>
      <c r="C393" s="2"/>
      <c r="D393" s="2"/>
      <c r="E393" s="36"/>
      <c r="F393" s="3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</row>
    <row r="394" spans="2:46" ht="15.75" customHeight="1" x14ac:dyDescent="0.2">
      <c r="B394" s="2"/>
      <c r="C394" s="2"/>
      <c r="D394" s="2"/>
      <c r="E394" s="36"/>
      <c r="F394" s="3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</row>
    <row r="395" spans="2:46" ht="15.75" customHeight="1" x14ac:dyDescent="0.2">
      <c r="B395" s="2"/>
      <c r="C395" s="2"/>
      <c r="D395" s="2"/>
      <c r="E395" s="36"/>
      <c r="F395" s="3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</row>
    <row r="396" spans="2:46" ht="15.75" customHeight="1" x14ac:dyDescent="0.2">
      <c r="B396" s="2"/>
      <c r="C396" s="2"/>
      <c r="D396" s="2"/>
      <c r="E396" s="36"/>
      <c r="F396" s="3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</row>
    <row r="397" spans="2:46" ht="15.75" customHeight="1" x14ac:dyDescent="0.2">
      <c r="B397" s="2"/>
      <c r="C397" s="2"/>
      <c r="D397" s="2"/>
      <c r="E397" s="36"/>
      <c r="F397" s="3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</row>
    <row r="398" spans="2:46" ht="15.75" customHeight="1" x14ac:dyDescent="0.2">
      <c r="B398" s="2"/>
      <c r="C398" s="2"/>
      <c r="D398" s="2"/>
      <c r="E398" s="36"/>
      <c r="F398" s="3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</row>
    <row r="399" spans="2:46" ht="15.75" customHeight="1" x14ac:dyDescent="0.2">
      <c r="B399" s="2"/>
      <c r="C399" s="2"/>
      <c r="D399" s="2"/>
      <c r="E399" s="36"/>
      <c r="F399" s="3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</row>
    <row r="400" spans="2:46" ht="15.75" customHeight="1" x14ac:dyDescent="0.2">
      <c r="B400" s="2"/>
      <c r="C400" s="2"/>
      <c r="D400" s="2"/>
      <c r="E400" s="36"/>
      <c r="F400" s="3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</row>
    <row r="401" spans="2:46" ht="15.75" customHeight="1" x14ac:dyDescent="0.2">
      <c r="B401" s="2"/>
      <c r="C401" s="2"/>
      <c r="D401" s="2"/>
      <c r="E401" s="36"/>
      <c r="F401" s="3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</row>
    <row r="402" spans="2:46" ht="15.75" customHeight="1" x14ac:dyDescent="0.2">
      <c r="B402" s="2"/>
      <c r="C402" s="2"/>
      <c r="D402" s="2"/>
      <c r="E402" s="36"/>
      <c r="F402" s="3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</row>
    <row r="403" spans="2:46" ht="15.75" customHeight="1" x14ac:dyDescent="0.2">
      <c r="B403" s="2"/>
      <c r="C403" s="2"/>
      <c r="D403" s="2"/>
      <c r="E403" s="36"/>
      <c r="F403" s="3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</row>
    <row r="404" spans="2:46" ht="15.75" customHeight="1" x14ac:dyDescent="0.2">
      <c r="B404" s="2"/>
      <c r="C404" s="2"/>
      <c r="D404" s="2"/>
      <c r="E404" s="36"/>
      <c r="F404" s="3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</row>
    <row r="405" spans="2:46" ht="15.75" customHeight="1" x14ac:dyDescent="0.2">
      <c r="B405" s="2"/>
      <c r="C405" s="2"/>
      <c r="D405" s="2"/>
      <c r="E405" s="36"/>
      <c r="F405" s="3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</row>
    <row r="406" spans="2:46" ht="15.75" customHeight="1" x14ac:dyDescent="0.2">
      <c r="B406" s="2"/>
      <c r="C406" s="2"/>
      <c r="D406" s="2"/>
      <c r="E406" s="36"/>
      <c r="F406" s="3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</row>
    <row r="407" spans="2:46" ht="15.75" customHeight="1" x14ac:dyDescent="0.2">
      <c r="B407" s="2"/>
      <c r="C407" s="2"/>
      <c r="D407" s="2"/>
      <c r="E407" s="36"/>
      <c r="F407" s="3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</row>
    <row r="408" spans="2:46" ht="15.75" customHeight="1" x14ac:dyDescent="0.2">
      <c r="B408" s="2"/>
      <c r="C408" s="2"/>
      <c r="D408" s="2"/>
      <c r="E408" s="36"/>
      <c r="F408" s="3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</row>
    <row r="409" spans="2:46" ht="15.75" customHeight="1" x14ac:dyDescent="0.2">
      <c r="B409" s="2"/>
      <c r="C409" s="2"/>
      <c r="D409" s="2"/>
      <c r="E409" s="36"/>
      <c r="F409" s="3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</row>
    <row r="410" spans="2:46" ht="15.75" customHeight="1" x14ac:dyDescent="0.2">
      <c r="B410" s="2"/>
      <c r="C410" s="2"/>
      <c r="D410" s="2"/>
      <c r="E410" s="36"/>
      <c r="F410" s="3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</row>
    <row r="411" spans="2:46" ht="15.75" customHeight="1" x14ac:dyDescent="0.2">
      <c r="B411" s="2"/>
      <c r="C411" s="2"/>
      <c r="D411" s="2"/>
      <c r="E411" s="36"/>
      <c r="F411" s="3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</row>
    <row r="412" spans="2:46" ht="15.75" customHeight="1" x14ac:dyDescent="0.2">
      <c r="B412" s="2"/>
      <c r="C412" s="2"/>
      <c r="D412" s="2"/>
      <c r="E412" s="36"/>
      <c r="F412" s="3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</row>
    <row r="413" spans="2:46" ht="15.75" customHeight="1" x14ac:dyDescent="0.2">
      <c r="B413" s="2"/>
      <c r="C413" s="2"/>
      <c r="D413" s="2"/>
      <c r="E413" s="36"/>
      <c r="F413" s="3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</row>
    <row r="414" spans="2:46" ht="15.75" customHeight="1" x14ac:dyDescent="0.2">
      <c r="B414" s="2"/>
      <c r="C414" s="2"/>
      <c r="D414" s="2"/>
      <c r="E414" s="36"/>
      <c r="F414" s="3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</row>
    <row r="415" spans="2:46" ht="15.75" customHeight="1" x14ac:dyDescent="0.2">
      <c r="B415" s="2"/>
      <c r="C415" s="2"/>
      <c r="D415" s="2"/>
      <c r="E415" s="36"/>
      <c r="F415" s="3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</row>
    <row r="416" spans="2:46" ht="15.75" customHeight="1" x14ac:dyDescent="0.2">
      <c r="B416" s="2"/>
      <c r="C416" s="2"/>
      <c r="D416" s="2"/>
      <c r="E416" s="36"/>
      <c r="F416" s="3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</row>
    <row r="417" spans="2:46" ht="15.75" customHeight="1" x14ac:dyDescent="0.2">
      <c r="B417" s="2"/>
      <c r="C417" s="2"/>
      <c r="D417" s="2"/>
      <c r="E417" s="36"/>
      <c r="F417" s="3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</row>
    <row r="418" spans="2:46" ht="15.75" customHeight="1" x14ac:dyDescent="0.2">
      <c r="B418" s="2"/>
      <c r="C418" s="2"/>
      <c r="D418" s="2"/>
      <c r="E418" s="36"/>
      <c r="F418" s="3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</row>
    <row r="419" spans="2:46" ht="15.75" customHeight="1" x14ac:dyDescent="0.2">
      <c r="B419" s="2"/>
      <c r="C419" s="2"/>
      <c r="D419" s="2"/>
      <c r="E419" s="36"/>
      <c r="F419" s="3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</row>
    <row r="420" spans="2:46" ht="15.75" customHeight="1" x14ac:dyDescent="0.2">
      <c r="B420" s="2"/>
      <c r="C420" s="2"/>
      <c r="D420" s="2"/>
      <c r="E420" s="36"/>
      <c r="F420" s="3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</row>
    <row r="421" spans="2:46" ht="15.75" customHeight="1" x14ac:dyDescent="0.2">
      <c r="B421" s="2"/>
      <c r="C421" s="2"/>
      <c r="D421" s="2"/>
      <c r="E421" s="36"/>
      <c r="F421" s="3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</row>
    <row r="422" spans="2:46" ht="15.75" customHeight="1" x14ac:dyDescent="0.2">
      <c r="B422" s="2"/>
      <c r="C422" s="2"/>
      <c r="D422" s="2"/>
      <c r="E422" s="36"/>
      <c r="F422" s="3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</row>
    <row r="423" spans="2:46" ht="15.75" customHeight="1" x14ac:dyDescent="0.2">
      <c r="B423" s="2"/>
      <c r="C423" s="2"/>
      <c r="D423" s="2"/>
      <c r="E423" s="36"/>
      <c r="F423" s="3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</row>
    <row r="424" spans="2:46" ht="15.75" customHeight="1" x14ac:dyDescent="0.2">
      <c r="B424" s="2"/>
      <c r="C424" s="2"/>
      <c r="D424" s="2"/>
      <c r="E424" s="36"/>
      <c r="F424" s="3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</row>
    <row r="425" spans="2:46" ht="15.75" customHeight="1" x14ac:dyDescent="0.2">
      <c r="B425" s="2"/>
      <c r="C425" s="2"/>
      <c r="D425" s="2"/>
      <c r="E425" s="36"/>
      <c r="F425" s="3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</row>
    <row r="426" spans="2:46" ht="15.75" customHeight="1" x14ac:dyDescent="0.2">
      <c r="B426" s="2"/>
      <c r="C426" s="2"/>
      <c r="D426" s="2"/>
      <c r="E426" s="36"/>
      <c r="F426" s="3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</row>
    <row r="427" spans="2:46" ht="15.75" customHeight="1" x14ac:dyDescent="0.2">
      <c r="B427" s="2"/>
      <c r="C427" s="2"/>
      <c r="D427" s="2"/>
      <c r="E427" s="36"/>
      <c r="F427" s="3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</row>
    <row r="428" spans="2:46" ht="15.75" customHeight="1" x14ac:dyDescent="0.2">
      <c r="B428" s="2"/>
      <c r="C428" s="2"/>
      <c r="D428" s="2"/>
      <c r="E428" s="36"/>
      <c r="F428" s="3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</row>
    <row r="429" spans="2:46" ht="15.75" customHeight="1" x14ac:dyDescent="0.2">
      <c r="B429" s="2"/>
      <c r="C429" s="2"/>
      <c r="D429" s="2"/>
      <c r="E429" s="36"/>
      <c r="F429" s="3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</row>
    <row r="430" spans="2:46" ht="15.75" customHeight="1" x14ac:dyDescent="0.2">
      <c r="B430" s="2"/>
      <c r="C430" s="2"/>
      <c r="D430" s="2"/>
      <c r="E430" s="36"/>
      <c r="F430" s="3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</row>
    <row r="431" spans="2:46" ht="15.75" customHeight="1" x14ac:dyDescent="0.2">
      <c r="B431" s="2"/>
      <c r="C431" s="2"/>
      <c r="D431" s="2"/>
      <c r="E431" s="36"/>
      <c r="F431" s="3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</row>
    <row r="432" spans="2:46" ht="15.75" customHeight="1" x14ac:dyDescent="0.2">
      <c r="B432" s="2"/>
      <c r="C432" s="2"/>
      <c r="D432" s="2"/>
      <c r="E432" s="36"/>
      <c r="F432" s="3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</row>
    <row r="433" spans="2:46" ht="15.75" customHeight="1" x14ac:dyDescent="0.2">
      <c r="B433" s="2"/>
      <c r="C433" s="2"/>
      <c r="D433" s="2"/>
      <c r="E433" s="36"/>
      <c r="F433" s="3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</row>
    <row r="434" spans="2:46" ht="15.75" customHeight="1" x14ac:dyDescent="0.2">
      <c r="B434" s="2"/>
      <c r="C434" s="2"/>
      <c r="D434" s="2"/>
      <c r="E434" s="36"/>
      <c r="F434" s="3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</row>
    <row r="435" spans="2:46" ht="15.75" customHeight="1" x14ac:dyDescent="0.2">
      <c r="B435" s="2"/>
      <c r="C435" s="2"/>
      <c r="D435" s="2"/>
      <c r="E435" s="36"/>
      <c r="F435" s="3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</row>
    <row r="436" spans="2:46" ht="15.75" customHeight="1" x14ac:dyDescent="0.2">
      <c r="B436" s="2"/>
      <c r="C436" s="2"/>
      <c r="D436" s="2"/>
      <c r="E436" s="36"/>
      <c r="F436" s="3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</row>
    <row r="437" spans="2:46" ht="15.75" customHeight="1" x14ac:dyDescent="0.2">
      <c r="B437" s="2"/>
      <c r="C437" s="2"/>
      <c r="D437" s="2"/>
      <c r="E437" s="36"/>
      <c r="F437" s="3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</row>
    <row r="438" spans="2:46" ht="15.75" customHeight="1" x14ac:dyDescent="0.2">
      <c r="B438" s="2"/>
      <c r="C438" s="2"/>
      <c r="D438" s="2"/>
      <c r="E438" s="36"/>
      <c r="F438" s="3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</row>
    <row r="439" spans="2:46" ht="15.75" customHeight="1" x14ac:dyDescent="0.2">
      <c r="B439" s="2"/>
      <c r="C439" s="2"/>
      <c r="D439" s="2"/>
      <c r="E439" s="36"/>
      <c r="F439" s="3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</row>
    <row r="440" spans="2:46" ht="15.75" customHeight="1" x14ac:dyDescent="0.2">
      <c r="B440" s="2"/>
      <c r="C440" s="2"/>
      <c r="D440" s="2"/>
      <c r="E440" s="36"/>
      <c r="F440" s="3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</row>
    <row r="441" spans="2:46" ht="15.75" customHeight="1" x14ac:dyDescent="0.2">
      <c r="B441" s="2"/>
      <c r="C441" s="2"/>
      <c r="D441" s="2"/>
      <c r="E441" s="36"/>
      <c r="F441" s="3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</row>
    <row r="442" spans="2:46" ht="15.75" customHeight="1" x14ac:dyDescent="0.2">
      <c r="B442" s="2"/>
      <c r="C442" s="2"/>
      <c r="D442" s="2"/>
      <c r="E442" s="36"/>
      <c r="F442" s="3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</row>
    <row r="443" spans="2:46" ht="15.75" customHeight="1" x14ac:dyDescent="0.2">
      <c r="B443" s="2"/>
      <c r="C443" s="2"/>
      <c r="D443" s="2"/>
      <c r="E443" s="36"/>
      <c r="F443" s="3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</row>
    <row r="444" spans="2:46" ht="15.75" customHeight="1" x14ac:dyDescent="0.2">
      <c r="B444" s="2"/>
      <c r="C444" s="2"/>
      <c r="D444" s="2"/>
      <c r="E444" s="36"/>
      <c r="F444" s="3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</row>
    <row r="445" spans="2:46" ht="15.75" customHeight="1" x14ac:dyDescent="0.2">
      <c r="B445" s="2"/>
      <c r="C445" s="2"/>
      <c r="D445" s="2"/>
      <c r="E445" s="36"/>
      <c r="F445" s="3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</row>
    <row r="446" spans="2:46" ht="15.75" customHeight="1" x14ac:dyDescent="0.2">
      <c r="B446" s="2"/>
      <c r="C446" s="2"/>
      <c r="D446" s="2"/>
      <c r="E446" s="36"/>
      <c r="F446" s="3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</row>
    <row r="447" spans="2:46" ht="15.75" customHeight="1" x14ac:dyDescent="0.2">
      <c r="B447" s="2"/>
      <c r="C447" s="2"/>
      <c r="D447" s="2"/>
      <c r="E447" s="36"/>
      <c r="F447" s="3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</row>
    <row r="448" spans="2:46" ht="15.75" customHeight="1" x14ac:dyDescent="0.2">
      <c r="B448" s="2"/>
      <c r="C448" s="2"/>
      <c r="D448" s="2"/>
      <c r="E448" s="36"/>
      <c r="F448" s="3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</row>
    <row r="449" spans="2:46" ht="15.75" customHeight="1" x14ac:dyDescent="0.2">
      <c r="B449" s="2"/>
      <c r="C449" s="2"/>
      <c r="D449" s="2"/>
      <c r="E449" s="36"/>
      <c r="F449" s="3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</row>
    <row r="450" spans="2:46" ht="15.75" customHeight="1" x14ac:dyDescent="0.2">
      <c r="B450" s="2"/>
      <c r="C450" s="2"/>
      <c r="D450" s="2"/>
      <c r="E450" s="36"/>
      <c r="F450" s="3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</row>
    <row r="451" spans="2:46" ht="15.75" customHeight="1" x14ac:dyDescent="0.2">
      <c r="B451" s="2"/>
      <c r="C451" s="2"/>
      <c r="D451" s="2"/>
      <c r="E451" s="36"/>
      <c r="F451" s="3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</row>
    <row r="452" spans="2:46" ht="15.75" customHeight="1" x14ac:dyDescent="0.2">
      <c r="B452" s="2"/>
      <c r="C452" s="2"/>
      <c r="D452" s="2"/>
      <c r="E452" s="36"/>
      <c r="F452" s="3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</row>
    <row r="453" spans="2:46" ht="15.75" customHeight="1" x14ac:dyDescent="0.2">
      <c r="B453" s="2"/>
      <c r="C453" s="2"/>
      <c r="D453" s="2"/>
      <c r="E453" s="36"/>
      <c r="F453" s="3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</row>
    <row r="454" spans="2:46" ht="15.75" customHeight="1" x14ac:dyDescent="0.2">
      <c r="B454" s="2"/>
      <c r="C454" s="2"/>
      <c r="D454" s="2"/>
      <c r="E454" s="36"/>
      <c r="F454" s="3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</row>
    <row r="455" spans="2:46" ht="15.75" customHeight="1" x14ac:dyDescent="0.2">
      <c r="B455" s="2"/>
      <c r="C455" s="2"/>
      <c r="D455" s="2"/>
      <c r="E455" s="36"/>
      <c r="F455" s="3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</row>
    <row r="456" spans="2:46" ht="15.75" customHeight="1" x14ac:dyDescent="0.2">
      <c r="B456" s="2"/>
      <c r="C456" s="2"/>
      <c r="D456" s="2"/>
      <c r="E456" s="36"/>
      <c r="F456" s="3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</row>
    <row r="457" spans="2:46" ht="15.75" customHeight="1" x14ac:dyDescent="0.2">
      <c r="B457" s="2"/>
      <c r="C457" s="2"/>
      <c r="D457" s="2"/>
      <c r="E457" s="36"/>
      <c r="F457" s="3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</row>
    <row r="458" spans="2:46" ht="15.75" customHeight="1" x14ac:dyDescent="0.2">
      <c r="B458" s="2"/>
      <c r="C458" s="2"/>
      <c r="D458" s="2"/>
      <c r="E458" s="36"/>
      <c r="F458" s="3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</row>
    <row r="459" spans="2:46" ht="15.75" customHeight="1" x14ac:dyDescent="0.2">
      <c r="B459" s="2"/>
      <c r="C459" s="2"/>
      <c r="D459" s="2"/>
      <c r="E459" s="36"/>
      <c r="F459" s="3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2:46" ht="15.75" customHeight="1" x14ac:dyDescent="0.2">
      <c r="B460" s="2"/>
      <c r="C460" s="2"/>
      <c r="D460" s="2"/>
      <c r="E460" s="36"/>
      <c r="F460" s="3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2:46" ht="15.75" customHeight="1" x14ac:dyDescent="0.2">
      <c r="B461" s="2"/>
      <c r="C461" s="2"/>
      <c r="D461" s="2"/>
      <c r="E461" s="36"/>
      <c r="F461" s="3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</row>
    <row r="462" spans="2:46" ht="15.75" customHeight="1" x14ac:dyDescent="0.2">
      <c r="B462" s="2"/>
      <c r="C462" s="2"/>
      <c r="D462" s="2"/>
      <c r="E462" s="36"/>
      <c r="F462" s="3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</row>
    <row r="463" spans="2:46" ht="15.75" customHeight="1" x14ac:dyDescent="0.2">
      <c r="B463" s="2"/>
      <c r="C463" s="2"/>
      <c r="D463" s="2"/>
      <c r="E463" s="36"/>
      <c r="F463" s="3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</row>
    <row r="464" spans="2:46" ht="15.75" customHeight="1" x14ac:dyDescent="0.2">
      <c r="B464" s="2"/>
      <c r="C464" s="2"/>
      <c r="D464" s="2"/>
      <c r="E464" s="36"/>
      <c r="F464" s="3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</row>
    <row r="465" spans="2:46" ht="15.75" customHeight="1" x14ac:dyDescent="0.2">
      <c r="B465" s="2"/>
      <c r="C465" s="2"/>
      <c r="D465" s="2"/>
      <c r="E465" s="36"/>
      <c r="F465" s="3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</row>
    <row r="466" spans="2:46" ht="15.75" customHeight="1" x14ac:dyDescent="0.2">
      <c r="B466" s="2"/>
      <c r="C466" s="2"/>
      <c r="D466" s="2"/>
      <c r="E466" s="36"/>
      <c r="F466" s="3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</row>
    <row r="467" spans="2:46" ht="15.75" customHeight="1" x14ac:dyDescent="0.2">
      <c r="B467" s="2"/>
      <c r="C467" s="2"/>
      <c r="D467" s="2"/>
      <c r="E467" s="36"/>
      <c r="F467" s="3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</row>
    <row r="468" spans="2:46" ht="15.75" customHeight="1" x14ac:dyDescent="0.2">
      <c r="B468" s="2"/>
      <c r="C468" s="2"/>
      <c r="D468" s="2"/>
      <c r="E468" s="36"/>
      <c r="F468" s="3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</row>
    <row r="469" spans="2:46" ht="15.75" customHeight="1" x14ac:dyDescent="0.2">
      <c r="B469" s="2"/>
      <c r="C469" s="2"/>
      <c r="D469" s="2"/>
      <c r="E469" s="36"/>
      <c r="F469" s="3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</row>
    <row r="470" spans="2:46" ht="15.75" customHeight="1" x14ac:dyDescent="0.2">
      <c r="B470" s="2"/>
      <c r="C470" s="2"/>
      <c r="D470" s="2"/>
      <c r="E470" s="36"/>
      <c r="F470" s="3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</row>
    <row r="471" spans="2:46" ht="15.75" customHeight="1" x14ac:dyDescent="0.2">
      <c r="B471" s="2"/>
      <c r="C471" s="2"/>
      <c r="D471" s="2"/>
      <c r="E471" s="36"/>
      <c r="F471" s="3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</row>
    <row r="472" spans="2:46" ht="15.75" customHeight="1" x14ac:dyDescent="0.2">
      <c r="B472" s="2"/>
      <c r="C472" s="2"/>
      <c r="D472" s="2"/>
      <c r="E472" s="36"/>
      <c r="F472" s="3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</row>
    <row r="473" spans="2:46" ht="15.75" customHeight="1" x14ac:dyDescent="0.2">
      <c r="B473" s="2"/>
      <c r="C473" s="2"/>
      <c r="D473" s="2"/>
      <c r="E473" s="36"/>
      <c r="F473" s="3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</row>
    <row r="474" spans="2:46" ht="15.75" customHeight="1" x14ac:dyDescent="0.2">
      <c r="B474" s="2"/>
      <c r="C474" s="2"/>
      <c r="D474" s="2"/>
      <c r="E474" s="36"/>
      <c r="F474" s="3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</row>
    <row r="475" spans="2:46" ht="15.75" customHeight="1" x14ac:dyDescent="0.2">
      <c r="B475" s="2"/>
      <c r="C475" s="2"/>
      <c r="D475" s="2"/>
      <c r="E475" s="36"/>
      <c r="F475" s="3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</row>
    <row r="476" spans="2:46" ht="15.75" customHeight="1" x14ac:dyDescent="0.2">
      <c r="B476" s="2"/>
      <c r="C476" s="2"/>
      <c r="D476" s="2"/>
      <c r="E476" s="36"/>
      <c r="F476" s="3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</row>
    <row r="477" spans="2:46" ht="15.75" customHeight="1" x14ac:dyDescent="0.2">
      <c r="B477" s="2"/>
      <c r="C477" s="2"/>
      <c r="D477" s="2"/>
      <c r="E477" s="36"/>
      <c r="F477" s="3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</row>
    <row r="478" spans="2:46" ht="15.75" customHeight="1" x14ac:dyDescent="0.2">
      <c r="B478" s="2"/>
      <c r="C478" s="2"/>
      <c r="D478" s="2"/>
      <c r="E478" s="36"/>
      <c r="F478" s="3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</row>
    <row r="479" spans="2:46" ht="15.75" customHeight="1" x14ac:dyDescent="0.2">
      <c r="B479" s="2"/>
      <c r="C479" s="2"/>
      <c r="D479" s="2"/>
      <c r="E479" s="36"/>
      <c r="F479" s="3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</row>
    <row r="480" spans="2:46" ht="15.75" customHeight="1" x14ac:dyDescent="0.2">
      <c r="B480" s="2"/>
      <c r="C480" s="2"/>
      <c r="D480" s="2"/>
      <c r="E480" s="36"/>
      <c r="F480" s="3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</row>
    <row r="481" spans="2:46" ht="15.75" customHeight="1" x14ac:dyDescent="0.2">
      <c r="B481" s="2"/>
      <c r="C481" s="2"/>
      <c r="D481" s="2"/>
      <c r="E481" s="36"/>
      <c r="F481" s="3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</row>
    <row r="482" spans="2:46" ht="15.75" customHeight="1" x14ac:dyDescent="0.2">
      <c r="B482" s="2"/>
      <c r="C482" s="2"/>
      <c r="D482" s="2"/>
      <c r="E482" s="36"/>
      <c r="F482" s="3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</row>
    <row r="483" spans="2:46" ht="15.75" customHeight="1" x14ac:dyDescent="0.2">
      <c r="B483" s="2"/>
      <c r="C483" s="2"/>
      <c r="D483" s="2"/>
      <c r="E483" s="36"/>
      <c r="F483" s="3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</row>
    <row r="484" spans="2:46" ht="15.75" customHeight="1" x14ac:dyDescent="0.2">
      <c r="B484" s="2"/>
      <c r="C484" s="2"/>
      <c r="D484" s="2"/>
      <c r="E484" s="36"/>
      <c r="F484" s="3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</row>
    <row r="485" spans="2:46" ht="15.75" customHeight="1" x14ac:dyDescent="0.2">
      <c r="B485" s="2"/>
      <c r="C485" s="2"/>
      <c r="D485" s="2"/>
      <c r="E485" s="36"/>
      <c r="F485" s="3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</row>
    <row r="486" spans="2:46" ht="15.75" customHeight="1" x14ac:dyDescent="0.2">
      <c r="B486" s="2"/>
      <c r="C486" s="2"/>
      <c r="D486" s="2"/>
      <c r="E486" s="36"/>
      <c r="F486" s="3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</row>
    <row r="487" spans="2:46" ht="15.75" customHeight="1" x14ac:dyDescent="0.2">
      <c r="B487" s="2"/>
      <c r="C487" s="2"/>
      <c r="D487" s="2"/>
      <c r="E487" s="36"/>
      <c r="F487" s="3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</row>
    <row r="488" spans="2:46" ht="15.75" customHeight="1" x14ac:dyDescent="0.2">
      <c r="B488" s="2"/>
      <c r="C488" s="2"/>
      <c r="D488" s="2"/>
      <c r="E488" s="36"/>
      <c r="F488" s="3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</row>
    <row r="489" spans="2:46" ht="15.75" customHeight="1" x14ac:dyDescent="0.2">
      <c r="B489" s="2"/>
      <c r="C489" s="2"/>
      <c r="D489" s="2"/>
      <c r="E489" s="36"/>
      <c r="F489" s="3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</row>
    <row r="490" spans="2:46" ht="15.75" customHeight="1" x14ac:dyDescent="0.2">
      <c r="B490" s="2"/>
      <c r="C490" s="2"/>
      <c r="D490" s="2"/>
      <c r="E490" s="36"/>
      <c r="F490" s="3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</row>
    <row r="491" spans="2:46" ht="15.75" customHeight="1" x14ac:dyDescent="0.2">
      <c r="B491" s="2"/>
      <c r="C491" s="2"/>
      <c r="D491" s="2"/>
      <c r="E491" s="36"/>
      <c r="F491" s="3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</row>
    <row r="492" spans="2:46" ht="15.75" customHeight="1" x14ac:dyDescent="0.2">
      <c r="B492" s="2"/>
      <c r="C492" s="2"/>
      <c r="D492" s="2"/>
      <c r="E492" s="36"/>
      <c r="F492" s="3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</row>
    <row r="493" spans="2:46" ht="15.75" customHeight="1" x14ac:dyDescent="0.2">
      <c r="B493" s="2"/>
      <c r="C493" s="2"/>
      <c r="D493" s="2"/>
      <c r="E493" s="36"/>
      <c r="F493" s="3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</row>
    <row r="494" spans="2:46" ht="15.75" customHeight="1" x14ac:dyDescent="0.2">
      <c r="B494" s="2"/>
      <c r="C494" s="2"/>
      <c r="D494" s="2"/>
      <c r="E494" s="36"/>
      <c r="F494" s="3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</row>
    <row r="495" spans="2:46" ht="15.75" customHeight="1" x14ac:dyDescent="0.2">
      <c r="B495" s="2"/>
      <c r="C495" s="2"/>
      <c r="D495" s="2"/>
      <c r="E495" s="36"/>
      <c r="F495" s="3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</row>
    <row r="496" spans="2:46" ht="15.75" customHeight="1" x14ac:dyDescent="0.2">
      <c r="B496" s="2"/>
      <c r="C496" s="2"/>
      <c r="D496" s="2"/>
      <c r="E496" s="36"/>
      <c r="F496" s="3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</row>
    <row r="497" spans="2:46" ht="15.75" customHeight="1" x14ac:dyDescent="0.2">
      <c r="B497" s="2"/>
      <c r="C497" s="2"/>
      <c r="D497" s="2"/>
      <c r="E497" s="36"/>
      <c r="F497" s="3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</row>
    <row r="498" spans="2:46" ht="15.75" customHeight="1" x14ac:dyDescent="0.2">
      <c r="B498" s="2"/>
      <c r="C498" s="2"/>
      <c r="D498" s="2"/>
      <c r="E498" s="36"/>
      <c r="F498" s="3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</row>
    <row r="499" spans="2:46" ht="15.75" customHeight="1" x14ac:dyDescent="0.2">
      <c r="B499" s="2"/>
      <c r="C499" s="2"/>
      <c r="D499" s="2"/>
      <c r="E499" s="36"/>
      <c r="F499" s="3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</row>
    <row r="500" spans="2:46" ht="15.75" customHeight="1" x14ac:dyDescent="0.2">
      <c r="B500" s="2"/>
      <c r="C500" s="2"/>
      <c r="D500" s="2"/>
      <c r="E500" s="36"/>
      <c r="F500" s="3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</row>
    <row r="501" spans="2:46" ht="15.75" customHeight="1" x14ac:dyDescent="0.2">
      <c r="B501" s="2"/>
      <c r="C501" s="2"/>
      <c r="D501" s="2"/>
      <c r="E501" s="36"/>
      <c r="F501" s="3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</row>
    <row r="502" spans="2:46" ht="15.75" customHeight="1" x14ac:dyDescent="0.2">
      <c r="B502" s="2"/>
      <c r="C502" s="2"/>
      <c r="D502" s="2"/>
      <c r="E502" s="36"/>
      <c r="F502" s="3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</row>
    <row r="503" spans="2:46" ht="15.75" customHeight="1" x14ac:dyDescent="0.2">
      <c r="B503" s="2"/>
      <c r="C503" s="2"/>
      <c r="D503" s="2"/>
      <c r="E503" s="36"/>
      <c r="F503" s="3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</row>
    <row r="504" spans="2:46" ht="15.75" customHeight="1" x14ac:dyDescent="0.2">
      <c r="B504" s="2"/>
      <c r="C504" s="2"/>
      <c r="D504" s="2"/>
      <c r="E504" s="36"/>
      <c r="F504" s="3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</row>
    <row r="505" spans="2:46" ht="15.75" customHeight="1" x14ac:dyDescent="0.2">
      <c r="B505" s="2"/>
      <c r="C505" s="2"/>
      <c r="D505" s="2"/>
      <c r="E505" s="36"/>
      <c r="F505" s="3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</row>
    <row r="506" spans="2:46" ht="15.75" customHeight="1" x14ac:dyDescent="0.2">
      <c r="B506" s="2"/>
      <c r="C506" s="2"/>
      <c r="D506" s="2"/>
      <c r="E506" s="36"/>
      <c r="F506" s="3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</row>
    <row r="507" spans="2:46" ht="15.75" customHeight="1" x14ac:dyDescent="0.2">
      <c r="B507" s="2"/>
      <c r="C507" s="2"/>
      <c r="D507" s="2"/>
      <c r="E507" s="36"/>
      <c r="F507" s="3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</row>
    <row r="508" spans="2:46" ht="15.75" customHeight="1" x14ac:dyDescent="0.2">
      <c r="B508" s="2"/>
      <c r="C508" s="2"/>
      <c r="D508" s="2"/>
      <c r="E508" s="36"/>
      <c r="F508" s="3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</row>
    <row r="509" spans="2:46" ht="15.75" customHeight="1" x14ac:dyDescent="0.2">
      <c r="B509" s="2"/>
      <c r="C509" s="2"/>
      <c r="D509" s="2"/>
      <c r="E509" s="36"/>
      <c r="F509" s="3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</row>
    <row r="510" spans="2:46" ht="15.75" customHeight="1" x14ac:dyDescent="0.2">
      <c r="B510" s="2"/>
      <c r="C510" s="2"/>
      <c r="D510" s="2"/>
      <c r="E510" s="36"/>
      <c r="F510" s="3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</row>
    <row r="511" spans="2:46" ht="15.75" customHeight="1" x14ac:dyDescent="0.2">
      <c r="B511" s="2"/>
      <c r="C511" s="2"/>
      <c r="D511" s="2"/>
      <c r="E511" s="36"/>
      <c r="F511" s="3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</row>
    <row r="512" spans="2:46" ht="15.75" customHeight="1" x14ac:dyDescent="0.2">
      <c r="B512" s="2"/>
      <c r="C512" s="2"/>
      <c r="D512" s="2"/>
      <c r="E512" s="36"/>
      <c r="F512" s="3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</row>
    <row r="513" spans="2:46" ht="15.75" customHeight="1" x14ac:dyDescent="0.2">
      <c r="B513" s="2"/>
      <c r="C513" s="2"/>
      <c r="D513" s="2"/>
      <c r="E513" s="36"/>
      <c r="F513" s="3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</row>
    <row r="514" spans="2:46" ht="15.75" customHeight="1" x14ac:dyDescent="0.2">
      <c r="B514" s="2"/>
      <c r="C514" s="2"/>
      <c r="D514" s="2"/>
      <c r="E514" s="36"/>
      <c r="F514" s="3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</row>
    <row r="515" spans="2:46" ht="15.75" customHeight="1" x14ac:dyDescent="0.2">
      <c r="B515" s="2"/>
      <c r="C515" s="2"/>
      <c r="D515" s="2"/>
      <c r="E515" s="36"/>
      <c r="F515" s="3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</row>
    <row r="516" spans="2:46" ht="15.75" customHeight="1" x14ac:dyDescent="0.2">
      <c r="B516" s="2"/>
      <c r="C516" s="2"/>
      <c r="D516" s="2"/>
      <c r="E516" s="36"/>
      <c r="F516" s="3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</row>
    <row r="517" spans="2:46" ht="15.75" customHeight="1" x14ac:dyDescent="0.2">
      <c r="B517" s="2"/>
      <c r="C517" s="2"/>
      <c r="D517" s="2"/>
      <c r="E517" s="36"/>
      <c r="F517" s="3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</row>
    <row r="518" spans="2:46" ht="15.75" customHeight="1" x14ac:dyDescent="0.2">
      <c r="B518" s="2"/>
      <c r="C518" s="2"/>
      <c r="D518" s="2"/>
      <c r="E518" s="36"/>
      <c r="F518" s="3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</row>
    <row r="519" spans="2:46" ht="15.75" customHeight="1" x14ac:dyDescent="0.2">
      <c r="B519" s="2"/>
      <c r="C519" s="2"/>
      <c r="D519" s="2"/>
      <c r="E519" s="36"/>
      <c r="F519" s="3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</row>
    <row r="520" spans="2:46" ht="15.75" customHeight="1" x14ac:dyDescent="0.2">
      <c r="B520" s="2"/>
      <c r="C520" s="2"/>
      <c r="D520" s="2"/>
      <c r="E520" s="36"/>
      <c r="F520" s="3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</row>
    <row r="521" spans="2:46" ht="15.75" customHeight="1" x14ac:dyDescent="0.2">
      <c r="B521" s="2"/>
      <c r="C521" s="2"/>
      <c r="D521" s="2"/>
      <c r="E521" s="36"/>
      <c r="F521" s="3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</row>
    <row r="522" spans="2:46" ht="15.75" customHeight="1" x14ac:dyDescent="0.2">
      <c r="B522" s="2"/>
      <c r="C522" s="2"/>
      <c r="D522" s="2"/>
      <c r="E522" s="36"/>
      <c r="F522" s="3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</row>
    <row r="523" spans="2:46" ht="15.75" customHeight="1" x14ac:dyDescent="0.2">
      <c r="B523" s="2"/>
      <c r="C523" s="2"/>
      <c r="D523" s="2"/>
      <c r="E523" s="36"/>
      <c r="F523" s="3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</row>
    <row r="524" spans="2:46" ht="15.75" customHeight="1" x14ac:dyDescent="0.2">
      <c r="B524" s="2"/>
      <c r="C524" s="2"/>
      <c r="D524" s="2"/>
      <c r="E524" s="36"/>
      <c r="F524" s="3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</row>
    <row r="525" spans="2:46" ht="15.75" customHeight="1" x14ac:dyDescent="0.2">
      <c r="B525" s="2"/>
      <c r="C525" s="2"/>
      <c r="D525" s="2"/>
      <c r="E525" s="36"/>
      <c r="F525" s="3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</row>
    <row r="526" spans="2:46" ht="15.75" customHeight="1" x14ac:dyDescent="0.2">
      <c r="B526" s="2"/>
      <c r="C526" s="2"/>
      <c r="D526" s="2"/>
      <c r="E526" s="36"/>
      <c r="F526" s="3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</row>
    <row r="527" spans="2:46" ht="15.75" customHeight="1" x14ac:dyDescent="0.2">
      <c r="B527" s="2"/>
      <c r="C527" s="2"/>
      <c r="D527" s="2"/>
      <c r="E527" s="36"/>
      <c r="F527" s="3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</row>
    <row r="528" spans="2:46" ht="15.75" customHeight="1" x14ac:dyDescent="0.2">
      <c r="B528" s="2"/>
      <c r="C528" s="2"/>
      <c r="D528" s="2"/>
      <c r="E528" s="36"/>
      <c r="F528" s="3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</row>
    <row r="529" spans="2:46" ht="15.75" customHeight="1" x14ac:dyDescent="0.2">
      <c r="B529" s="2"/>
      <c r="C529" s="2"/>
      <c r="D529" s="2"/>
      <c r="E529" s="36"/>
      <c r="F529" s="3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</row>
    <row r="530" spans="2:46" ht="15.75" customHeight="1" x14ac:dyDescent="0.2">
      <c r="B530" s="2"/>
      <c r="C530" s="2"/>
      <c r="D530" s="2"/>
      <c r="E530" s="36"/>
      <c r="F530" s="3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</row>
    <row r="531" spans="2:46" ht="15.75" customHeight="1" x14ac:dyDescent="0.2">
      <c r="B531" s="2"/>
      <c r="C531" s="2"/>
      <c r="D531" s="2"/>
      <c r="E531" s="36"/>
      <c r="F531" s="3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</row>
    <row r="532" spans="2:46" ht="15.75" customHeight="1" x14ac:dyDescent="0.2">
      <c r="B532" s="2"/>
      <c r="C532" s="2"/>
      <c r="D532" s="2"/>
      <c r="E532" s="36"/>
      <c r="F532" s="3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</row>
    <row r="533" spans="2:46" ht="15.75" customHeight="1" x14ac:dyDescent="0.2">
      <c r="B533" s="2"/>
      <c r="C533" s="2"/>
      <c r="D533" s="2"/>
      <c r="E533" s="36"/>
      <c r="F533" s="3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</row>
    <row r="534" spans="2:46" ht="15.75" customHeight="1" x14ac:dyDescent="0.2">
      <c r="B534" s="2"/>
      <c r="C534" s="2"/>
      <c r="D534" s="2"/>
      <c r="E534" s="36"/>
      <c r="F534" s="3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</row>
    <row r="535" spans="2:46" ht="15.75" customHeight="1" x14ac:dyDescent="0.2">
      <c r="B535" s="2"/>
      <c r="C535" s="2"/>
      <c r="D535" s="2"/>
      <c r="E535" s="36"/>
      <c r="F535" s="3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</row>
    <row r="536" spans="2:46" ht="15.75" customHeight="1" x14ac:dyDescent="0.2">
      <c r="B536" s="2"/>
      <c r="C536" s="2"/>
      <c r="D536" s="2"/>
      <c r="E536" s="36"/>
      <c r="F536" s="3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</row>
    <row r="537" spans="2:46" ht="15.75" customHeight="1" x14ac:dyDescent="0.2">
      <c r="B537" s="2"/>
      <c r="C537" s="2"/>
      <c r="D537" s="2"/>
      <c r="E537" s="36"/>
      <c r="F537" s="3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</row>
    <row r="538" spans="2:46" ht="15.75" customHeight="1" x14ac:dyDescent="0.2">
      <c r="B538" s="2"/>
      <c r="C538" s="2"/>
      <c r="D538" s="2"/>
      <c r="E538" s="36"/>
      <c r="F538" s="3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</row>
    <row r="539" spans="2:46" ht="15.75" customHeight="1" x14ac:dyDescent="0.2">
      <c r="B539" s="2"/>
      <c r="C539" s="2"/>
      <c r="D539" s="2"/>
      <c r="E539" s="36"/>
      <c r="F539" s="3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</row>
    <row r="540" spans="2:46" ht="15.75" customHeight="1" x14ac:dyDescent="0.2">
      <c r="B540" s="2"/>
      <c r="C540" s="2"/>
      <c r="D540" s="2"/>
      <c r="E540" s="36"/>
      <c r="F540" s="3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</row>
    <row r="541" spans="2:46" ht="15.75" customHeight="1" x14ac:dyDescent="0.2">
      <c r="B541" s="2"/>
      <c r="C541" s="2"/>
      <c r="D541" s="2"/>
      <c r="E541" s="36"/>
      <c r="F541" s="3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</row>
    <row r="542" spans="2:46" ht="15.75" customHeight="1" x14ac:dyDescent="0.2">
      <c r="B542" s="2"/>
      <c r="C542" s="2"/>
      <c r="D542" s="2"/>
      <c r="E542" s="36"/>
      <c r="F542" s="3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</row>
    <row r="543" spans="2:46" ht="15.75" customHeight="1" x14ac:dyDescent="0.2">
      <c r="B543" s="2"/>
      <c r="C543" s="2"/>
      <c r="D543" s="2"/>
      <c r="E543" s="36"/>
      <c r="F543" s="3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</row>
    <row r="544" spans="2:46" ht="15.75" customHeight="1" x14ac:dyDescent="0.2">
      <c r="B544" s="2"/>
      <c r="C544" s="2"/>
      <c r="D544" s="2"/>
      <c r="E544" s="36"/>
      <c r="F544" s="3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</row>
    <row r="545" spans="2:46" ht="15.75" customHeight="1" x14ac:dyDescent="0.2">
      <c r="B545" s="2"/>
      <c r="C545" s="2"/>
      <c r="D545" s="2"/>
      <c r="E545" s="36"/>
      <c r="F545" s="3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</row>
    <row r="546" spans="2:46" ht="15.75" customHeight="1" x14ac:dyDescent="0.2">
      <c r="B546" s="2"/>
      <c r="C546" s="2"/>
      <c r="D546" s="2"/>
      <c r="E546" s="36"/>
      <c r="F546" s="3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</row>
    <row r="547" spans="2:46" ht="15.75" customHeight="1" x14ac:dyDescent="0.2">
      <c r="B547" s="2"/>
      <c r="C547" s="2"/>
      <c r="D547" s="2"/>
      <c r="E547" s="36"/>
      <c r="F547" s="3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</row>
    <row r="548" spans="2:46" ht="15.75" customHeight="1" x14ac:dyDescent="0.2">
      <c r="B548" s="2"/>
      <c r="C548" s="2"/>
      <c r="D548" s="2"/>
      <c r="E548" s="36"/>
      <c r="F548" s="3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</row>
    <row r="549" spans="2:46" ht="15.75" customHeight="1" x14ac:dyDescent="0.2">
      <c r="B549" s="2"/>
      <c r="C549" s="2"/>
      <c r="D549" s="2"/>
      <c r="E549" s="36"/>
      <c r="F549" s="3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</row>
    <row r="550" spans="2:46" ht="15.75" customHeight="1" x14ac:dyDescent="0.2">
      <c r="B550" s="2"/>
      <c r="C550" s="2"/>
      <c r="D550" s="2"/>
      <c r="E550" s="36"/>
      <c r="F550" s="3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</row>
    <row r="551" spans="2:46" ht="15.75" customHeight="1" x14ac:dyDescent="0.2">
      <c r="B551" s="2"/>
      <c r="C551" s="2"/>
      <c r="D551" s="2"/>
      <c r="E551" s="36"/>
      <c r="F551" s="3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</row>
    <row r="552" spans="2:46" ht="15.75" customHeight="1" x14ac:dyDescent="0.2">
      <c r="B552" s="2"/>
      <c r="C552" s="2"/>
      <c r="D552" s="2"/>
      <c r="E552" s="36"/>
      <c r="F552" s="3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</row>
    <row r="553" spans="2:46" ht="15.75" customHeight="1" x14ac:dyDescent="0.2">
      <c r="B553" s="2"/>
      <c r="C553" s="2"/>
      <c r="D553" s="2"/>
      <c r="E553" s="36"/>
      <c r="F553" s="3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</row>
    <row r="554" spans="2:46" ht="15.75" customHeight="1" x14ac:dyDescent="0.2">
      <c r="B554" s="2"/>
      <c r="C554" s="2"/>
      <c r="D554" s="2"/>
      <c r="E554" s="36"/>
      <c r="F554" s="3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</row>
    <row r="555" spans="2:46" ht="15.75" customHeight="1" x14ac:dyDescent="0.2">
      <c r="B555" s="2"/>
      <c r="C555" s="2"/>
      <c r="D555" s="2"/>
      <c r="E555" s="36"/>
      <c r="F555" s="3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</row>
    <row r="556" spans="2:46" ht="15.75" customHeight="1" x14ac:dyDescent="0.2">
      <c r="B556" s="2"/>
      <c r="C556" s="2"/>
      <c r="D556" s="2"/>
      <c r="E556" s="36"/>
      <c r="F556" s="3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</row>
    <row r="557" spans="2:46" ht="15.75" customHeight="1" x14ac:dyDescent="0.2">
      <c r="B557" s="2"/>
      <c r="C557" s="2"/>
      <c r="D557" s="2"/>
      <c r="E557" s="36"/>
      <c r="F557" s="3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</row>
    <row r="558" spans="2:46" ht="15.75" customHeight="1" x14ac:dyDescent="0.2">
      <c r="B558" s="2"/>
      <c r="C558" s="2"/>
      <c r="D558" s="2"/>
      <c r="E558" s="36"/>
      <c r="F558" s="3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</row>
    <row r="559" spans="2:46" ht="15.75" customHeight="1" x14ac:dyDescent="0.2">
      <c r="B559" s="2"/>
      <c r="C559" s="2"/>
      <c r="D559" s="2"/>
      <c r="E559" s="36"/>
      <c r="F559" s="3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</row>
    <row r="560" spans="2:46" ht="15.75" customHeight="1" x14ac:dyDescent="0.2">
      <c r="B560" s="2"/>
      <c r="C560" s="2"/>
      <c r="D560" s="2"/>
      <c r="E560" s="36"/>
      <c r="F560" s="3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</row>
    <row r="561" spans="2:46" ht="15.75" customHeight="1" x14ac:dyDescent="0.2">
      <c r="B561" s="2"/>
      <c r="C561" s="2"/>
      <c r="D561" s="2"/>
      <c r="E561" s="36"/>
      <c r="F561" s="3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</row>
    <row r="562" spans="2:46" ht="15.75" customHeight="1" x14ac:dyDescent="0.2">
      <c r="B562" s="2"/>
      <c r="C562" s="2"/>
      <c r="D562" s="2"/>
      <c r="E562" s="36"/>
      <c r="F562" s="3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</row>
    <row r="563" spans="2:46" ht="15.75" customHeight="1" x14ac:dyDescent="0.2">
      <c r="B563" s="2"/>
      <c r="C563" s="2"/>
      <c r="D563" s="2"/>
      <c r="E563" s="36"/>
      <c r="F563" s="3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</row>
    <row r="564" spans="2:46" ht="15.75" customHeight="1" x14ac:dyDescent="0.2">
      <c r="B564" s="2"/>
      <c r="C564" s="2"/>
      <c r="D564" s="2"/>
      <c r="E564" s="36"/>
      <c r="F564" s="3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</row>
    <row r="565" spans="2:46" ht="15.75" customHeight="1" x14ac:dyDescent="0.2">
      <c r="B565" s="2"/>
      <c r="C565" s="2"/>
      <c r="D565" s="2"/>
      <c r="E565" s="36"/>
      <c r="F565" s="3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</row>
    <row r="566" spans="2:46" ht="15.75" customHeight="1" x14ac:dyDescent="0.2">
      <c r="B566" s="2"/>
      <c r="C566" s="2"/>
      <c r="D566" s="2"/>
      <c r="E566" s="36"/>
      <c r="F566" s="3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</row>
    <row r="567" spans="2:46" ht="15.75" customHeight="1" x14ac:dyDescent="0.2">
      <c r="B567" s="2"/>
      <c r="C567" s="2"/>
      <c r="D567" s="2"/>
      <c r="E567" s="36"/>
      <c r="F567" s="3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</row>
    <row r="568" spans="2:46" ht="15.75" customHeight="1" x14ac:dyDescent="0.2">
      <c r="B568" s="2"/>
      <c r="C568" s="2"/>
      <c r="D568" s="2"/>
      <c r="E568" s="36"/>
      <c r="F568" s="3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</row>
    <row r="569" spans="2:46" ht="15.75" customHeight="1" x14ac:dyDescent="0.2">
      <c r="B569" s="2"/>
      <c r="C569" s="2"/>
      <c r="D569" s="2"/>
      <c r="E569" s="36"/>
      <c r="F569" s="3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</row>
    <row r="570" spans="2:46" ht="15.75" customHeight="1" x14ac:dyDescent="0.2">
      <c r="B570" s="2"/>
      <c r="C570" s="2"/>
      <c r="D570" s="2"/>
      <c r="E570" s="36"/>
      <c r="F570" s="3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</row>
    <row r="571" spans="2:46" ht="15.75" customHeight="1" x14ac:dyDescent="0.2">
      <c r="B571" s="2"/>
      <c r="C571" s="2"/>
      <c r="D571" s="2"/>
      <c r="E571" s="36"/>
      <c r="F571" s="3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</row>
    <row r="572" spans="2:46" ht="15.75" customHeight="1" x14ac:dyDescent="0.2">
      <c r="B572" s="2"/>
      <c r="C572" s="2"/>
      <c r="D572" s="2"/>
      <c r="E572" s="36"/>
      <c r="F572" s="3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</row>
    <row r="573" spans="2:46" ht="15.75" customHeight="1" x14ac:dyDescent="0.2">
      <c r="B573" s="2"/>
      <c r="C573" s="2"/>
      <c r="D573" s="2"/>
      <c r="E573" s="36"/>
      <c r="F573" s="3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</row>
    <row r="574" spans="2:46" ht="15.75" customHeight="1" x14ac:dyDescent="0.2">
      <c r="B574" s="2"/>
      <c r="C574" s="2"/>
      <c r="D574" s="2"/>
      <c r="E574" s="36"/>
      <c r="F574" s="3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</row>
    <row r="575" spans="2:46" ht="15.75" customHeight="1" x14ac:dyDescent="0.2">
      <c r="B575" s="2"/>
      <c r="C575" s="2"/>
      <c r="D575" s="2"/>
      <c r="E575" s="36"/>
      <c r="F575" s="3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</row>
    <row r="576" spans="2:46" ht="15.75" customHeight="1" x14ac:dyDescent="0.2">
      <c r="B576" s="2"/>
      <c r="C576" s="2"/>
      <c r="D576" s="2"/>
      <c r="E576" s="36"/>
      <c r="F576" s="3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</row>
    <row r="577" spans="2:46" ht="15.75" customHeight="1" x14ac:dyDescent="0.2">
      <c r="B577" s="2"/>
      <c r="C577" s="2"/>
      <c r="D577" s="2"/>
      <c r="E577" s="36"/>
      <c r="F577" s="3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</row>
    <row r="578" spans="2:46" ht="15.75" customHeight="1" x14ac:dyDescent="0.2">
      <c r="B578" s="2"/>
      <c r="C578" s="2"/>
      <c r="D578" s="2"/>
      <c r="E578" s="36"/>
      <c r="F578" s="3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</row>
    <row r="579" spans="2:46" ht="15.75" customHeight="1" x14ac:dyDescent="0.2">
      <c r="B579" s="2"/>
      <c r="C579" s="2"/>
      <c r="D579" s="2"/>
      <c r="E579" s="36"/>
      <c r="F579" s="3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</row>
    <row r="580" spans="2:46" ht="15.75" customHeight="1" x14ac:dyDescent="0.2">
      <c r="B580" s="2"/>
      <c r="C580" s="2"/>
      <c r="D580" s="2"/>
      <c r="E580" s="36"/>
      <c r="F580" s="3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</row>
    <row r="581" spans="2:46" ht="15.75" customHeight="1" x14ac:dyDescent="0.2">
      <c r="B581" s="2"/>
      <c r="C581" s="2"/>
      <c r="D581" s="2"/>
      <c r="E581" s="36"/>
      <c r="F581" s="3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</row>
    <row r="582" spans="2:46" ht="15.75" customHeight="1" x14ac:dyDescent="0.2">
      <c r="B582" s="2"/>
      <c r="C582" s="2"/>
      <c r="D582" s="2"/>
      <c r="E582" s="36"/>
      <c r="F582" s="3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</row>
    <row r="583" spans="2:46" ht="15.75" customHeight="1" x14ac:dyDescent="0.2">
      <c r="B583" s="2"/>
      <c r="C583" s="2"/>
      <c r="D583" s="2"/>
      <c r="E583" s="36"/>
      <c r="F583" s="3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</row>
    <row r="584" spans="2:46" ht="15.75" customHeight="1" x14ac:dyDescent="0.2">
      <c r="B584" s="2"/>
      <c r="C584" s="2"/>
      <c r="D584" s="2"/>
      <c r="E584" s="36"/>
      <c r="F584" s="3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</row>
    <row r="585" spans="2:46" ht="15.75" customHeight="1" x14ac:dyDescent="0.2">
      <c r="B585" s="2"/>
      <c r="C585" s="2"/>
      <c r="D585" s="2"/>
      <c r="E585" s="36"/>
      <c r="F585" s="3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</row>
    <row r="586" spans="2:46" ht="15.75" customHeight="1" x14ac:dyDescent="0.2">
      <c r="B586" s="2"/>
      <c r="C586" s="2"/>
      <c r="D586" s="2"/>
      <c r="E586" s="36"/>
      <c r="F586" s="3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</row>
    <row r="587" spans="2:46" ht="15.75" customHeight="1" x14ac:dyDescent="0.2">
      <c r="B587" s="2"/>
      <c r="C587" s="2"/>
      <c r="D587" s="2"/>
      <c r="E587" s="36"/>
      <c r="F587" s="3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</row>
    <row r="588" spans="2:46" ht="15.75" customHeight="1" x14ac:dyDescent="0.2">
      <c r="B588" s="2"/>
      <c r="C588" s="2"/>
      <c r="D588" s="2"/>
      <c r="E588" s="36"/>
      <c r="F588" s="3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</row>
    <row r="589" spans="2:46" ht="15.75" customHeight="1" x14ac:dyDescent="0.2">
      <c r="B589" s="2"/>
      <c r="C589" s="2"/>
      <c r="D589" s="2"/>
      <c r="E589" s="36"/>
      <c r="F589" s="3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</row>
    <row r="590" spans="2:46" ht="15.75" customHeight="1" x14ac:dyDescent="0.2">
      <c r="B590" s="2"/>
      <c r="C590" s="2"/>
      <c r="D590" s="2"/>
      <c r="E590" s="36"/>
      <c r="F590" s="3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</row>
    <row r="591" spans="2:46" ht="15.75" customHeight="1" x14ac:dyDescent="0.2">
      <c r="B591" s="2"/>
      <c r="C591" s="2"/>
      <c r="D591" s="2"/>
      <c r="E591" s="36"/>
      <c r="F591" s="3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</row>
    <row r="592" spans="2:46" ht="15.75" customHeight="1" x14ac:dyDescent="0.2">
      <c r="B592" s="2"/>
      <c r="C592" s="2"/>
      <c r="D592" s="2"/>
      <c r="E592" s="36"/>
      <c r="F592" s="36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</row>
    <row r="593" spans="2:46" ht="15.75" customHeight="1" x14ac:dyDescent="0.2">
      <c r="B593" s="2"/>
      <c r="C593" s="2"/>
      <c r="D593" s="2"/>
      <c r="E593" s="36"/>
      <c r="F593" s="36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</row>
    <row r="594" spans="2:46" ht="15.75" customHeight="1" x14ac:dyDescent="0.2">
      <c r="B594" s="2"/>
      <c r="C594" s="2"/>
      <c r="D594" s="2"/>
      <c r="E594" s="36"/>
      <c r="F594" s="36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</row>
    <row r="595" spans="2:46" ht="15.75" customHeight="1" x14ac:dyDescent="0.2">
      <c r="B595" s="2"/>
      <c r="C595" s="2"/>
      <c r="D595" s="2"/>
      <c r="E595" s="36"/>
      <c r="F595" s="36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</row>
    <row r="596" spans="2:46" ht="15.75" customHeight="1" x14ac:dyDescent="0.2">
      <c r="B596" s="2"/>
      <c r="C596" s="2"/>
      <c r="D596" s="2"/>
      <c r="E596" s="36"/>
      <c r="F596" s="36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</row>
    <row r="597" spans="2:46" ht="15.75" customHeight="1" x14ac:dyDescent="0.2">
      <c r="B597" s="2"/>
      <c r="C597" s="2"/>
      <c r="D597" s="2"/>
      <c r="E597" s="36"/>
      <c r="F597" s="36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</row>
    <row r="598" spans="2:46" ht="15.75" customHeight="1" x14ac:dyDescent="0.2">
      <c r="B598" s="2"/>
      <c r="C598" s="2"/>
      <c r="D598" s="2"/>
      <c r="E598" s="36"/>
      <c r="F598" s="36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</row>
    <row r="599" spans="2:46" ht="15.75" customHeight="1" x14ac:dyDescent="0.2">
      <c r="B599" s="2"/>
      <c r="C599" s="2"/>
      <c r="D599" s="2"/>
      <c r="E599" s="36"/>
      <c r="F599" s="36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</row>
    <row r="600" spans="2:46" ht="15.75" customHeight="1" x14ac:dyDescent="0.2">
      <c r="B600" s="2"/>
      <c r="C600" s="2"/>
      <c r="D600" s="2"/>
      <c r="E600" s="36"/>
      <c r="F600" s="36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</row>
    <row r="601" spans="2:46" ht="15.75" customHeight="1" x14ac:dyDescent="0.2">
      <c r="B601" s="2"/>
      <c r="C601" s="2"/>
      <c r="D601" s="2"/>
      <c r="E601" s="36"/>
      <c r="F601" s="36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</row>
    <row r="602" spans="2:46" ht="15.75" customHeight="1" x14ac:dyDescent="0.2">
      <c r="B602" s="2"/>
      <c r="C602" s="2"/>
      <c r="D602" s="2"/>
      <c r="E602" s="36"/>
      <c r="F602" s="36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</row>
    <row r="603" spans="2:46" ht="15.75" customHeight="1" x14ac:dyDescent="0.2">
      <c r="B603" s="2"/>
      <c r="C603" s="2"/>
      <c r="D603" s="2"/>
      <c r="E603" s="36"/>
      <c r="F603" s="36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</row>
    <row r="604" spans="2:46" ht="15.75" customHeight="1" x14ac:dyDescent="0.2">
      <c r="B604" s="2"/>
      <c r="C604" s="2"/>
      <c r="D604" s="2"/>
      <c r="E604" s="36"/>
      <c r="F604" s="36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</row>
    <row r="605" spans="2:46" ht="15.75" customHeight="1" x14ac:dyDescent="0.2">
      <c r="B605" s="2"/>
      <c r="C605" s="2"/>
      <c r="D605" s="2"/>
      <c r="E605" s="36"/>
      <c r="F605" s="36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</row>
    <row r="606" spans="2:46" ht="15.75" customHeight="1" x14ac:dyDescent="0.2">
      <c r="B606" s="2"/>
      <c r="C606" s="2"/>
      <c r="D606" s="2"/>
      <c r="E606" s="36"/>
      <c r="F606" s="36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</row>
    <row r="607" spans="2:46" ht="15.75" customHeight="1" x14ac:dyDescent="0.2">
      <c r="B607" s="2"/>
      <c r="C607" s="2"/>
      <c r="D607" s="2"/>
      <c r="E607" s="36"/>
      <c r="F607" s="36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</row>
    <row r="608" spans="2:46" ht="15.75" customHeight="1" x14ac:dyDescent="0.2">
      <c r="B608" s="2"/>
      <c r="C608" s="2"/>
      <c r="D608" s="2"/>
      <c r="E608" s="36"/>
      <c r="F608" s="36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</row>
    <row r="609" spans="2:46" ht="15.75" customHeight="1" x14ac:dyDescent="0.2">
      <c r="B609" s="2"/>
      <c r="C609" s="2"/>
      <c r="D609" s="2"/>
      <c r="E609" s="36"/>
      <c r="F609" s="36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</row>
    <row r="610" spans="2:46" ht="15.75" customHeight="1" x14ac:dyDescent="0.2">
      <c r="B610" s="2"/>
      <c r="C610" s="2"/>
      <c r="D610" s="2"/>
      <c r="E610" s="36"/>
      <c r="F610" s="36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</row>
    <row r="611" spans="2:46" ht="15.75" customHeight="1" x14ac:dyDescent="0.2">
      <c r="B611" s="2"/>
      <c r="C611" s="2"/>
      <c r="D611" s="2"/>
      <c r="E611" s="36"/>
      <c r="F611" s="36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</row>
    <row r="612" spans="2:46" ht="15.75" customHeight="1" x14ac:dyDescent="0.2">
      <c r="B612" s="2"/>
      <c r="C612" s="2"/>
      <c r="D612" s="2"/>
      <c r="E612" s="36"/>
      <c r="F612" s="36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</row>
    <row r="613" spans="2:46" ht="15.75" customHeight="1" x14ac:dyDescent="0.2">
      <c r="B613" s="2"/>
      <c r="C613" s="2"/>
      <c r="D613" s="2"/>
      <c r="E613" s="36"/>
      <c r="F613" s="36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</row>
    <row r="614" spans="2:46" ht="15.75" customHeight="1" x14ac:dyDescent="0.2">
      <c r="B614" s="2"/>
      <c r="C614" s="2"/>
      <c r="D614" s="2"/>
      <c r="E614" s="36"/>
      <c r="F614" s="36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</row>
    <row r="615" spans="2:46" ht="15.75" customHeight="1" x14ac:dyDescent="0.2">
      <c r="B615" s="2"/>
      <c r="C615" s="2"/>
      <c r="D615" s="2"/>
      <c r="E615" s="36"/>
      <c r="F615" s="36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</row>
    <row r="616" spans="2:46" ht="15.75" customHeight="1" x14ac:dyDescent="0.2">
      <c r="B616" s="2"/>
      <c r="C616" s="2"/>
      <c r="D616" s="2"/>
      <c r="E616" s="36"/>
      <c r="F616" s="36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</row>
    <row r="617" spans="2:46" ht="15.75" customHeight="1" x14ac:dyDescent="0.2">
      <c r="B617" s="2"/>
      <c r="C617" s="2"/>
      <c r="D617" s="2"/>
      <c r="E617" s="36"/>
      <c r="F617" s="36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</row>
    <row r="618" spans="2:46" ht="15.75" customHeight="1" x14ac:dyDescent="0.2">
      <c r="B618" s="2"/>
      <c r="C618" s="2"/>
      <c r="D618" s="2"/>
      <c r="E618" s="36"/>
      <c r="F618" s="36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</row>
    <row r="619" spans="2:46" ht="15.75" customHeight="1" x14ac:dyDescent="0.2">
      <c r="B619" s="2"/>
      <c r="C619" s="2"/>
      <c r="D619" s="2"/>
      <c r="E619" s="36"/>
      <c r="F619" s="36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</row>
    <row r="620" spans="2:46" ht="15.75" customHeight="1" x14ac:dyDescent="0.2">
      <c r="B620" s="2"/>
      <c r="C620" s="2"/>
      <c r="D620" s="2"/>
      <c r="E620" s="36"/>
      <c r="F620" s="36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</row>
    <row r="621" spans="2:46" ht="15.75" customHeight="1" x14ac:dyDescent="0.2"/>
    <row r="622" spans="2:46" ht="15.75" customHeight="1" x14ac:dyDescent="0.2"/>
    <row r="623" spans="2:46" ht="15.75" customHeight="1" x14ac:dyDescent="0.2"/>
    <row r="624" spans="2:46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</sheetData>
  <mergeCells count="2">
    <mergeCell ref="B3:E3"/>
    <mergeCell ref="B4:E4"/>
  </mergeCells>
  <phoneticPr fontId="12" type="noConversion"/>
  <pageMargins left="0.51" right="0.15748031496062992" top="0.15748031496062992" bottom="0.15748031496062992" header="0.15748031496062992" footer="0.15748031496062992"/>
  <pageSetup paperSize="9" scale="8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7"/>
  <sheetViews>
    <sheetView topLeftCell="B1" zoomScale="150" zoomScaleNormal="150" workbookViewId="0">
      <selection activeCell="C4" sqref="C4:F4"/>
    </sheetView>
  </sheetViews>
  <sheetFormatPr defaultRowHeight="12.75" x14ac:dyDescent="0.2"/>
  <cols>
    <col min="1" max="1" width="8.140625" hidden="1" customWidth="1"/>
    <col min="2" max="2" width="6.28515625" style="2" customWidth="1"/>
    <col min="3" max="3" width="70.7109375" customWidth="1"/>
    <col min="4" max="4" width="13.7109375" customWidth="1"/>
    <col min="5" max="5" width="14.7109375" hidden="1" customWidth="1"/>
    <col min="6" max="7" width="13.28515625" style="41" customWidth="1"/>
    <col min="8" max="8" width="7" customWidth="1"/>
    <col min="9" max="9" width="14.7109375" customWidth="1"/>
  </cols>
  <sheetData>
    <row r="1" spans="2:29" ht="15" customHeight="1" x14ac:dyDescent="0.3">
      <c r="B1" s="59"/>
      <c r="C1" s="39"/>
      <c r="G1" s="60" t="s">
        <v>546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2:29" ht="15" customHeight="1" x14ac:dyDescent="0.3">
      <c r="B2" s="59"/>
      <c r="C2" s="39"/>
      <c r="G2" s="60" t="str">
        <f>'1.Bev-kiad.'!F2</f>
        <v>a 3/2021.(V.28.) önkormányzati rendelethez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2:29" ht="19.5" x14ac:dyDescent="0.35">
      <c r="B3" s="59"/>
      <c r="C3" s="614" t="s">
        <v>984</v>
      </c>
      <c r="D3" s="614"/>
      <c r="E3" s="614"/>
      <c r="F3" s="615"/>
      <c r="G3" s="48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2:29" ht="19.5" x14ac:dyDescent="0.35">
      <c r="B4" s="59"/>
      <c r="C4" s="614"/>
      <c r="D4" s="614"/>
      <c r="E4" s="614"/>
      <c r="F4" s="615"/>
      <c r="G4" s="48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2:29" ht="13.5" thickBot="1" x14ac:dyDescent="0.25">
      <c r="B5" s="59"/>
      <c r="C5" s="1"/>
      <c r="G5" s="60" t="s">
        <v>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2:29" ht="53.25" customHeight="1" thickBot="1" x14ac:dyDescent="0.25">
      <c r="B6" s="189" t="s">
        <v>99</v>
      </c>
      <c r="C6" s="181" t="s">
        <v>188</v>
      </c>
      <c r="D6" s="255" t="s">
        <v>410</v>
      </c>
      <c r="E6" s="255" t="str">
        <f>'1.Bev-kiad.'!D6</f>
        <v>Módosított előirányzat 2020.09.havi</v>
      </c>
      <c r="F6" s="255" t="str">
        <f>'1.Bev-kiad.'!E6</f>
        <v>Módosított előirányzat 2020.12.31</v>
      </c>
      <c r="G6" s="286" t="str">
        <f>'1.Bev-kiad.'!F6</f>
        <v>Teljesítés 2020.12.31</v>
      </c>
      <c r="H6" s="493" t="s">
        <v>736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2:29" ht="20.25" customHeight="1" x14ac:dyDescent="0.2">
      <c r="B7" s="190" t="s">
        <v>100</v>
      </c>
      <c r="C7" s="182" t="s">
        <v>345</v>
      </c>
      <c r="D7" s="238">
        <f>SUM(D8+D57+D71+D83)</f>
        <v>34586</v>
      </c>
      <c r="E7" s="238">
        <f>SUM(E8+E57+E71+E83)</f>
        <v>38580</v>
      </c>
      <c r="F7" s="238">
        <f>SUM(F8+F57+F71+F83)</f>
        <v>40661</v>
      </c>
      <c r="G7" s="238">
        <f>SUM(G8+G57+G71+G83)</f>
        <v>41537</v>
      </c>
      <c r="H7" s="494">
        <f t="shared" ref="H7:H70" si="0">(G7/F7)*100</f>
        <v>102.15439856373429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2:29" ht="18" customHeight="1" x14ac:dyDescent="0.25">
      <c r="B8" s="10" t="s">
        <v>101</v>
      </c>
      <c r="C8" s="183" t="s">
        <v>201</v>
      </c>
      <c r="D8" s="239">
        <f>SUM(D9+D44+D53+D54)</f>
        <v>25846</v>
      </c>
      <c r="E8" s="239">
        <f>SUM(E9+E44+E53+E54)</f>
        <v>29548</v>
      </c>
      <c r="F8" s="239">
        <f>SUM(F9+F44+F53+F54)</f>
        <v>31178</v>
      </c>
      <c r="G8" s="239">
        <f>SUM(G9+G44+G53+G54)</f>
        <v>31176</v>
      </c>
      <c r="H8" s="494">
        <f t="shared" si="0"/>
        <v>99.993585220347683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2:29" ht="13.5" customHeight="1" x14ac:dyDescent="0.25">
      <c r="B9" s="10"/>
      <c r="C9" s="257" t="s">
        <v>547</v>
      </c>
      <c r="D9" s="239">
        <f>SUM(D10+D23+D24+D42)</f>
        <v>23529</v>
      </c>
      <c r="E9" s="239">
        <f>SUM(E10+E23+E24+E42)</f>
        <v>24712</v>
      </c>
      <c r="F9" s="239">
        <f>SUM(F10+F23+F24+F42)</f>
        <v>24834</v>
      </c>
      <c r="G9" s="239">
        <f>SUM(G10+G23+G24+G42)</f>
        <v>24834</v>
      </c>
      <c r="H9" s="494">
        <f t="shared" si="0"/>
        <v>100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2:29" ht="13.5" customHeight="1" x14ac:dyDescent="0.2">
      <c r="B10" s="10" t="s">
        <v>190</v>
      </c>
      <c r="C10" s="18" t="s">
        <v>548</v>
      </c>
      <c r="D10" s="7">
        <f>SUM(D11+D22)</f>
        <v>10932</v>
      </c>
      <c r="E10" s="7">
        <f>SUM(E11+E22)</f>
        <v>10932</v>
      </c>
      <c r="F10" s="7">
        <f>SUM(F11+F22)</f>
        <v>10888</v>
      </c>
      <c r="G10" s="7">
        <f>SUM(G11+G22)</f>
        <v>10888</v>
      </c>
      <c r="H10" s="494">
        <f t="shared" si="0"/>
        <v>100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2:29" ht="13.5" customHeight="1" x14ac:dyDescent="0.2">
      <c r="B11" s="10"/>
      <c r="C11" s="10" t="s">
        <v>549</v>
      </c>
      <c r="D11" s="17">
        <f>SUM(D12+D13+D18+D19+D20+D21)</f>
        <v>9023</v>
      </c>
      <c r="E11" s="17">
        <f>SUM(E12+E13+E18+E19+E20+E21)</f>
        <v>9023</v>
      </c>
      <c r="F11" s="17">
        <f>SUM(F12+F13+F18+F19+F20+F21)</f>
        <v>8979</v>
      </c>
      <c r="G11" s="17">
        <f>SUM(G12+G13+G18+G19+G20+G21)</f>
        <v>8979</v>
      </c>
      <c r="H11" s="494">
        <f t="shared" si="0"/>
        <v>100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2:29" ht="13.5" customHeight="1" x14ac:dyDescent="0.2">
      <c r="B12" s="10"/>
      <c r="C12" s="390" t="s">
        <v>550</v>
      </c>
      <c r="D12" s="391">
        <v>0</v>
      </c>
      <c r="E12" s="391">
        <v>0</v>
      </c>
      <c r="F12" s="391">
        <v>0</v>
      </c>
      <c r="G12" s="391">
        <v>0</v>
      </c>
      <c r="H12" s="494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2:29" ht="13.5" customHeight="1" x14ac:dyDescent="0.2">
      <c r="B13" s="10"/>
      <c r="C13" s="390" t="s">
        <v>551</v>
      </c>
      <c r="D13" s="276">
        <f>SUM(D14:D17)</f>
        <v>4279</v>
      </c>
      <c r="E13" s="276">
        <f>SUM(E14:E17)</f>
        <v>4279</v>
      </c>
      <c r="F13" s="276">
        <f>SUM(F14:F17)</f>
        <v>4279</v>
      </c>
      <c r="G13" s="276">
        <f>SUM(G14:G17)</f>
        <v>4279</v>
      </c>
      <c r="H13" s="494">
        <f t="shared" si="0"/>
        <v>100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2:29" ht="13.5" customHeight="1" x14ac:dyDescent="0.2">
      <c r="B14" s="10"/>
      <c r="C14" s="390" t="s">
        <v>552</v>
      </c>
      <c r="D14" s="277">
        <v>1631</v>
      </c>
      <c r="E14" s="277">
        <v>1631</v>
      </c>
      <c r="F14" s="277">
        <v>1631</v>
      </c>
      <c r="G14" s="277">
        <v>1631</v>
      </c>
      <c r="H14" s="494">
        <f t="shared" si="0"/>
        <v>100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2:29" ht="13.5" customHeight="1" x14ac:dyDescent="0.2">
      <c r="B15" s="10"/>
      <c r="C15" s="390" t="s">
        <v>553</v>
      </c>
      <c r="D15" s="277">
        <v>1536</v>
      </c>
      <c r="E15" s="277">
        <v>1536</v>
      </c>
      <c r="F15" s="277">
        <v>1536</v>
      </c>
      <c r="G15" s="277">
        <v>1536</v>
      </c>
      <c r="H15" s="494">
        <f t="shared" si="0"/>
        <v>100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2:29" ht="13.5" customHeight="1" x14ac:dyDescent="0.2">
      <c r="B16" s="10"/>
      <c r="C16" s="390" t="s">
        <v>554</v>
      </c>
      <c r="D16" s="277">
        <v>100</v>
      </c>
      <c r="E16" s="277">
        <v>100</v>
      </c>
      <c r="F16" s="277">
        <v>100</v>
      </c>
      <c r="G16" s="277">
        <v>100</v>
      </c>
      <c r="H16" s="494">
        <f t="shared" si="0"/>
        <v>100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2:29" ht="13.5" customHeight="1" x14ac:dyDescent="0.2">
      <c r="B17" s="10"/>
      <c r="C17" s="390" t="s">
        <v>555</v>
      </c>
      <c r="D17" s="277">
        <v>1012</v>
      </c>
      <c r="E17" s="277">
        <v>1012</v>
      </c>
      <c r="F17" s="277">
        <v>1012</v>
      </c>
      <c r="G17" s="277">
        <v>1012</v>
      </c>
      <c r="H17" s="494">
        <f t="shared" si="0"/>
        <v>100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2:29" ht="13.5" customHeight="1" x14ac:dyDescent="0.2">
      <c r="B18" s="10"/>
      <c r="C18" s="390" t="s">
        <v>556</v>
      </c>
      <c r="D18" s="276">
        <v>4664</v>
      </c>
      <c r="E18" s="276">
        <v>4664</v>
      </c>
      <c r="F18" s="276">
        <v>4664</v>
      </c>
      <c r="G18" s="276">
        <v>4664</v>
      </c>
      <c r="H18" s="494">
        <f t="shared" si="0"/>
        <v>100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2:29" ht="13.5" customHeight="1" x14ac:dyDescent="0.2">
      <c r="B19" s="10"/>
      <c r="C19" s="390" t="s">
        <v>557</v>
      </c>
      <c r="D19" s="276">
        <v>13</v>
      </c>
      <c r="E19" s="276">
        <v>13</v>
      </c>
      <c r="F19" s="276">
        <v>13</v>
      </c>
      <c r="G19" s="276">
        <v>13</v>
      </c>
      <c r="H19" s="494">
        <f t="shared" si="0"/>
        <v>100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2:29" ht="13.5" customHeight="1" x14ac:dyDescent="0.2">
      <c r="B20" s="10"/>
      <c r="C20" s="390" t="s">
        <v>558</v>
      </c>
      <c r="D20" s="276">
        <v>67</v>
      </c>
      <c r="E20" s="276">
        <f>67</f>
        <v>67</v>
      </c>
      <c r="F20" s="276">
        <f>67-44</f>
        <v>23</v>
      </c>
      <c r="G20" s="276">
        <v>23</v>
      </c>
      <c r="H20" s="494">
        <f t="shared" si="0"/>
        <v>100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2:29" ht="13.5" customHeight="1" x14ac:dyDescent="0.2">
      <c r="B21" s="10"/>
      <c r="C21" s="390" t="s">
        <v>559</v>
      </c>
      <c r="D21" s="276">
        <v>0</v>
      </c>
      <c r="E21" s="276">
        <v>0</v>
      </c>
      <c r="F21" s="276">
        <v>0</v>
      </c>
      <c r="G21" s="276">
        <v>0</v>
      </c>
      <c r="H21" s="494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2:29" ht="13.5" customHeight="1" x14ac:dyDescent="0.2">
      <c r="B22" s="10"/>
      <c r="C22" s="10" t="s">
        <v>560</v>
      </c>
      <c r="D22" s="16">
        <v>1909</v>
      </c>
      <c r="E22" s="16">
        <v>1909</v>
      </c>
      <c r="F22" s="16">
        <v>1909</v>
      </c>
      <c r="G22" s="16">
        <v>1909</v>
      </c>
      <c r="H22" s="494">
        <f t="shared" si="0"/>
        <v>100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2:29" ht="13.5" customHeight="1" x14ac:dyDescent="0.2">
      <c r="B23" s="10" t="s">
        <v>191</v>
      </c>
      <c r="C23" s="393" t="s">
        <v>561</v>
      </c>
      <c r="D23" s="15">
        <v>0</v>
      </c>
      <c r="E23" s="15">
        <v>0</v>
      </c>
      <c r="F23" s="15">
        <v>0</v>
      </c>
      <c r="G23" s="15">
        <v>0</v>
      </c>
      <c r="H23" s="494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2:29" ht="13.5" customHeight="1" x14ac:dyDescent="0.2">
      <c r="B24" s="10" t="s">
        <v>192</v>
      </c>
      <c r="C24" s="393" t="s">
        <v>562</v>
      </c>
      <c r="D24" s="15">
        <f>SUM(D25+D26+D34+D35+D36)</f>
        <v>10797</v>
      </c>
      <c r="E24" s="15">
        <f>SUM(E25+E26+E34+E35+E36+E41)</f>
        <v>11780</v>
      </c>
      <c r="F24" s="15">
        <f>SUM(F25+F26+F34+F35+F36+F41)</f>
        <v>11946</v>
      </c>
      <c r="G24" s="15">
        <f>SUM(G25+G26+G34+G35+G36+G41)</f>
        <v>11946</v>
      </c>
      <c r="H24" s="494">
        <f t="shared" si="0"/>
        <v>100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2:29" ht="13.5" customHeight="1" x14ac:dyDescent="0.2">
      <c r="B25" s="10"/>
      <c r="C25" s="10" t="s">
        <v>563</v>
      </c>
      <c r="D25" s="16">
        <v>5539</v>
      </c>
      <c r="E25" s="16">
        <v>5539</v>
      </c>
      <c r="F25" s="16">
        <v>5539</v>
      </c>
      <c r="G25" s="16">
        <v>5539</v>
      </c>
      <c r="H25" s="494">
        <f t="shared" si="0"/>
        <v>100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ht="13.5" customHeight="1" x14ac:dyDescent="0.2">
      <c r="B26" s="10"/>
      <c r="C26" s="10" t="s">
        <v>564</v>
      </c>
      <c r="D26" s="16">
        <f>SUM(D27:D30)+D33</f>
        <v>4969</v>
      </c>
      <c r="E26" s="16">
        <f>SUM(E27:E30)+E33</f>
        <v>5209</v>
      </c>
      <c r="F26" s="16">
        <f>SUM(F27:F30)+F33</f>
        <v>5274</v>
      </c>
      <c r="G26" s="16">
        <f>SUM(G27:G30)+G33</f>
        <v>5274</v>
      </c>
      <c r="H26" s="494">
        <f t="shared" si="0"/>
        <v>100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ht="13.5" customHeight="1" x14ac:dyDescent="0.2">
      <c r="B27" s="10"/>
      <c r="C27" s="390" t="s">
        <v>565</v>
      </c>
      <c r="D27" s="276">
        <v>0</v>
      </c>
      <c r="E27" s="276">
        <v>0</v>
      </c>
      <c r="F27" s="276">
        <v>0</v>
      </c>
      <c r="G27" s="276">
        <v>0</v>
      </c>
      <c r="H27" s="494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ht="13.5" customHeight="1" x14ac:dyDescent="0.2">
      <c r="B28" s="10"/>
      <c r="C28" s="390" t="s">
        <v>566</v>
      </c>
      <c r="D28" s="276">
        <v>0</v>
      </c>
      <c r="E28" s="276">
        <v>0</v>
      </c>
      <c r="F28" s="276">
        <v>0</v>
      </c>
      <c r="G28" s="276">
        <v>0</v>
      </c>
      <c r="H28" s="494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2:29" ht="13.5" customHeight="1" x14ac:dyDescent="0.2">
      <c r="B29" s="10"/>
      <c r="C29" s="390" t="s">
        <v>567</v>
      </c>
      <c r="D29" s="276">
        <v>719</v>
      </c>
      <c r="E29" s="276">
        <f>719+11</f>
        <v>730</v>
      </c>
      <c r="F29" s="276">
        <f>719+11+65</f>
        <v>795</v>
      </c>
      <c r="G29" s="276">
        <v>795</v>
      </c>
      <c r="H29" s="494">
        <f t="shared" si="0"/>
        <v>100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2:29" ht="13.5" customHeight="1" x14ac:dyDescent="0.2">
      <c r="B30" s="10"/>
      <c r="C30" s="390" t="s">
        <v>568</v>
      </c>
      <c r="D30" s="276">
        <f>SUM(D31:D32)</f>
        <v>0</v>
      </c>
      <c r="E30" s="276">
        <f>SUM(E31:E32)</f>
        <v>0</v>
      </c>
      <c r="F30" s="276">
        <f>SUM(F31:F32)</f>
        <v>0</v>
      </c>
      <c r="G30" s="276">
        <f>SUM(G31:G32)</f>
        <v>0</v>
      </c>
      <c r="H30" s="494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2:29" ht="13.5" customHeight="1" x14ac:dyDescent="0.2">
      <c r="B31" s="10"/>
      <c r="C31" s="390" t="s">
        <v>569</v>
      </c>
      <c r="D31" s="392">
        <v>0</v>
      </c>
      <c r="E31" s="277">
        <v>0</v>
      </c>
      <c r="F31" s="277">
        <v>0</v>
      </c>
      <c r="G31" s="277">
        <v>0</v>
      </c>
      <c r="H31" s="494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2:29" ht="13.5" customHeight="1" x14ac:dyDescent="0.2">
      <c r="B32" s="10"/>
      <c r="C32" s="390" t="s">
        <v>570</v>
      </c>
      <c r="D32" s="392">
        <v>0</v>
      </c>
      <c r="E32" s="277">
        <v>0</v>
      </c>
      <c r="F32" s="277">
        <v>0</v>
      </c>
      <c r="G32" s="277">
        <v>0</v>
      </c>
      <c r="H32" s="494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2:29" ht="13.5" customHeight="1" x14ac:dyDescent="0.2">
      <c r="B33" s="10"/>
      <c r="C33" s="390" t="s">
        <v>571</v>
      </c>
      <c r="D33" s="391">
        <v>4250</v>
      </c>
      <c r="E33" s="276">
        <f>4250+229</f>
        <v>4479</v>
      </c>
      <c r="F33" s="276">
        <f>4250+229</f>
        <v>4479</v>
      </c>
      <c r="G33" s="276">
        <v>4479</v>
      </c>
      <c r="H33" s="494">
        <f t="shared" si="0"/>
        <v>100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2:29" ht="12.75" customHeight="1" x14ac:dyDescent="0.2">
      <c r="B34" s="10"/>
      <c r="C34" s="10" t="s">
        <v>572</v>
      </c>
      <c r="D34" s="17">
        <v>0</v>
      </c>
      <c r="E34" s="16">
        <v>0</v>
      </c>
      <c r="F34" s="16">
        <v>0</v>
      </c>
      <c r="G34" s="16">
        <v>0</v>
      </c>
      <c r="H34" s="494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2:29" ht="25.5" x14ac:dyDescent="0.2">
      <c r="B35" s="10"/>
      <c r="C35" s="26" t="s">
        <v>573</v>
      </c>
      <c r="D35" s="17">
        <v>0</v>
      </c>
      <c r="E35" s="16">
        <v>0</v>
      </c>
      <c r="F35" s="16">
        <v>0</v>
      </c>
      <c r="G35" s="16">
        <v>0</v>
      </c>
      <c r="H35" s="494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2:29" x14ac:dyDescent="0.2">
      <c r="B36" s="10"/>
      <c r="C36" s="10" t="s">
        <v>574</v>
      </c>
      <c r="D36" s="17">
        <f>SUM(D37+D40)</f>
        <v>289</v>
      </c>
      <c r="E36" s="16">
        <f>SUM(E37+E40)</f>
        <v>751</v>
      </c>
      <c r="F36" s="16">
        <f>SUM(F37+F40)</f>
        <v>852</v>
      </c>
      <c r="G36" s="16">
        <f>SUM(G37+G40)</f>
        <v>852</v>
      </c>
      <c r="H36" s="494">
        <f t="shared" si="0"/>
        <v>100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2:29" x14ac:dyDescent="0.2">
      <c r="B37" s="10"/>
      <c r="C37" s="390" t="s">
        <v>575</v>
      </c>
      <c r="D37" s="391">
        <f>SUM(D38:D39)</f>
        <v>0</v>
      </c>
      <c r="E37" s="276">
        <f>SUM(E38:E39)</f>
        <v>0</v>
      </c>
      <c r="F37" s="276">
        <f>SUM(F38:F39)</f>
        <v>0</v>
      </c>
      <c r="G37" s="276">
        <f>SUM(G38:G39)</f>
        <v>0</v>
      </c>
      <c r="H37" s="49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2:29" x14ac:dyDescent="0.2">
      <c r="B38" s="10"/>
      <c r="C38" s="390" t="s">
        <v>576</v>
      </c>
      <c r="D38" s="392">
        <v>0</v>
      </c>
      <c r="E38" s="277">
        <v>0</v>
      </c>
      <c r="F38" s="277">
        <v>0</v>
      </c>
      <c r="G38" s="277">
        <v>0</v>
      </c>
      <c r="H38" s="494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2:29" x14ac:dyDescent="0.2">
      <c r="B39" s="10"/>
      <c r="C39" s="390" t="s">
        <v>577</v>
      </c>
      <c r="D39" s="392">
        <v>0</v>
      </c>
      <c r="E39" s="277">
        <v>0</v>
      </c>
      <c r="F39" s="277">
        <v>0</v>
      </c>
      <c r="G39" s="277">
        <v>0</v>
      </c>
      <c r="H39" s="494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2:29" x14ac:dyDescent="0.2">
      <c r="B40" s="10"/>
      <c r="C40" s="390" t="s">
        <v>578</v>
      </c>
      <c r="D40" s="391">
        <v>289</v>
      </c>
      <c r="E40" s="276">
        <f>289+462</f>
        <v>751</v>
      </c>
      <c r="F40" s="276">
        <f>(289+462)+101</f>
        <v>852</v>
      </c>
      <c r="G40" s="276">
        <v>852</v>
      </c>
      <c r="H40" s="494">
        <f t="shared" si="0"/>
        <v>100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2:29" x14ac:dyDescent="0.2">
      <c r="B41" s="10"/>
      <c r="C41" s="10" t="s">
        <v>632</v>
      </c>
      <c r="D41" s="17">
        <v>0</v>
      </c>
      <c r="E41" s="16">
        <f>164+117</f>
        <v>281</v>
      </c>
      <c r="F41" s="16">
        <f>164+117</f>
        <v>281</v>
      </c>
      <c r="G41" s="16">
        <v>281</v>
      </c>
      <c r="H41" s="494">
        <f t="shared" si="0"/>
        <v>100</v>
      </c>
      <c r="I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2:29" x14ac:dyDescent="0.2">
      <c r="B42" s="10" t="s">
        <v>193</v>
      </c>
      <c r="C42" s="393" t="s">
        <v>579</v>
      </c>
      <c r="D42" s="14">
        <f>SUM(D43:D43)</f>
        <v>1800</v>
      </c>
      <c r="E42" s="273">
        <f>SUM(E43:E43)</f>
        <v>2000</v>
      </c>
      <c r="F42" s="273">
        <f>SUM(F43:F43)</f>
        <v>2000</v>
      </c>
      <c r="G42" s="273">
        <f>SUM(G43:G43)</f>
        <v>2000</v>
      </c>
      <c r="H42" s="494">
        <f t="shared" si="0"/>
        <v>100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2:29" x14ac:dyDescent="0.2">
      <c r="B43" s="10"/>
      <c r="C43" s="390" t="s">
        <v>580</v>
      </c>
      <c r="D43" s="391">
        <v>1800</v>
      </c>
      <c r="E43" s="276">
        <f>1800+200</f>
        <v>2000</v>
      </c>
      <c r="F43" s="276">
        <f>1800+200</f>
        <v>2000</v>
      </c>
      <c r="G43" s="276">
        <v>2000</v>
      </c>
      <c r="H43" s="494">
        <f t="shared" si="0"/>
        <v>100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2:29" ht="13.5" x14ac:dyDescent="0.25">
      <c r="B44" s="10" t="s">
        <v>194</v>
      </c>
      <c r="C44" s="257" t="s">
        <v>581</v>
      </c>
      <c r="D44" s="214">
        <f>SUM(D45:D49)+D52</f>
        <v>117</v>
      </c>
      <c r="E44" s="214">
        <f>SUM(E45:E49)+E52</f>
        <v>0</v>
      </c>
      <c r="F44" s="214">
        <f>SUM(F45:F49)+F52</f>
        <v>1395</v>
      </c>
      <c r="G44" s="214">
        <f>SUM(G45:G49)+G52</f>
        <v>1394</v>
      </c>
      <c r="H44" s="494">
        <f t="shared" si="0"/>
        <v>99.928315412186379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2:29" x14ac:dyDescent="0.2">
      <c r="B45" s="10"/>
      <c r="C45" s="185" t="s">
        <v>582</v>
      </c>
      <c r="D45" s="17">
        <v>0</v>
      </c>
      <c r="E45" s="16">
        <v>0</v>
      </c>
      <c r="F45" s="16">
        <v>656</v>
      </c>
      <c r="G45" s="16">
        <v>655</v>
      </c>
      <c r="H45" s="494">
        <f t="shared" si="0"/>
        <v>99.847560975609767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2:29" x14ac:dyDescent="0.2">
      <c r="B46" s="10"/>
      <c r="C46" s="185" t="s">
        <v>583</v>
      </c>
      <c r="D46" s="17">
        <v>0</v>
      </c>
      <c r="E46" s="16">
        <v>0</v>
      </c>
      <c r="F46" s="16">
        <v>670</v>
      </c>
      <c r="G46" s="16">
        <v>670</v>
      </c>
      <c r="H46" s="494">
        <f t="shared" si="0"/>
        <v>100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2:29" x14ac:dyDescent="0.2">
      <c r="B47" s="10"/>
      <c r="C47" s="185" t="s">
        <v>584</v>
      </c>
      <c r="D47" s="17">
        <v>0</v>
      </c>
      <c r="E47" s="16">
        <v>0</v>
      </c>
      <c r="F47" s="16">
        <v>0</v>
      </c>
      <c r="G47" s="16">
        <v>0</v>
      </c>
      <c r="H47" s="494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2:29" x14ac:dyDescent="0.2">
      <c r="B48" s="10"/>
      <c r="C48" s="394" t="s">
        <v>585</v>
      </c>
      <c r="D48" s="17">
        <v>117</v>
      </c>
      <c r="E48" s="16">
        <f>117-117</f>
        <v>0</v>
      </c>
      <c r="F48" s="16">
        <f>117-117</f>
        <v>0</v>
      </c>
      <c r="G48" s="16">
        <v>0</v>
      </c>
      <c r="H48" s="494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2:29" x14ac:dyDescent="0.2">
      <c r="B49" s="10"/>
      <c r="C49" s="185" t="s">
        <v>586</v>
      </c>
      <c r="D49" s="17">
        <f>D50+D51</f>
        <v>0</v>
      </c>
      <c r="E49" s="17">
        <f>E50+E51</f>
        <v>0</v>
      </c>
      <c r="F49" s="17">
        <f>F50+F51</f>
        <v>0</v>
      </c>
      <c r="G49" s="17">
        <f>G50+G51</f>
        <v>0</v>
      </c>
      <c r="H49" s="494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2:29" x14ac:dyDescent="0.2">
      <c r="B50" s="10"/>
      <c r="C50" s="197" t="s">
        <v>587</v>
      </c>
      <c r="D50" s="391">
        <v>0</v>
      </c>
      <c r="E50" s="391">
        <v>0</v>
      </c>
      <c r="F50" s="391">
        <v>0</v>
      </c>
      <c r="G50" s="391">
        <v>0</v>
      </c>
      <c r="H50" s="494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2:29" x14ac:dyDescent="0.2">
      <c r="B51" s="10"/>
      <c r="C51" s="197" t="s">
        <v>588</v>
      </c>
      <c r="D51" s="391">
        <v>0</v>
      </c>
      <c r="E51" s="391">
        <v>0</v>
      </c>
      <c r="F51" s="391">
        <v>0</v>
      </c>
      <c r="G51" s="391">
        <v>0</v>
      </c>
      <c r="H51" s="494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 x14ac:dyDescent="0.2">
      <c r="B52" s="10"/>
      <c r="C52" s="185" t="s">
        <v>692</v>
      </c>
      <c r="D52" s="391">
        <v>0</v>
      </c>
      <c r="E52" s="391">
        <v>0</v>
      </c>
      <c r="F52" s="391">
        <v>69</v>
      </c>
      <c r="G52" s="391">
        <v>69</v>
      </c>
      <c r="H52" s="494">
        <f t="shared" si="0"/>
        <v>100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 ht="15" x14ac:dyDescent="0.25">
      <c r="B53" s="10" t="s">
        <v>195</v>
      </c>
      <c r="C53" s="257" t="s">
        <v>589</v>
      </c>
      <c r="D53" s="46">
        <v>0</v>
      </c>
      <c r="E53" s="46">
        <v>0</v>
      </c>
      <c r="F53" s="46">
        <v>0</v>
      </c>
      <c r="G53" s="46">
        <v>0</v>
      </c>
      <c r="H53" s="494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 ht="15" x14ac:dyDescent="0.25">
      <c r="B54" s="10" t="s">
        <v>151</v>
      </c>
      <c r="C54" s="257" t="s">
        <v>590</v>
      </c>
      <c r="D54" s="395">
        <f>SUM(D55:D56)</f>
        <v>2200</v>
      </c>
      <c r="E54" s="395">
        <f>SUM(E55:E56)</f>
        <v>4836</v>
      </c>
      <c r="F54" s="395">
        <f>SUM(F55:F56)</f>
        <v>4949</v>
      </c>
      <c r="G54" s="395">
        <f>SUM(G55:G56)</f>
        <v>4948</v>
      </c>
      <c r="H54" s="494">
        <f t="shared" si="0"/>
        <v>99.979793897757119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 x14ac:dyDescent="0.2">
      <c r="B55" s="10"/>
      <c r="C55" s="197" t="s">
        <v>591</v>
      </c>
      <c r="D55" s="405">
        <v>2200</v>
      </c>
      <c r="E55" s="405">
        <f>2200+1517</f>
        <v>3717</v>
      </c>
      <c r="F55" s="405">
        <f>(2200+1517)+113</f>
        <v>3830</v>
      </c>
      <c r="G55" s="405">
        <v>3829</v>
      </c>
      <c r="H55" s="494">
        <f t="shared" si="0"/>
        <v>99.97389033942558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 x14ac:dyDescent="0.2">
      <c r="B56" s="10" t="s">
        <v>106</v>
      </c>
      <c r="C56" s="197" t="s">
        <v>674</v>
      </c>
      <c r="D56" s="405">
        <v>0</v>
      </c>
      <c r="E56" s="405">
        <v>1119</v>
      </c>
      <c r="F56" s="405">
        <v>1119</v>
      </c>
      <c r="G56" s="405">
        <v>1119</v>
      </c>
      <c r="H56" s="494">
        <f t="shared" si="0"/>
        <v>100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 ht="18" customHeight="1" x14ac:dyDescent="0.25">
      <c r="B57" s="18" t="s">
        <v>121</v>
      </c>
      <c r="C57" s="183" t="s">
        <v>208</v>
      </c>
      <c r="D57" s="217">
        <f>SUM(D61+D66+D70)</f>
        <v>6905</v>
      </c>
      <c r="E57" s="217">
        <f>SUM(E61+E66+E70)</f>
        <v>7075</v>
      </c>
      <c r="F57" s="217">
        <f>SUM(F61+F66+F70)</f>
        <v>7165</v>
      </c>
      <c r="G57" s="217">
        <f>SUM(G61+G66+G70)</f>
        <v>8258</v>
      </c>
      <c r="H57" s="494">
        <f t="shared" si="0"/>
        <v>115.25471039776691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2:29" ht="13.5" hidden="1" customHeight="1" x14ac:dyDescent="0.2">
      <c r="B58" s="10" t="s">
        <v>122</v>
      </c>
      <c r="C58" s="185" t="s">
        <v>128</v>
      </c>
      <c r="D58" s="16"/>
      <c r="E58" s="16"/>
      <c r="F58" s="16"/>
      <c r="G58" s="16"/>
      <c r="H58" s="494" t="e">
        <f t="shared" si="0"/>
        <v>#DIV/0!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2:29" ht="13.5" hidden="1" customHeight="1" x14ac:dyDescent="0.2">
      <c r="B59" s="10" t="s">
        <v>123</v>
      </c>
      <c r="C59" s="185" t="s">
        <v>129</v>
      </c>
      <c r="D59" s="16"/>
      <c r="E59" s="16"/>
      <c r="F59" s="16"/>
      <c r="G59" s="16"/>
      <c r="H59" s="494" t="e">
        <f t="shared" si="0"/>
        <v>#DIV/0!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2:29" ht="13.5" hidden="1" customHeight="1" x14ac:dyDescent="0.2">
      <c r="B60" s="10" t="s">
        <v>124</v>
      </c>
      <c r="C60" s="186" t="s">
        <v>130</v>
      </c>
      <c r="D60" s="278"/>
      <c r="E60" s="278"/>
      <c r="F60" s="278"/>
      <c r="G60" s="278"/>
      <c r="H60" s="494" t="e">
        <f t="shared" si="0"/>
        <v>#DIV/0!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2:29" ht="13.5" customHeight="1" x14ac:dyDescent="0.2">
      <c r="B61" s="25" t="s">
        <v>125</v>
      </c>
      <c r="C61" s="314" t="s">
        <v>209</v>
      </c>
      <c r="D61" s="315">
        <f>SUM(D62:D65)</f>
        <v>2125</v>
      </c>
      <c r="E61" s="315">
        <f>SUM(E62:E65)</f>
        <v>2875</v>
      </c>
      <c r="F61" s="315">
        <f>SUM(F62:F65)</f>
        <v>2875</v>
      </c>
      <c r="G61" s="315">
        <f>SUM(G62:G65)</f>
        <v>2472</v>
      </c>
      <c r="H61" s="494">
        <f t="shared" si="0"/>
        <v>85.982608695652175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2:29" ht="13.5" customHeight="1" x14ac:dyDescent="0.2">
      <c r="B62" s="25"/>
      <c r="C62" s="311" t="s">
        <v>210</v>
      </c>
      <c r="D62" s="43">
        <v>1550</v>
      </c>
      <c r="E62" s="43">
        <f>1550+520</f>
        <v>2070</v>
      </c>
      <c r="F62" s="43">
        <f>1550+520</f>
        <v>2070</v>
      </c>
      <c r="G62" s="43">
        <v>1740</v>
      </c>
      <c r="H62" s="494">
        <f t="shared" si="0"/>
        <v>84.05797101449275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2:29" ht="13.5" customHeight="1" x14ac:dyDescent="0.2">
      <c r="B63" s="25"/>
      <c r="C63" s="311" t="s">
        <v>479</v>
      </c>
      <c r="D63" s="43">
        <v>0</v>
      </c>
      <c r="E63" s="43">
        <v>0</v>
      </c>
      <c r="F63" s="43">
        <v>0</v>
      </c>
      <c r="G63" s="43">
        <v>0</v>
      </c>
      <c r="H63" s="494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2:29" ht="13.5" customHeight="1" x14ac:dyDescent="0.2">
      <c r="B64" s="25"/>
      <c r="C64" s="311" t="s">
        <v>211</v>
      </c>
      <c r="D64" s="43">
        <v>255</v>
      </c>
      <c r="E64" s="43">
        <f>255+100</f>
        <v>355</v>
      </c>
      <c r="F64" s="43">
        <f>255+100</f>
        <v>355</v>
      </c>
      <c r="G64" s="43">
        <v>298</v>
      </c>
      <c r="H64" s="494">
        <f t="shared" si="0"/>
        <v>83.943661971830991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2:29" ht="13.5" customHeight="1" x14ac:dyDescent="0.2">
      <c r="B65" s="25"/>
      <c r="C65" s="311" t="s">
        <v>212</v>
      </c>
      <c r="D65" s="43">
        <v>320</v>
      </c>
      <c r="E65" s="43">
        <f>320+130</f>
        <v>450</v>
      </c>
      <c r="F65" s="43">
        <f>320+130</f>
        <v>450</v>
      </c>
      <c r="G65" s="43">
        <v>434</v>
      </c>
      <c r="H65" s="494">
        <f t="shared" si="0"/>
        <v>96.444444444444443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2:29" s="53" customFormat="1" ht="13.5" customHeight="1" x14ac:dyDescent="0.2">
      <c r="B66" s="25" t="s">
        <v>126</v>
      </c>
      <c r="C66" s="314" t="s">
        <v>213</v>
      </c>
      <c r="D66" s="15">
        <f>SUM(D67:D69)</f>
        <v>4580</v>
      </c>
      <c r="E66" s="15">
        <f>SUM(E67:E69)</f>
        <v>4000</v>
      </c>
      <c r="F66" s="15">
        <f>SUM(F67:F69)</f>
        <v>4000</v>
      </c>
      <c r="G66" s="15">
        <f>SUM(G67:G69)</f>
        <v>5576</v>
      </c>
      <c r="H66" s="494">
        <f t="shared" si="0"/>
        <v>139.39999999999998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2:29" s="53" customFormat="1" ht="13.5" customHeight="1" x14ac:dyDescent="0.2">
      <c r="B67" s="25"/>
      <c r="C67" s="311" t="s">
        <v>214</v>
      </c>
      <c r="D67" s="16">
        <v>4000</v>
      </c>
      <c r="E67" s="16">
        <v>4000</v>
      </c>
      <c r="F67" s="16">
        <v>4000</v>
      </c>
      <c r="G67" s="16">
        <v>5576</v>
      </c>
      <c r="H67" s="494">
        <f t="shared" si="0"/>
        <v>139.39999999999998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2:29" s="53" customFormat="1" ht="13.5" customHeight="1" x14ac:dyDescent="0.2">
      <c r="B68" s="25"/>
      <c r="C68" s="311" t="s">
        <v>336</v>
      </c>
      <c r="D68" s="16">
        <v>500</v>
      </c>
      <c r="E68" s="16">
        <f>500-500</f>
        <v>0</v>
      </c>
      <c r="F68" s="16">
        <f>500-500</f>
        <v>0</v>
      </c>
      <c r="G68" s="16">
        <v>0</v>
      </c>
      <c r="H68" s="494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2:29" s="53" customFormat="1" ht="13.5" customHeight="1" x14ac:dyDescent="0.2">
      <c r="B69" s="25"/>
      <c r="C69" s="311" t="s">
        <v>465</v>
      </c>
      <c r="D69" s="16">
        <v>80</v>
      </c>
      <c r="E69" s="16">
        <f>80-80</f>
        <v>0</v>
      </c>
      <c r="F69" s="16">
        <f>80-80</f>
        <v>0</v>
      </c>
      <c r="G69" s="16">
        <v>0</v>
      </c>
      <c r="H69" s="494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2:29" s="53" customFormat="1" ht="13.5" customHeight="1" x14ac:dyDescent="0.2">
      <c r="B70" s="25" t="s">
        <v>127</v>
      </c>
      <c r="C70" s="314" t="s">
        <v>466</v>
      </c>
      <c r="D70" s="15">
        <v>200</v>
      </c>
      <c r="E70" s="15">
        <v>200</v>
      </c>
      <c r="F70" s="15">
        <f>200+90</f>
        <v>290</v>
      </c>
      <c r="G70" s="15">
        <v>210</v>
      </c>
      <c r="H70" s="494">
        <f t="shared" si="0"/>
        <v>72.41379310344827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2:29" s="53" customFormat="1" ht="18" customHeight="1" x14ac:dyDescent="0.25">
      <c r="B71" s="28" t="s">
        <v>132</v>
      </c>
      <c r="C71" s="191" t="s">
        <v>215</v>
      </c>
      <c r="D71" s="217">
        <f>SUM(D72:D82)</f>
        <v>1811</v>
      </c>
      <c r="E71" s="217">
        <f>SUM(E72:E82)</f>
        <v>1933</v>
      </c>
      <c r="F71" s="217">
        <f>SUM(F72:F82)</f>
        <v>2144</v>
      </c>
      <c r="G71" s="217">
        <f>SUM(G72:G82)</f>
        <v>1969</v>
      </c>
      <c r="H71" s="494">
        <f t="shared" ref="H71:H105" si="1">(G71/F71)*100</f>
        <v>91.837686567164184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2:29" ht="13.5" customHeight="1" x14ac:dyDescent="0.2">
      <c r="B72" s="10" t="s">
        <v>135</v>
      </c>
      <c r="C72" s="185" t="s">
        <v>216</v>
      </c>
      <c r="D72" s="16"/>
      <c r="E72" s="16"/>
      <c r="F72" s="16"/>
      <c r="G72" s="16"/>
      <c r="H72" s="494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2:29" s="53" customFormat="1" ht="13.5" customHeight="1" x14ac:dyDescent="0.2">
      <c r="B73" s="10" t="s">
        <v>136</v>
      </c>
      <c r="C73" s="185" t="s">
        <v>452</v>
      </c>
      <c r="D73" s="16">
        <v>700</v>
      </c>
      <c r="E73" s="16">
        <v>700</v>
      </c>
      <c r="F73" s="16">
        <v>700</v>
      </c>
      <c r="G73" s="16">
        <v>637</v>
      </c>
      <c r="H73" s="494">
        <f t="shared" si="1"/>
        <v>91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2:29" s="53" customFormat="1" ht="13.5" customHeight="1" x14ac:dyDescent="0.2">
      <c r="B74" s="10" t="s">
        <v>137</v>
      </c>
      <c r="C74" s="185" t="s">
        <v>217</v>
      </c>
      <c r="D74" s="16">
        <v>20</v>
      </c>
      <c r="E74" s="16">
        <v>20</v>
      </c>
      <c r="F74" s="16">
        <v>20</v>
      </c>
      <c r="G74" s="16">
        <v>0</v>
      </c>
      <c r="H74" s="494">
        <f t="shared" si="1"/>
        <v>0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2:29" ht="13.5" customHeight="1" x14ac:dyDescent="0.2">
      <c r="B75" s="10" t="s">
        <v>138</v>
      </c>
      <c r="C75" s="186" t="s">
        <v>389</v>
      </c>
      <c r="D75" s="16"/>
      <c r="E75" s="16"/>
      <c r="F75" s="16"/>
      <c r="G75" s="16"/>
      <c r="H75" s="494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2:29" ht="13.5" customHeight="1" x14ac:dyDescent="0.2">
      <c r="B76" s="10" t="s">
        <v>139</v>
      </c>
      <c r="C76" s="26" t="s">
        <v>218</v>
      </c>
      <c r="D76" s="16">
        <v>884</v>
      </c>
      <c r="E76" s="16">
        <f>884+122</f>
        <v>1006</v>
      </c>
      <c r="F76" s="16">
        <f>(884+122)+211</f>
        <v>1217</v>
      </c>
      <c r="G76" s="16">
        <v>1217</v>
      </c>
      <c r="H76" s="494">
        <f t="shared" si="1"/>
        <v>100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2:29" ht="13.5" customHeight="1" x14ac:dyDescent="0.2">
      <c r="B77" s="10" t="s">
        <v>143</v>
      </c>
      <c r="C77" s="26" t="s">
        <v>219</v>
      </c>
      <c r="D77" s="16"/>
      <c r="E77" s="16"/>
      <c r="F77" s="16"/>
      <c r="G77" s="16"/>
      <c r="H77" s="494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2:29" ht="13.5" customHeight="1" x14ac:dyDescent="0.2">
      <c r="B78" s="10" t="s">
        <v>145</v>
      </c>
      <c r="C78" s="26" t="s">
        <v>220</v>
      </c>
      <c r="D78" s="16"/>
      <c r="E78" s="16"/>
      <c r="F78" s="16"/>
      <c r="G78" s="16"/>
      <c r="H78" s="494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2:29" ht="13.5" customHeight="1" x14ac:dyDescent="0.2">
      <c r="B79" s="10" t="s">
        <v>147</v>
      </c>
      <c r="C79" s="26" t="s">
        <v>221</v>
      </c>
      <c r="D79" s="16">
        <v>7</v>
      </c>
      <c r="E79" s="16">
        <v>7</v>
      </c>
      <c r="F79" s="16">
        <v>7</v>
      </c>
      <c r="G79" s="16">
        <v>1</v>
      </c>
      <c r="H79" s="494">
        <f t="shared" si="1"/>
        <v>14.285714285714285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2:29" ht="13.5" customHeight="1" x14ac:dyDescent="0.2">
      <c r="B80" s="10" t="s">
        <v>149</v>
      </c>
      <c r="C80" s="26" t="s">
        <v>222</v>
      </c>
      <c r="D80" s="16"/>
      <c r="E80" s="16"/>
      <c r="F80" s="16"/>
      <c r="G80" s="16"/>
      <c r="H80" s="494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2:29" ht="13.5" customHeight="1" x14ac:dyDescent="0.2">
      <c r="B81" s="10" t="s">
        <v>155</v>
      </c>
      <c r="C81" s="26" t="s">
        <v>388</v>
      </c>
      <c r="D81" s="16"/>
      <c r="E81" s="16"/>
      <c r="F81" s="16"/>
      <c r="G81" s="16"/>
      <c r="H81" s="494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2:29" ht="13.5" customHeight="1" x14ac:dyDescent="0.2">
      <c r="B82" s="10" t="s">
        <v>386</v>
      </c>
      <c r="C82" s="26" t="s">
        <v>387</v>
      </c>
      <c r="D82" s="16">
        <v>200</v>
      </c>
      <c r="E82" s="16">
        <v>200</v>
      </c>
      <c r="F82" s="16">
        <v>200</v>
      </c>
      <c r="G82" s="16">
        <v>114</v>
      </c>
      <c r="H82" s="494">
        <f t="shared" si="1"/>
        <v>56.999999999999993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2:29" ht="18" customHeight="1" x14ac:dyDescent="0.25">
      <c r="B83" s="18" t="s">
        <v>170</v>
      </c>
      <c r="C83" s="183" t="s">
        <v>223</v>
      </c>
      <c r="D83" s="47">
        <f>SUM(D84:D85)</f>
        <v>24</v>
      </c>
      <c r="E83" s="47">
        <f>SUM(E84:E85)</f>
        <v>24</v>
      </c>
      <c r="F83" s="47">
        <f>SUM(F84:F85)</f>
        <v>174</v>
      </c>
      <c r="G83" s="47">
        <f>SUM(G84:G85)</f>
        <v>134</v>
      </c>
      <c r="H83" s="494">
        <f t="shared" si="1"/>
        <v>77.011494252873561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2:29" s="271" customFormat="1" ht="25.5" x14ac:dyDescent="0.2">
      <c r="B84" s="172" t="s">
        <v>702</v>
      </c>
      <c r="C84" s="26" t="s">
        <v>703</v>
      </c>
      <c r="D84" s="272">
        <v>0</v>
      </c>
      <c r="E84" s="272">
        <v>0</v>
      </c>
      <c r="F84" s="272">
        <v>60</v>
      </c>
      <c r="G84" s="272">
        <v>20</v>
      </c>
      <c r="H84" s="494">
        <f t="shared" si="1"/>
        <v>33.333333333333329</v>
      </c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</row>
    <row r="85" spans="2:29" s="271" customFormat="1" x14ac:dyDescent="0.2">
      <c r="B85" s="172" t="s">
        <v>421</v>
      </c>
      <c r="C85" s="26" t="s">
        <v>713</v>
      </c>
      <c r="D85" s="272">
        <f>SUM(D86:D87)</f>
        <v>24</v>
      </c>
      <c r="E85" s="272">
        <f>SUM(E86:E87)</f>
        <v>24</v>
      </c>
      <c r="F85" s="272">
        <f>SUM(F86:F87)</f>
        <v>114</v>
      </c>
      <c r="G85" s="272">
        <f>SUM(G86:G87)</f>
        <v>114</v>
      </c>
      <c r="H85" s="494">
        <f t="shared" si="1"/>
        <v>100</v>
      </c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</row>
    <row r="86" spans="2:29" s="271" customFormat="1" x14ac:dyDescent="0.2">
      <c r="B86" s="172"/>
      <c r="C86" s="26" t="s">
        <v>714</v>
      </c>
      <c r="D86" s="272">
        <v>24</v>
      </c>
      <c r="E86" s="272">
        <v>24</v>
      </c>
      <c r="F86" s="272">
        <v>24</v>
      </c>
      <c r="G86" s="272">
        <v>24</v>
      </c>
      <c r="H86" s="494">
        <f t="shared" si="1"/>
        <v>100</v>
      </c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</row>
    <row r="87" spans="2:29" s="271" customFormat="1" x14ac:dyDescent="0.2">
      <c r="B87" s="172"/>
      <c r="C87" s="26" t="s">
        <v>715</v>
      </c>
      <c r="D87" s="272">
        <v>0</v>
      </c>
      <c r="E87" s="272">
        <v>0</v>
      </c>
      <c r="F87" s="272">
        <v>90</v>
      </c>
      <c r="G87" s="272">
        <v>90</v>
      </c>
      <c r="H87" s="494">
        <f t="shared" si="1"/>
        <v>100</v>
      </c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</row>
    <row r="88" spans="2:29" ht="18.75" customHeight="1" x14ac:dyDescent="0.25">
      <c r="B88" s="18" t="s">
        <v>344</v>
      </c>
      <c r="C88" s="240" t="s">
        <v>346</v>
      </c>
      <c r="D88" s="236">
        <f>SUM(D89+D92)</f>
        <v>7478</v>
      </c>
      <c r="E88" s="236">
        <f>SUM(E89+E92)</f>
        <v>5706</v>
      </c>
      <c r="F88" s="236">
        <f>SUM(F89+F92)</f>
        <v>3364</v>
      </c>
      <c r="G88" s="236">
        <f>SUM(G89+G92)</f>
        <v>3826</v>
      </c>
      <c r="H88" s="494">
        <f t="shared" si="1"/>
        <v>113.73365041617123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2:29" ht="18" customHeight="1" x14ac:dyDescent="0.25">
      <c r="B89" s="235"/>
      <c r="C89" s="29" t="s">
        <v>404</v>
      </c>
      <c r="D89" s="214">
        <f>SUM(D90)+D91</f>
        <v>4256</v>
      </c>
      <c r="E89" s="214">
        <f>SUM(E90)+E91</f>
        <v>2484</v>
      </c>
      <c r="F89" s="214">
        <f>SUM(F90)+F91</f>
        <v>3364</v>
      </c>
      <c r="G89" s="214">
        <f>SUM(G90)+G91</f>
        <v>3826</v>
      </c>
      <c r="H89" s="494">
        <f t="shared" si="1"/>
        <v>113.73365041617123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2:29" ht="13.5" customHeight="1" x14ac:dyDescent="0.2">
      <c r="B90" s="235"/>
      <c r="C90" s="232" t="s">
        <v>398</v>
      </c>
      <c r="D90" s="16">
        <v>4256</v>
      </c>
      <c r="E90" s="16">
        <f>4256-1772</f>
        <v>2484</v>
      </c>
      <c r="F90" s="16">
        <f>4256-1772</f>
        <v>2484</v>
      </c>
      <c r="G90" s="16">
        <v>2946</v>
      </c>
      <c r="H90" s="494">
        <f t="shared" si="1"/>
        <v>118.59903381642512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2:29" ht="13.5" customHeight="1" x14ac:dyDescent="0.2">
      <c r="B91" s="235"/>
      <c r="C91" s="232" t="s">
        <v>716</v>
      </c>
      <c r="D91" s="16">
        <v>0</v>
      </c>
      <c r="E91" s="16">
        <v>0</v>
      </c>
      <c r="F91" s="16">
        <v>880</v>
      </c>
      <c r="G91" s="16">
        <v>880</v>
      </c>
      <c r="H91" s="494">
        <f t="shared" si="1"/>
        <v>100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2:29" ht="18" customHeight="1" x14ac:dyDescent="0.25">
      <c r="B92" s="235"/>
      <c r="C92" s="29" t="s">
        <v>354</v>
      </c>
      <c r="D92" s="487">
        <f>SUM(D93)</f>
        <v>3222</v>
      </c>
      <c r="E92" s="487">
        <f>SUM(E93)</f>
        <v>3222</v>
      </c>
      <c r="F92" s="487">
        <f>SUM(F93)</f>
        <v>0</v>
      </c>
      <c r="G92" s="487">
        <f>SUM(G93)</f>
        <v>0</v>
      </c>
      <c r="H92" s="494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2:29" ht="13.5" customHeight="1" thickBot="1" x14ac:dyDescent="0.25">
      <c r="B93" s="235"/>
      <c r="C93" s="10" t="s">
        <v>352</v>
      </c>
      <c r="D93" s="16">
        <f>(6400+2673-193-5658)</f>
        <v>3222</v>
      </c>
      <c r="E93" s="16">
        <f>(6400+2673-193-5658)</f>
        <v>3222</v>
      </c>
      <c r="F93" s="16">
        <f>(6400+2673-193-5658)-1401-620-1201</f>
        <v>0</v>
      </c>
      <c r="G93" s="16">
        <f>(6400+2673-193-5658)-1401-620-1201</f>
        <v>0</v>
      </c>
      <c r="H93" s="494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2:29" ht="23.25" customHeight="1" thickBot="1" x14ac:dyDescent="0.4">
      <c r="B94" s="195"/>
      <c r="C94" s="49" t="s">
        <v>376</v>
      </c>
      <c r="D94" s="256">
        <f>SUM(D7+D88)</f>
        <v>42064</v>
      </c>
      <c r="E94" s="256">
        <f>SUM(E7+E88)</f>
        <v>44286</v>
      </c>
      <c r="F94" s="256">
        <f>SUM(F7+F88)</f>
        <v>44025</v>
      </c>
      <c r="G94" s="296">
        <f>SUM(G7+G88)</f>
        <v>45363</v>
      </c>
      <c r="H94" s="494">
        <f t="shared" si="1"/>
        <v>103.03918228279387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2:29" ht="20.25" customHeight="1" x14ac:dyDescent="0.25">
      <c r="B95" s="172"/>
      <c r="C95" s="187" t="s">
        <v>347</v>
      </c>
      <c r="D95" s="309">
        <f>SUM(D96+D97+D98+D99+D100)</f>
        <v>47307</v>
      </c>
      <c r="E95" s="309">
        <f>SUM(E96+E97+E98+E99+E100)</f>
        <v>49537</v>
      </c>
      <c r="F95" s="309">
        <f>SUM(F96+F97+F98+F99+F100)</f>
        <v>49276</v>
      </c>
      <c r="G95" s="309">
        <f>SUM(G96+G97+G98+G99+G100)</f>
        <v>41630</v>
      </c>
      <c r="H95" s="494">
        <f t="shared" si="1"/>
        <v>84.483318451172977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2:29" ht="18" customHeight="1" x14ac:dyDescent="0.25">
      <c r="B96" s="18" t="s">
        <v>196</v>
      </c>
      <c r="C96" s="191" t="s">
        <v>224</v>
      </c>
      <c r="D96" s="291">
        <f>SUM('7.Önk.'!P19)</f>
        <v>12558</v>
      </c>
      <c r="E96" s="291">
        <f>SUM('7.Önk.'!P91)</f>
        <v>14963</v>
      </c>
      <c r="F96" s="291">
        <f>SUM('7.Önk.'!P163)</f>
        <v>14917</v>
      </c>
      <c r="G96" s="291">
        <f>SUM('7.Önk.'!P235)</f>
        <v>14529</v>
      </c>
      <c r="H96" s="494">
        <f t="shared" si="1"/>
        <v>97.398940805792051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2:29" ht="18" customHeight="1" x14ac:dyDescent="0.25">
      <c r="B97" s="18" t="s">
        <v>197</v>
      </c>
      <c r="C97" s="183" t="s">
        <v>225</v>
      </c>
      <c r="D97" s="291">
        <f>SUM('7.Önk.'!P22)</f>
        <v>1930</v>
      </c>
      <c r="E97" s="291">
        <f>SUM('7.Önk.'!P94)</f>
        <v>2302</v>
      </c>
      <c r="F97" s="291">
        <f>SUM('7.Önk.'!P166)</f>
        <v>2302</v>
      </c>
      <c r="G97" s="291">
        <f>SUM('7.Önk.'!P238)</f>
        <v>2149</v>
      </c>
      <c r="H97" s="494">
        <f t="shared" si="1"/>
        <v>93.353605560382277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2:29" ht="18" customHeight="1" x14ac:dyDescent="0.25">
      <c r="B98" s="18" t="s">
        <v>198</v>
      </c>
      <c r="C98" s="183" t="s">
        <v>226</v>
      </c>
      <c r="D98" s="291">
        <f>SUM('7.Önk.'!P69)</f>
        <v>13645</v>
      </c>
      <c r="E98" s="291">
        <f>SUM('7.Önk.'!P141)</f>
        <v>14108</v>
      </c>
      <c r="F98" s="291">
        <f>SUM('7.Önk.'!P213)</f>
        <v>15532</v>
      </c>
      <c r="G98" s="291">
        <f>SUM('7.Önk.'!P285)</f>
        <v>14758</v>
      </c>
      <c r="H98" s="494">
        <f t="shared" si="1"/>
        <v>95.016739634303377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2:29" ht="18" customHeight="1" x14ac:dyDescent="0.25">
      <c r="B99" s="18" t="s">
        <v>199</v>
      </c>
      <c r="C99" s="183" t="s">
        <v>407</v>
      </c>
      <c r="D99" s="291">
        <f>SUM('7.Önk.'!P70)</f>
        <v>4740</v>
      </c>
      <c r="E99" s="291">
        <f>SUM('7.Önk.'!P142)</f>
        <v>4640</v>
      </c>
      <c r="F99" s="291">
        <f>SUM('7.Önk.'!P214)</f>
        <v>4640</v>
      </c>
      <c r="G99" s="291">
        <f>SUM('7.Önk.'!P286)</f>
        <v>3340</v>
      </c>
      <c r="H99" s="494">
        <f t="shared" si="1"/>
        <v>71.982758620689651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2:29" ht="18" customHeight="1" x14ac:dyDescent="0.25">
      <c r="B100" s="61" t="s">
        <v>200</v>
      </c>
      <c r="C100" s="29" t="s">
        <v>304</v>
      </c>
      <c r="D100" s="291">
        <f>SUM(D101:D102)</f>
        <v>14434</v>
      </c>
      <c r="E100" s="291">
        <f>SUM(E101:E102)</f>
        <v>13524</v>
      </c>
      <c r="F100" s="291">
        <f>SUM(F101:F102)</f>
        <v>11885</v>
      </c>
      <c r="G100" s="291">
        <f>SUM(G101:G102)</f>
        <v>6854</v>
      </c>
      <c r="H100" s="494">
        <f t="shared" si="1"/>
        <v>57.669331089608754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2:29" ht="15" customHeight="1" x14ac:dyDescent="0.2">
      <c r="B101" s="61"/>
      <c r="C101" s="13" t="s">
        <v>305</v>
      </c>
      <c r="D101" s="283">
        <f>SUM('4. Átadott p.eszk.'!C55)</f>
        <v>14310</v>
      </c>
      <c r="E101" s="283">
        <f>SUM('4. Átadott p.eszk.'!D55)</f>
        <v>12647</v>
      </c>
      <c r="F101" s="283">
        <f>SUM('4. Átadott p.eszk.'!E55)</f>
        <v>10111</v>
      </c>
      <c r="G101" s="283">
        <f>SUM('4. Átadott p.eszk.'!F55)</f>
        <v>6854</v>
      </c>
      <c r="H101" s="494">
        <f t="shared" si="1"/>
        <v>67.787558105034122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2:29" ht="15" customHeight="1" x14ac:dyDescent="0.2">
      <c r="B102" s="61"/>
      <c r="C102" s="10" t="s">
        <v>306</v>
      </c>
      <c r="D102" s="290">
        <f>(100+24)</f>
        <v>124</v>
      </c>
      <c r="E102" s="290">
        <f>(100+24)+396+4+750-500-80-92-200-100-250-137+1119-157</f>
        <v>877</v>
      </c>
      <c r="F102" s="290">
        <f>((100+24)+396+4+750-500-80-92-200-100-250-137+1119-157)-44+69+7+113+90+42+90+880+46-94-80-155-2-22-73+179-149</f>
        <v>1774</v>
      </c>
      <c r="G102" s="290">
        <v>0</v>
      </c>
      <c r="H102" s="494">
        <f t="shared" si="1"/>
        <v>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2:29" ht="21.75" customHeight="1" x14ac:dyDescent="0.25">
      <c r="B103" s="18" t="s">
        <v>186</v>
      </c>
      <c r="C103" s="242" t="s">
        <v>348</v>
      </c>
      <c r="D103" s="289">
        <f>SUM(D104)</f>
        <v>941</v>
      </c>
      <c r="E103" s="289">
        <f>SUM(E104)</f>
        <v>941</v>
      </c>
      <c r="F103" s="289">
        <f>SUM(F104)</f>
        <v>941</v>
      </c>
      <c r="G103" s="289">
        <f>SUM(G104)</f>
        <v>941</v>
      </c>
      <c r="H103" s="494">
        <f t="shared" si="1"/>
        <v>100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2:29" ht="17.25" customHeight="1" thickBot="1" x14ac:dyDescent="0.25">
      <c r="B104" s="235" t="s">
        <v>391</v>
      </c>
      <c r="C104" s="232" t="s">
        <v>392</v>
      </c>
      <c r="D104" s="290">
        <v>941</v>
      </c>
      <c r="E104" s="290">
        <v>941</v>
      </c>
      <c r="F104" s="290">
        <v>941</v>
      </c>
      <c r="G104" s="290">
        <v>941</v>
      </c>
      <c r="H104" s="494">
        <f t="shared" si="1"/>
        <v>100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2:29" s="4" customFormat="1" ht="24" customHeight="1" thickBot="1" x14ac:dyDescent="0.4">
      <c r="B105" s="195"/>
      <c r="C105" s="54" t="s">
        <v>377</v>
      </c>
      <c r="D105" s="256">
        <f>SUM(D95+D103)</f>
        <v>48248</v>
      </c>
      <c r="E105" s="256">
        <f>SUM(E95+E103)</f>
        <v>50478</v>
      </c>
      <c r="F105" s="256">
        <f>SUM(F95+F103)</f>
        <v>50217</v>
      </c>
      <c r="G105" s="296">
        <f>SUM(G95+G103)</f>
        <v>42571</v>
      </c>
      <c r="H105" s="494">
        <f t="shared" si="1"/>
        <v>84.774080490670485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2:29" ht="15.75" customHeight="1" x14ac:dyDescent="0.2">
      <c r="F106" s="9"/>
      <c r="G106" s="9"/>
      <c r="H106" s="494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2:29" ht="15.75" customHeight="1" x14ac:dyDescent="0.2">
      <c r="D107" s="11"/>
      <c r="F107" s="2"/>
      <c r="G107" s="2"/>
      <c r="H107" s="494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2:29" ht="15.75" customHeight="1" x14ac:dyDescent="0.2">
      <c r="F108" s="2"/>
      <c r="G108" s="2"/>
      <c r="H108" s="494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2:29" ht="15.75" customHeight="1" x14ac:dyDescent="0.2">
      <c r="F109" s="2"/>
      <c r="G109" s="2"/>
      <c r="H109" s="494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2:29" ht="15.75" customHeight="1" x14ac:dyDescent="0.2">
      <c r="F110" s="2"/>
      <c r="G110" s="2"/>
      <c r="H110" s="494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2:29" ht="15.75" customHeight="1" x14ac:dyDescent="0.2">
      <c r="F111" s="2"/>
      <c r="G111" s="2"/>
      <c r="H111" s="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2:29" ht="15.75" customHeight="1" x14ac:dyDescent="0.2">
      <c r="C112" s="2"/>
      <c r="D112" s="2"/>
      <c r="E112" s="2"/>
      <c r="F112" s="2"/>
      <c r="G112" s="2"/>
      <c r="H112" s="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3:29" ht="15.75" customHeight="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3:29" ht="15.75" customHeight="1" x14ac:dyDescent="0.2">
      <c r="C114" s="2"/>
      <c r="D114" s="2"/>
      <c r="E114" s="2"/>
      <c r="F114" s="2"/>
      <c r="G114" s="2"/>
      <c r="H114" s="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3:29" ht="15.75" customHeight="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3:29" ht="15.75" customHeight="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3:29" ht="15.75" customHeight="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3:29" ht="15.75" customHeight="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3:29" ht="15.75" customHeight="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3:29" ht="15.75" customHeight="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3:29" ht="15.75" customHeight="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3:29" ht="15.75" customHeight="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3:29" ht="15.75" customHeight="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3:29" ht="15.75" customHeight="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3:29" ht="15.75" customHeight="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3:29" ht="15.75" customHeight="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3:29" ht="15.75" customHeight="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3:29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3:29" ht="15.75" customHeight="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3:29" ht="15.75" customHeight="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3:29" ht="15.75" customHeight="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3:29" ht="15.75" customHeight="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3:29" ht="15.75" customHeight="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3:29" ht="15.75" customHeight="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3:29" ht="15.75" customHeight="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3:29" ht="15.75" customHeight="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3:29" ht="15.75" customHeight="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3:29" ht="15.75" customHeight="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3:29" ht="15.75" customHeight="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3:29" ht="15.75" customHeight="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3:29" ht="15.75" customHeight="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3:29" ht="15.75" customHeight="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3:29" ht="15.75" customHeight="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3:29" ht="15.75" customHeight="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3:29" ht="15.75" customHeight="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3:29" ht="15.75" customHeight="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3:29" ht="15.75" customHeight="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3:29" ht="15.75" customHeight="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3:29" ht="15.75" customHeight="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3:29" ht="15.75" customHeight="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3:29" ht="15.75" customHeight="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3:29" ht="15.75" customHeight="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3:29" ht="15.75" customHeight="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3:29" ht="15.75" customHeight="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3:29" ht="15.75" customHeight="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3:29" ht="15.75" customHeight="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3:29" ht="15.75" customHeight="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3:29" ht="15.75" customHeight="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3:29" ht="15.75" customHeight="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3:29" ht="15.75" customHeight="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3:29" ht="15.75" customHeight="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3:29" ht="15.75" customHeight="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3:29" ht="15.75" customHeight="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3:29" ht="15.75" customHeight="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3:29" ht="15.75" customHeight="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3:29" ht="15.75" customHeight="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3:29" ht="15.75" customHeight="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3:29" ht="15.75" customHeight="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3:29" ht="15.75" customHeight="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3:29" ht="15.75" customHeight="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3:29" ht="15.75" customHeight="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3:29" ht="15.75" customHeight="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3:29" ht="15.75" customHeight="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3:29" ht="15.75" customHeight="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3:29" ht="15.75" customHeight="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3:29" ht="15.75" customHeight="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3:29" ht="15.75" customHeight="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3:29" ht="15.75" customHeight="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3:29" ht="15.75" customHeight="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3:29" ht="15.75" customHeight="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3:29" ht="15.75" customHeight="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3:29" ht="15.75" customHeight="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3:29" ht="15.75" customHeight="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3:29" ht="15.75" customHeight="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3:29" ht="15.75" customHeight="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3:29" ht="15.75" customHeight="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3:29" ht="15.75" customHeight="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3:29" ht="15.75" customHeight="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3:29" ht="15.75" customHeight="1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3:29" ht="15.75" customHeight="1" x14ac:dyDescent="0.2"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3:29" ht="15.75" customHeight="1" x14ac:dyDescent="0.2">
      <c r="C191" s="2"/>
      <c r="D191" s="2"/>
      <c r="E191" s="2"/>
      <c r="F191" s="36"/>
      <c r="G191" s="3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3:29" ht="15.75" customHeight="1" x14ac:dyDescent="0.2">
      <c r="C192" s="2"/>
      <c r="D192" s="2"/>
      <c r="E192" s="2"/>
      <c r="F192" s="36"/>
      <c r="G192" s="3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3:29" ht="15.75" customHeight="1" x14ac:dyDescent="0.2">
      <c r="C193" s="2"/>
      <c r="D193" s="2"/>
      <c r="E193" s="2"/>
      <c r="F193" s="36"/>
      <c r="G193" s="3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3:29" ht="15.75" customHeight="1" x14ac:dyDescent="0.2">
      <c r="C194" s="2"/>
      <c r="D194" s="2"/>
      <c r="E194" s="2"/>
      <c r="F194" s="36"/>
      <c r="G194" s="3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3:29" ht="15.75" customHeight="1" x14ac:dyDescent="0.2">
      <c r="C195" s="2"/>
      <c r="D195" s="2"/>
      <c r="E195" s="2"/>
      <c r="F195" s="36"/>
      <c r="G195" s="3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3:29" ht="15.75" customHeight="1" x14ac:dyDescent="0.2">
      <c r="C196" s="2"/>
      <c r="D196" s="2"/>
      <c r="E196" s="2"/>
      <c r="F196" s="36"/>
      <c r="G196" s="3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3:29" ht="15.75" customHeight="1" x14ac:dyDescent="0.2">
      <c r="C197" s="2"/>
      <c r="D197" s="2"/>
      <c r="E197" s="2"/>
      <c r="F197" s="36"/>
      <c r="G197" s="3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3:29" ht="15.75" customHeight="1" x14ac:dyDescent="0.2">
      <c r="C198" s="2"/>
      <c r="D198" s="2"/>
      <c r="E198" s="2"/>
      <c r="F198" s="36"/>
      <c r="G198" s="3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3:29" ht="15.75" customHeight="1" x14ac:dyDescent="0.2">
      <c r="C199" s="2"/>
      <c r="D199" s="2"/>
      <c r="E199" s="2"/>
      <c r="F199" s="36"/>
      <c r="G199" s="3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3:29" ht="15.75" customHeight="1" x14ac:dyDescent="0.2">
      <c r="C200" s="2"/>
      <c r="D200" s="2"/>
      <c r="E200" s="2"/>
      <c r="F200" s="36"/>
      <c r="G200" s="3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3:29" ht="15.75" customHeight="1" x14ac:dyDescent="0.2">
      <c r="C201" s="2"/>
      <c r="D201" s="2"/>
      <c r="E201" s="2"/>
      <c r="F201" s="36"/>
      <c r="G201" s="3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3:29" ht="15.75" customHeight="1" x14ac:dyDescent="0.2">
      <c r="C202" s="2"/>
      <c r="D202" s="2"/>
      <c r="E202" s="2"/>
      <c r="F202" s="36"/>
      <c r="G202" s="3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3:29" ht="15.75" customHeight="1" x14ac:dyDescent="0.2">
      <c r="C203" s="2"/>
      <c r="D203" s="2"/>
      <c r="E203" s="2"/>
      <c r="F203" s="36"/>
      <c r="G203" s="3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3:29" ht="15.75" customHeight="1" x14ac:dyDescent="0.2">
      <c r="C204" s="2"/>
      <c r="D204" s="2"/>
      <c r="E204" s="2"/>
      <c r="F204" s="36"/>
      <c r="G204" s="3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3:29" ht="15.75" customHeight="1" x14ac:dyDescent="0.2">
      <c r="C205" s="2"/>
      <c r="D205" s="2"/>
      <c r="E205" s="2"/>
      <c r="F205" s="36"/>
      <c r="G205" s="3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3:29" ht="15.75" customHeight="1" x14ac:dyDescent="0.2">
      <c r="C206" s="2"/>
      <c r="D206" s="2"/>
      <c r="E206" s="2"/>
      <c r="F206" s="36"/>
      <c r="G206" s="3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3:29" ht="15.75" customHeight="1" x14ac:dyDescent="0.2">
      <c r="C207" s="2"/>
      <c r="D207" s="2"/>
      <c r="E207" s="2"/>
      <c r="F207" s="36"/>
      <c r="G207" s="3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3:29" ht="15.75" customHeight="1" x14ac:dyDescent="0.2">
      <c r="C208" s="2"/>
      <c r="D208" s="2"/>
      <c r="E208" s="2"/>
      <c r="F208" s="36"/>
      <c r="G208" s="3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3:29" ht="15.75" customHeight="1" x14ac:dyDescent="0.2">
      <c r="C209" s="2"/>
      <c r="D209" s="2"/>
      <c r="E209" s="2"/>
      <c r="F209" s="36"/>
      <c r="G209" s="3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3:29" ht="15.75" customHeight="1" x14ac:dyDescent="0.2">
      <c r="C210" s="2"/>
      <c r="D210" s="2"/>
      <c r="E210" s="2"/>
      <c r="F210" s="36"/>
      <c r="G210" s="3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3:29" ht="15.75" customHeight="1" x14ac:dyDescent="0.2">
      <c r="C211" s="2"/>
      <c r="D211" s="2"/>
      <c r="E211" s="2"/>
      <c r="F211" s="36"/>
      <c r="G211" s="3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3:29" ht="15.75" customHeight="1" x14ac:dyDescent="0.2">
      <c r="C212" s="2"/>
      <c r="D212" s="2"/>
      <c r="E212" s="2"/>
      <c r="F212" s="36"/>
      <c r="G212" s="3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3:29" ht="15.75" customHeight="1" x14ac:dyDescent="0.2">
      <c r="C213" s="2"/>
      <c r="D213" s="2"/>
      <c r="E213" s="2"/>
      <c r="F213" s="36"/>
      <c r="G213" s="3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3:29" ht="15.75" customHeight="1" x14ac:dyDescent="0.2">
      <c r="C214" s="2"/>
      <c r="D214" s="2"/>
      <c r="E214" s="2"/>
      <c r="F214" s="36"/>
      <c r="G214" s="3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3:29" ht="15.75" customHeight="1" x14ac:dyDescent="0.2">
      <c r="C215" s="2"/>
      <c r="D215" s="2"/>
      <c r="E215" s="2"/>
      <c r="F215" s="36"/>
      <c r="G215" s="3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3:29" ht="15.75" customHeight="1" x14ac:dyDescent="0.2">
      <c r="C216" s="2"/>
      <c r="D216" s="2"/>
      <c r="E216" s="2"/>
      <c r="F216" s="36"/>
      <c r="G216" s="3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3:29" ht="15.75" customHeight="1" x14ac:dyDescent="0.2">
      <c r="C217" s="2"/>
      <c r="D217" s="2"/>
      <c r="E217" s="2"/>
      <c r="F217" s="36"/>
      <c r="G217" s="3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3:29" ht="15.75" customHeight="1" x14ac:dyDescent="0.2">
      <c r="C218" s="2"/>
      <c r="D218" s="2"/>
      <c r="E218" s="2"/>
      <c r="F218" s="36"/>
      <c r="G218" s="3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3:29" ht="15.75" customHeight="1" x14ac:dyDescent="0.2">
      <c r="C219" s="2"/>
      <c r="D219" s="2"/>
      <c r="E219" s="2"/>
      <c r="F219" s="36"/>
      <c r="G219" s="3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3:29" ht="15.75" customHeight="1" x14ac:dyDescent="0.2">
      <c r="C220" s="2"/>
      <c r="D220" s="2"/>
      <c r="E220" s="2"/>
      <c r="F220" s="36"/>
      <c r="G220" s="3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3:29" ht="15.75" customHeight="1" x14ac:dyDescent="0.2">
      <c r="C221" s="2"/>
      <c r="D221" s="2"/>
      <c r="E221" s="2"/>
      <c r="F221" s="36"/>
      <c r="G221" s="3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3:29" ht="15.75" customHeight="1" x14ac:dyDescent="0.2">
      <c r="C222" s="2"/>
      <c r="D222" s="2"/>
      <c r="E222" s="2"/>
      <c r="F222" s="36"/>
      <c r="G222" s="3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3:29" ht="15.75" customHeight="1" x14ac:dyDescent="0.2">
      <c r="C223" s="2"/>
      <c r="D223" s="2"/>
      <c r="E223" s="2"/>
      <c r="F223" s="36"/>
      <c r="G223" s="3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3:29" ht="15.75" customHeight="1" x14ac:dyDescent="0.2">
      <c r="C224" s="2"/>
      <c r="D224" s="2"/>
      <c r="E224" s="2"/>
      <c r="F224" s="36"/>
      <c r="G224" s="3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3:29" ht="15.75" customHeight="1" x14ac:dyDescent="0.2">
      <c r="C225" s="2"/>
      <c r="D225" s="2"/>
      <c r="E225" s="2"/>
      <c r="F225" s="36"/>
      <c r="G225" s="3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3:29" ht="15.75" customHeight="1" x14ac:dyDescent="0.2">
      <c r="C226" s="2"/>
      <c r="D226" s="2"/>
      <c r="E226" s="2"/>
      <c r="F226" s="36"/>
      <c r="G226" s="3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3:29" ht="15.75" customHeight="1" x14ac:dyDescent="0.2">
      <c r="C227" s="2"/>
      <c r="D227" s="2"/>
      <c r="E227" s="2"/>
      <c r="F227" s="36"/>
      <c r="G227" s="3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3:29" ht="15.75" customHeight="1" x14ac:dyDescent="0.2">
      <c r="C228" s="2"/>
      <c r="D228" s="2"/>
      <c r="E228" s="2"/>
      <c r="F228" s="36"/>
      <c r="G228" s="3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3:29" ht="15.75" customHeight="1" x14ac:dyDescent="0.2">
      <c r="C229" s="2"/>
      <c r="D229" s="2"/>
      <c r="E229" s="2"/>
      <c r="F229" s="36"/>
      <c r="G229" s="3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3:29" ht="15.75" customHeight="1" x14ac:dyDescent="0.2">
      <c r="C230" s="2"/>
      <c r="D230" s="2"/>
      <c r="E230" s="2"/>
      <c r="F230" s="36"/>
      <c r="G230" s="3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3:29" ht="15.75" customHeight="1" x14ac:dyDescent="0.2">
      <c r="C231" s="2"/>
      <c r="D231" s="2"/>
      <c r="E231" s="2"/>
      <c r="F231" s="36"/>
      <c r="G231" s="3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3:29" ht="15.75" customHeight="1" x14ac:dyDescent="0.2">
      <c r="C232" s="2"/>
      <c r="D232" s="2"/>
      <c r="E232" s="2"/>
      <c r="F232" s="36"/>
      <c r="G232" s="3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3:29" ht="15.75" customHeight="1" x14ac:dyDescent="0.2">
      <c r="C233" s="2"/>
      <c r="D233" s="2"/>
      <c r="E233" s="2"/>
      <c r="F233" s="36"/>
      <c r="G233" s="3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3:29" ht="15.75" customHeight="1" x14ac:dyDescent="0.2">
      <c r="C234" s="2"/>
      <c r="D234" s="2"/>
      <c r="E234" s="2"/>
      <c r="F234" s="36"/>
      <c r="G234" s="3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3:29" ht="15.75" customHeight="1" x14ac:dyDescent="0.2">
      <c r="C235" s="2"/>
      <c r="D235" s="2"/>
      <c r="E235" s="2"/>
      <c r="F235" s="36"/>
      <c r="G235" s="3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3:29" ht="15.75" customHeight="1" x14ac:dyDescent="0.2">
      <c r="C236" s="2"/>
      <c r="D236" s="2"/>
      <c r="E236" s="2"/>
      <c r="F236" s="36"/>
      <c r="G236" s="3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3:29" ht="15.75" customHeight="1" x14ac:dyDescent="0.2">
      <c r="C237" s="2"/>
      <c r="D237" s="2"/>
      <c r="E237" s="2"/>
      <c r="F237" s="36"/>
      <c r="G237" s="3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3:29" ht="15.75" customHeight="1" x14ac:dyDescent="0.2">
      <c r="C238" s="2"/>
      <c r="D238" s="2"/>
      <c r="E238" s="2"/>
      <c r="F238" s="36"/>
      <c r="G238" s="3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3:29" ht="15.75" customHeight="1" x14ac:dyDescent="0.2">
      <c r="C239" s="2"/>
      <c r="D239" s="2"/>
      <c r="E239" s="2"/>
      <c r="F239" s="36"/>
      <c r="G239" s="3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3:29" ht="15.75" customHeight="1" x14ac:dyDescent="0.2">
      <c r="C240" s="2"/>
      <c r="D240" s="2"/>
      <c r="E240" s="2"/>
      <c r="F240" s="36"/>
      <c r="G240" s="3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3:29" ht="15.75" customHeight="1" x14ac:dyDescent="0.2">
      <c r="C241" s="2"/>
      <c r="D241" s="2"/>
      <c r="E241" s="2"/>
      <c r="F241" s="36"/>
      <c r="G241" s="3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3:29" ht="15.75" customHeight="1" x14ac:dyDescent="0.2">
      <c r="C242" s="2"/>
      <c r="D242" s="2"/>
      <c r="E242" s="2"/>
      <c r="F242" s="36"/>
      <c r="G242" s="3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3:29" ht="15.75" customHeight="1" x14ac:dyDescent="0.2">
      <c r="C243" s="2"/>
      <c r="D243" s="2"/>
      <c r="E243" s="2"/>
      <c r="F243" s="36"/>
      <c r="G243" s="3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3:29" ht="15.75" customHeight="1" x14ac:dyDescent="0.2">
      <c r="C244" s="2"/>
      <c r="D244" s="2"/>
      <c r="E244" s="2"/>
      <c r="F244" s="36"/>
      <c r="G244" s="3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3:29" ht="15.75" customHeight="1" x14ac:dyDescent="0.2">
      <c r="C245" s="2"/>
      <c r="D245" s="2"/>
      <c r="E245" s="2"/>
      <c r="F245" s="36"/>
      <c r="G245" s="3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3:29" ht="15.75" customHeight="1" x14ac:dyDescent="0.2">
      <c r="C246" s="2"/>
      <c r="D246" s="2"/>
      <c r="E246" s="2"/>
      <c r="F246" s="36"/>
      <c r="G246" s="3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3:29" ht="15.75" customHeight="1" x14ac:dyDescent="0.2">
      <c r="C247" s="2"/>
      <c r="D247" s="2"/>
      <c r="E247" s="2"/>
      <c r="F247" s="36"/>
      <c r="G247" s="3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3:29" ht="15.75" customHeight="1" x14ac:dyDescent="0.2">
      <c r="C248" s="2"/>
      <c r="D248" s="2"/>
      <c r="E248" s="2"/>
      <c r="F248" s="36"/>
      <c r="G248" s="3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3:29" ht="15.75" customHeight="1" x14ac:dyDescent="0.2">
      <c r="C249" s="2"/>
      <c r="D249" s="2"/>
      <c r="E249" s="2"/>
      <c r="F249" s="36"/>
      <c r="G249" s="3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3:29" ht="15.75" customHeight="1" x14ac:dyDescent="0.2">
      <c r="C250" s="2"/>
      <c r="D250" s="2"/>
      <c r="E250" s="2"/>
      <c r="F250" s="36"/>
      <c r="G250" s="3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3:29" ht="15.75" customHeight="1" x14ac:dyDescent="0.2">
      <c r="C251" s="2"/>
      <c r="D251" s="2"/>
      <c r="E251" s="2"/>
      <c r="F251" s="36"/>
      <c r="G251" s="3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3:29" ht="15.75" customHeight="1" x14ac:dyDescent="0.2">
      <c r="C252" s="2"/>
      <c r="D252" s="2"/>
      <c r="E252" s="2"/>
      <c r="F252" s="36"/>
      <c r="G252" s="3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3:29" ht="15.75" customHeight="1" x14ac:dyDescent="0.2">
      <c r="C253" s="2"/>
      <c r="D253" s="2"/>
      <c r="E253" s="2"/>
      <c r="F253" s="36"/>
      <c r="G253" s="3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3:29" ht="15.75" customHeight="1" x14ac:dyDescent="0.2">
      <c r="C254" s="2"/>
      <c r="D254" s="2"/>
      <c r="E254" s="2"/>
      <c r="F254" s="36"/>
      <c r="G254" s="3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3:29" ht="15.75" customHeight="1" x14ac:dyDescent="0.2">
      <c r="C255" s="2"/>
      <c r="D255" s="2"/>
      <c r="E255" s="2"/>
      <c r="F255" s="36"/>
      <c r="G255" s="3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3:29" ht="15.75" customHeight="1" x14ac:dyDescent="0.2">
      <c r="C256" s="2"/>
      <c r="D256" s="2"/>
      <c r="E256" s="2"/>
      <c r="F256" s="36"/>
      <c r="G256" s="3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3:29" ht="15.75" customHeight="1" x14ac:dyDescent="0.2">
      <c r="C257" s="2"/>
      <c r="D257" s="2"/>
      <c r="E257" s="2"/>
      <c r="F257" s="36"/>
      <c r="G257" s="3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3:29" ht="15.75" customHeight="1" x14ac:dyDescent="0.2">
      <c r="C258" s="2"/>
      <c r="D258" s="2"/>
      <c r="E258" s="2"/>
      <c r="F258" s="36"/>
      <c r="G258" s="3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3:29" ht="15.75" customHeight="1" x14ac:dyDescent="0.2">
      <c r="C259" s="2"/>
      <c r="D259" s="2"/>
      <c r="E259" s="2"/>
      <c r="F259" s="36"/>
      <c r="G259" s="3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3:29" ht="15.75" customHeight="1" x14ac:dyDescent="0.2">
      <c r="C260" s="2"/>
      <c r="D260" s="2"/>
      <c r="E260" s="2"/>
      <c r="F260" s="36"/>
      <c r="G260" s="3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3:29" ht="15.75" customHeight="1" x14ac:dyDescent="0.2">
      <c r="C261" s="2"/>
      <c r="D261" s="2"/>
      <c r="E261" s="2"/>
      <c r="F261" s="36"/>
      <c r="G261" s="3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3:29" ht="15.75" customHeight="1" x14ac:dyDescent="0.2">
      <c r="C262" s="2"/>
      <c r="D262" s="2"/>
      <c r="E262" s="2"/>
      <c r="F262" s="36"/>
      <c r="G262" s="3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3:29" ht="15.75" customHeight="1" x14ac:dyDescent="0.2">
      <c r="C263" s="2"/>
      <c r="D263" s="2"/>
      <c r="E263" s="2"/>
      <c r="F263" s="36"/>
      <c r="G263" s="3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3:29" ht="15.75" customHeight="1" x14ac:dyDescent="0.2">
      <c r="C264" s="2"/>
      <c r="D264" s="2"/>
      <c r="E264" s="2"/>
      <c r="F264" s="36"/>
      <c r="G264" s="3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3:29" ht="15.75" customHeight="1" x14ac:dyDescent="0.2">
      <c r="C265" s="2"/>
      <c r="D265" s="2"/>
      <c r="E265" s="2"/>
      <c r="F265" s="36"/>
      <c r="G265" s="3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3:29" ht="15.75" customHeight="1" x14ac:dyDescent="0.2">
      <c r="C266" s="2"/>
      <c r="D266" s="2"/>
      <c r="E266" s="2"/>
      <c r="F266" s="36"/>
      <c r="G266" s="3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3:29" ht="15.75" customHeight="1" x14ac:dyDescent="0.2">
      <c r="C267" s="2"/>
      <c r="D267" s="2"/>
      <c r="E267" s="2"/>
      <c r="F267" s="36"/>
      <c r="G267" s="3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3:29" ht="15.75" customHeight="1" x14ac:dyDescent="0.2">
      <c r="C268" s="2"/>
      <c r="D268" s="2"/>
      <c r="E268" s="2"/>
      <c r="F268" s="36"/>
      <c r="G268" s="3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3:29" ht="15.75" customHeight="1" x14ac:dyDescent="0.2">
      <c r="C269" s="2"/>
      <c r="D269" s="2"/>
      <c r="E269" s="2"/>
      <c r="F269" s="36"/>
      <c r="G269" s="3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3:29" ht="15.75" customHeight="1" x14ac:dyDescent="0.2">
      <c r="C270" s="2"/>
      <c r="D270" s="2"/>
      <c r="E270" s="2"/>
      <c r="F270" s="36"/>
      <c r="G270" s="3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3:29" ht="15.75" customHeight="1" x14ac:dyDescent="0.2">
      <c r="C271" s="2"/>
      <c r="D271" s="2"/>
      <c r="E271" s="2"/>
      <c r="F271" s="36"/>
      <c r="G271" s="3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3:29" ht="15.75" customHeight="1" x14ac:dyDescent="0.2">
      <c r="C272" s="2"/>
      <c r="D272" s="2"/>
      <c r="E272" s="2"/>
      <c r="F272" s="36"/>
      <c r="G272" s="3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3:29" ht="15.75" customHeight="1" x14ac:dyDescent="0.2">
      <c r="C273" s="2"/>
      <c r="D273" s="2"/>
      <c r="E273" s="2"/>
      <c r="F273" s="36"/>
      <c r="G273" s="3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3:29" ht="15.75" customHeight="1" x14ac:dyDescent="0.2">
      <c r="C274" s="2"/>
      <c r="D274" s="2"/>
      <c r="E274" s="2"/>
      <c r="F274" s="36"/>
      <c r="G274" s="3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3:29" ht="15.75" customHeight="1" x14ac:dyDescent="0.2">
      <c r="C275" s="2"/>
      <c r="D275" s="2"/>
      <c r="E275" s="2"/>
      <c r="F275" s="36"/>
      <c r="G275" s="3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3:29" ht="15.75" customHeight="1" x14ac:dyDescent="0.2">
      <c r="C276" s="2"/>
      <c r="D276" s="2"/>
      <c r="E276" s="2"/>
      <c r="F276" s="36"/>
      <c r="G276" s="3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3:29" ht="15.75" customHeight="1" x14ac:dyDescent="0.2">
      <c r="C277" s="2"/>
      <c r="D277" s="2"/>
      <c r="E277" s="2"/>
      <c r="F277" s="36"/>
      <c r="G277" s="3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3:29" ht="15.75" customHeight="1" x14ac:dyDescent="0.2">
      <c r="C278" s="2"/>
      <c r="D278" s="2"/>
      <c r="E278" s="2"/>
      <c r="F278" s="36"/>
      <c r="G278" s="3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3:29" ht="15.75" customHeight="1" x14ac:dyDescent="0.2">
      <c r="C279" s="2"/>
      <c r="D279" s="2"/>
      <c r="E279" s="2"/>
      <c r="F279" s="36"/>
      <c r="G279" s="3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3:29" ht="15.75" customHeight="1" x14ac:dyDescent="0.2">
      <c r="C280" s="2"/>
      <c r="D280" s="2"/>
      <c r="E280" s="2"/>
      <c r="F280" s="36"/>
      <c r="G280" s="3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3:29" ht="15.75" customHeight="1" x14ac:dyDescent="0.2">
      <c r="C281" s="2"/>
      <c r="D281" s="2"/>
      <c r="E281" s="2"/>
      <c r="F281" s="36"/>
      <c r="G281" s="3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3:29" ht="15.75" customHeight="1" x14ac:dyDescent="0.2">
      <c r="C282" s="2"/>
      <c r="D282" s="2"/>
      <c r="E282" s="2"/>
      <c r="F282" s="36"/>
      <c r="G282" s="3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3:29" ht="15.75" customHeight="1" x14ac:dyDescent="0.2">
      <c r="C283" s="2"/>
      <c r="D283" s="2"/>
      <c r="E283" s="2"/>
      <c r="F283" s="36"/>
      <c r="G283" s="3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3:29" ht="15.75" customHeight="1" x14ac:dyDescent="0.2">
      <c r="C284" s="2"/>
      <c r="D284" s="2"/>
      <c r="E284" s="2"/>
      <c r="F284" s="36"/>
      <c r="G284" s="3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3:29" ht="15.75" customHeight="1" x14ac:dyDescent="0.2">
      <c r="C285" s="2"/>
      <c r="D285" s="2"/>
      <c r="E285" s="2"/>
      <c r="F285" s="36"/>
      <c r="G285" s="3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3:29" ht="15.75" customHeight="1" x14ac:dyDescent="0.2">
      <c r="C286" s="2"/>
      <c r="D286" s="2"/>
      <c r="E286" s="2"/>
      <c r="F286" s="36"/>
      <c r="G286" s="3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3:29" ht="15.75" customHeight="1" x14ac:dyDescent="0.2">
      <c r="C287" s="2"/>
      <c r="D287" s="2"/>
      <c r="E287" s="2"/>
      <c r="F287" s="36"/>
      <c r="G287" s="3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3:29" ht="15.75" customHeight="1" x14ac:dyDescent="0.2">
      <c r="C288" s="2"/>
      <c r="D288" s="2"/>
      <c r="E288" s="2"/>
      <c r="F288" s="36"/>
      <c r="G288" s="3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3:29" ht="15.75" customHeight="1" x14ac:dyDescent="0.2">
      <c r="C289" s="2"/>
      <c r="D289" s="2"/>
      <c r="E289" s="2"/>
      <c r="F289" s="36"/>
      <c r="G289" s="3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3:29" ht="15.75" customHeight="1" x14ac:dyDescent="0.2">
      <c r="C290" s="2"/>
      <c r="D290" s="2"/>
      <c r="E290" s="2"/>
      <c r="F290" s="36"/>
      <c r="G290" s="3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3:29" ht="15.75" customHeight="1" x14ac:dyDescent="0.2">
      <c r="C291" s="2"/>
      <c r="D291" s="2"/>
      <c r="E291" s="2"/>
      <c r="F291" s="36"/>
      <c r="G291" s="3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3:29" ht="15.75" customHeight="1" x14ac:dyDescent="0.2">
      <c r="C292" s="2"/>
      <c r="D292" s="2"/>
      <c r="E292" s="2"/>
      <c r="F292" s="36"/>
      <c r="G292" s="3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3:29" ht="15.75" customHeight="1" x14ac:dyDescent="0.2">
      <c r="C293" s="2"/>
      <c r="D293" s="2"/>
      <c r="E293" s="2"/>
      <c r="F293" s="36"/>
      <c r="G293" s="3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3:29" ht="15.75" customHeight="1" x14ac:dyDescent="0.2">
      <c r="C294" s="2"/>
      <c r="D294" s="2"/>
      <c r="E294" s="2"/>
      <c r="F294" s="36"/>
      <c r="G294" s="3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3:29" ht="15.75" customHeight="1" x14ac:dyDescent="0.2">
      <c r="C295" s="2"/>
      <c r="D295" s="2"/>
      <c r="E295" s="2"/>
      <c r="F295" s="36"/>
      <c r="G295" s="3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3:29" ht="15.75" customHeight="1" x14ac:dyDescent="0.2">
      <c r="C296" s="2"/>
      <c r="D296" s="2"/>
      <c r="E296" s="2"/>
      <c r="F296" s="36"/>
      <c r="G296" s="3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3:29" ht="15.75" customHeight="1" x14ac:dyDescent="0.2">
      <c r="C297" s="2"/>
      <c r="D297" s="2"/>
      <c r="E297" s="2"/>
      <c r="F297" s="36"/>
      <c r="G297" s="3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3:29" ht="15.75" customHeight="1" x14ac:dyDescent="0.2">
      <c r="C298" s="2"/>
      <c r="D298" s="2"/>
      <c r="E298" s="2"/>
      <c r="F298" s="36"/>
      <c r="G298" s="3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3:29" ht="15.75" customHeight="1" x14ac:dyDescent="0.2">
      <c r="C299" s="2"/>
      <c r="D299" s="2"/>
      <c r="E299" s="2"/>
      <c r="F299" s="36"/>
      <c r="G299" s="3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3:29" ht="15.75" customHeight="1" x14ac:dyDescent="0.2">
      <c r="C300" s="2"/>
      <c r="D300" s="2"/>
      <c r="E300" s="2"/>
      <c r="F300" s="36"/>
      <c r="G300" s="3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3:29" ht="15.75" customHeight="1" x14ac:dyDescent="0.2">
      <c r="C301" s="2"/>
      <c r="D301" s="2"/>
      <c r="E301" s="2"/>
      <c r="F301" s="36"/>
      <c r="G301" s="3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3:29" ht="15.75" customHeight="1" x14ac:dyDescent="0.2">
      <c r="C302" s="2"/>
      <c r="D302" s="2"/>
      <c r="E302" s="2"/>
      <c r="F302" s="36"/>
      <c r="G302" s="3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3:29" ht="15.75" customHeight="1" x14ac:dyDescent="0.2">
      <c r="C303" s="2"/>
      <c r="D303" s="2"/>
      <c r="E303" s="2"/>
      <c r="F303" s="36"/>
      <c r="G303" s="3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3:29" ht="15.75" customHeight="1" x14ac:dyDescent="0.2">
      <c r="C304" s="2"/>
      <c r="D304" s="2"/>
      <c r="E304" s="2"/>
      <c r="F304" s="36"/>
      <c r="G304" s="3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3:29" ht="15.75" customHeight="1" x14ac:dyDescent="0.2">
      <c r="C305" s="2"/>
      <c r="D305" s="2"/>
      <c r="E305" s="2"/>
      <c r="F305" s="36"/>
      <c r="G305" s="3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3:29" ht="15.75" customHeight="1" x14ac:dyDescent="0.2">
      <c r="C306" s="2"/>
      <c r="D306" s="2"/>
      <c r="E306" s="2"/>
      <c r="F306" s="36"/>
      <c r="G306" s="3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3:29" ht="15.75" customHeight="1" x14ac:dyDescent="0.2">
      <c r="C307" s="2"/>
      <c r="D307" s="2"/>
      <c r="E307" s="2"/>
      <c r="F307" s="36"/>
      <c r="G307" s="3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3:29" ht="15.75" customHeight="1" x14ac:dyDescent="0.2">
      <c r="C308" s="2"/>
      <c r="D308" s="2"/>
      <c r="E308" s="2"/>
      <c r="F308" s="36"/>
      <c r="G308" s="3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3:29" ht="15.75" customHeight="1" x14ac:dyDescent="0.2">
      <c r="C309" s="2"/>
      <c r="D309" s="2"/>
      <c r="E309" s="2"/>
      <c r="F309" s="36"/>
      <c r="G309" s="3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3:29" ht="15.75" customHeight="1" x14ac:dyDescent="0.2">
      <c r="C310" s="2"/>
      <c r="D310" s="2"/>
      <c r="E310" s="2"/>
      <c r="F310" s="36"/>
      <c r="G310" s="3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3:29" ht="15.75" customHeight="1" x14ac:dyDescent="0.2">
      <c r="C311" s="2"/>
      <c r="D311" s="2"/>
      <c r="E311" s="2"/>
      <c r="F311" s="36"/>
      <c r="G311" s="3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3:29" ht="15.75" customHeight="1" x14ac:dyDescent="0.2">
      <c r="C312" s="2"/>
      <c r="D312" s="2"/>
      <c r="E312" s="2"/>
      <c r="F312" s="36"/>
      <c r="G312" s="3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3:29" ht="15.75" customHeight="1" x14ac:dyDescent="0.2">
      <c r="C313" s="2"/>
      <c r="D313" s="2"/>
      <c r="E313" s="2"/>
      <c r="F313" s="36"/>
      <c r="G313" s="3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3:29" ht="15.75" customHeight="1" x14ac:dyDescent="0.2">
      <c r="C314" s="2"/>
      <c r="D314" s="2"/>
      <c r="E314" s="2"/>
      <c r="F314" s="36"/>
      <c r="G314" s="3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3:29" ht="15.75" customHeight="1" x14ac:dyDescent="0.2">
      <c r="C315" s="2"/>
      <c r="D315" s="2"/>
      <c r="E315" s="2"/>
      <c r="F315" s="36"/>
      <c r="G315" s="3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3:29" ht="15.75" customHeight="1" x14ac:dyDescent="0.2">
      <c r="C316" s="2"/>
      <c r="D316" s="2"/>
      <c r="E316" s="2"/>
      <c r="F316" s="36"/>
      <c r="G316" s="3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3:29" ht="15.75" customHeight="1" x14ac:dyDescent="0.2">
      <c r="C317" s="2"/>
      <c r="D317" s="2"/>
      <c r="E317" s="2"/>
      <c r="F317" s="36"/>
      <c r="G317" s="3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3:29" ht="15.75" customHeight="1" x14ac:dyDescent="0.2">
      <c r="C318" s="2"/>
      <c r="D318" s="2"/>
      <c r="E318" s="2"/>
      <c r="F318" s="36"/>
      <c r="G318" s="3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3:29" ht="15.75" customHeight="1" x14ac:dyDescent="0.2">
      <c r="C319" s="2"/>
      <c r="D319" s="2"/>
      <c r="E319" s="2"/>
      <c r="F319" s="36"/>
      <c r="G319" s="3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3:29" ht="15.75" customHeight="1" x14ac:dyDescent="0.2">
      <c r="C320" s="2"/>
      <c r="D320" s="2"/>
      <c r="E320" s="2"/>
      <c r="F320" s="36"/>
      <c r="G320" s="3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3:29" ht="15.75" customHeight="1" x14ac:dyDescent="0.2">
      <c r="C321" s="2"/>
      <c r="D321" s="2"/>
      <c r="E321" s="2"/>
      <c r="F321" s="36"/>
      <c r="G321" s="3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3:29" ht="15.75" customHeight="1" x14ac:dyDescent="0.2">
      <c r="C322" s="2"/>
      <c r="D322" s="2"/>
      <c r="E322" s="2"/>
      <c r="F322" s="36"/>
      <c r="G322" s="3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3:29" ht="15.75" customHeight="1" x14ac:dyDescent="0.2">
      <c r="C323" s="2"/>
      <c r="D323" s="2"/>
      <c r="E323" s="2"/>
      <c r="F323" s="36"/>
      <c r="G323" s="3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3:29" ht="15.75" customHeight="1" x14ac:dyDescent="0.2">
      <c r="C324" s="2"/>
      <c r="D324" s="2"/>
      <c r="E324" s="2"/>
      <c r="F324" s="36"/>
      <c r="G324" s="3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3:29" ht="15.75" customHeight="1" x14ac:dyDescent="0.2">
      <c r="C325" s="2"/>
      <c r="D325" s="2"/>
      <c r="E325" s="2"/>
      <c r="F325" s="36"/>
      <c r="G325" s="3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3:29" ht="15.75" customHeight="1" x14ac:dyDescent="0.2">
      <c r="C326" s="2"/>
      <c r="D326" s="2"/>
      <c r="E326" s="2"/>
      <c r="F326" s="36"/>
      <c r="G326" s="3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3:29" ht="15.75" customHeight="1" x14ac:dyDescent="0.2">
      <c r="C327" s="2"/>
      <c r="D327" s="2"/>
      <c r="E327" s="2"/>
      <c r="F327" s="36"/>
      <c r="G327" s="3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3:29" ht="15.75" customHeight="1" x14ac:dyDescent="0.2">
      <c r="C328" s="2"/>
      <c r="D328" s="2"/>
      <c r="E328" s="2"/>
      <c r="F328" s="36"/>
      <c r="G328" s="3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3:29" ht="15.75" customHeight="1" x14ac:dyDescent="0.2">
      <c r="C329" s="2"/>
      <c r="D329" s="2"/>
      <c r="E329" s="2"/>
      <c r="F329" s="36"/>
      <c r="G329" s="3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3:29" ht="15.75" customHeight="1" x14ac:dyDescent="0.2">
      <c r="C330" s="2"/>
      <c r="D330" s="2"/>
      <c r="E330" s="2"/>
      <c r="F330" s="36"/>
      <c r="G330" s="3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3:29" ht="15.75" customHeight="1" x14ac:dyDescent="0.2">
      <c r="C331" s="2"/>
      <c r="D331" s="2"/>
      <c r="E331" s="2"/>
      <c r="F331" s="36"/>
      <c r="G331" s="3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3:29" ht="15.75" customHeight="1" x14ac:dyDescent="0.2">
      <c r="C332" s="2"/>
      <c r="D332" s="2"/>
      <c r="E332" s="2"/>
      <c r="F332" s="36"/>
      <c r="G332" s="3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3:29" ht="15.75" customHeight="1" x14ac:dyDescent="0.2">
      <c r="C333" s="2"/>
      <c r="D333" s="2"/>
      <c r="E333" s="2"/>
      <c r="F333" s="36"/>
      <c r="G333" s="3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3:29" ht="15.75" customHeight="1" x14ac:dyDescent="0.2">
      <c r="C334" s="2"/>
      <c r="D334" s="2"/>
      <c r="E334" s="2"/>
      <c r="F334" s="36"/>
      <c r="G334" s="3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3:29" ht="15.75" customHeight="1" x14ac:dyDescent="0.2">
      <c r="C335" s="2"/>
      <c r="D335" s="2"/>
      <c r="E335" s="2"/>
      <c r="F335" s="36"/>
      <c r="G335" s="3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3:29" ht="15.75" customHeight="1" x14ac:dyDescent="0.2">
      <c r="C336" s="2"/>
      <c r="D336" s="2"/>
      <c r="E336" s="2"/>
      <c r="F336" s="36"/>
      <c r="G336" s="3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3:29" ht="15.75" customHeight="1" x14ac:dyDescent="0.2">
      <c r="C337" s="2"/>
      <c r="D337" s="2"/>
      <c r="E337" s="2"/>
      <c r="F337" s="36"/>
      <c r="G337" s="3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3:29" ht="15.75" customHeight="1" x14ac:dyDescent="0.2">
      <c r="C338" s="2"/>
      <c r="D338" s="2"/>
      <c r="E338" s="2"/>
      <c r="F338" s="36"/>
      <c r="G338" s="3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3:29" ht="15.75" customHeight="1" x14ac:dyDescent="0.2">
      <c r="C339" s="2"/>
      <c r="D339" s="2"/>
      <c r="E339" s="2"/>
      <c r="F339" s="36"/>
      <c r="G339" s="3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3:29" ht="15.75" customHeight="1" x14ac:dyDescent="0.2">
      <c r="C340" s="2"/>
      <c r="D340" s="2"/>
      <c r="E340" s="2"/>
      <c r="F340" s="36"/>
      <c r="G340" s="3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3:29" ht="15.75" customHeight="1" x14ac:dyDescent="0.2">
      <c r="C341" s="2"/>
      <c r="D341" s="2"/>
      <c r="E341" s="2"/>
      <c r="F341" s="36"/>
      <c r="G341" s="3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3:29" ht="15.75" customHeight="1" x14ac:dyDescent="0.2">
      <c r="C342" s="2"/>
      <c r="D342" s="2"/>
      <c r="E342" s="2"/>
      <c r="F342" s="36"/>
      <c r="G342" s="3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3:29" ht="15.75" customHeight="1" x14ac:dyDescent="0.2">
      <c r="C343" s="2"/>
      <c r="D343" s="2"/>
      <c r="E343" s="2"/>
      <c r="F343" s="36"/>
      <c r="G343" s="3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3:29" ht="15.75" customHeight="1" x14ac:dyDescent="0.2">
      <c r="C344" s="2"/>
      <c r="D344" s="2"/>
      <c r="E344" s="2"/>
      <c r="F344" s="36"/>
      <c r="G344" s="3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3:29" ht="15.75" customHeight="1" x14ac:dyDescent="0.2">
      <c r="C345" s="2"/>
      <c r="D345" s="2"/>
      <c r="E345" s="2"/>
      <c r="F345" s="36"/>
      <c r="G345" s="3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3:29" ht="15.75" customHeight="1" x14ac:dyDescent="0.2">
      <c r="C346" s="2"/>
      <c r="D346" s="2"/>
      <c r="E346" s="2"/>
      <c r="F346" s="36"/>
      <c r="G346" s="3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3:29" ht="15.75" customHeight="1" x14ac:dyDescent="0.2">
      <c r="C347" s="2"/>
      <c r="D347" s="2"/>
      <c r="E347" s="2"/>
      <c r="F347" s="36"/>
      <c r="G347" s="3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3:29" ht="15.75" customHeight="1" x14ac:dyDescent="0.2">
      <c r="C348" s="2"/>
      <c r="D348" s="2"/>
      <c r="E348" s="2"/>
      <c r="F348" s="36"/>
      <c r="G348" s="3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3:29" ht="15.75" customHeight="1" x14ac:dyDescent="0.2">
      <c r="C349" s="2"/>
      <c r="D349" s="2"/>
      <c r="E349" s="2"/>
      <c r="F349" s="36"/>
      <c r="G349" s="3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3:29" ht="15.75" customHeight="1" x14ac:dyDescent="0.2">
      <c r="C350" s="2"/>
      <c r="D350" s="2"/>
      <c r="E350" s="2"/>
      <c r="F350" s="36"/>
      <c r="G350" s="3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3:29" ht="15.75" customHeight="1" x14ac:dyDescent="0.2">
      <c r="C351" s="2"/>
      <c r="D351" s="2"/>
      <c r="E351" s="2"/>
      <c r="F351" s="36"/>
      <c r="G351" s="3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3:29" ht="15.75" customHeight="1" x14ac:dyDescent="0.2">
      <c r="C352" s="2"/>
      <c r="D352" s="2"/>
      <c r="E352" s="2"/>
      <c r="F352" s="36"/>
      <c r="G352" s="3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3:29" ht="15.75" customHeight="1" x14ac:dyDescent="0.2">
      <c r="C353" s="2"/>
      <c r="D353" s="2"/>
      <c r="E353" s="2"/>
      <c r="F353" s="36"/>
      <c r="G353" s="3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3:29" ht="15.75" customHeight="1" x14ac:dyDescent="0.2">
      <c r="C354" s="2"/>
      <c r="D354" s="2"/>
      <c r="E354" s="2"/>
      <c r="F354" s="36"/>
      <c r="G354" s="3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3:29" ht="15.75" customHeight="1" x14ac:dyDescent="0.2">
      <c r="C355" s="2"/>
      <c r="D355" s="2"/>
      <c r="E355" s="2"/>
      <c r="F355" s="36"/>
      <c r="G355" s="3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3:29" ht="15.75" customHeight="1" x14ac:dyDescent="0.2">
      <c r="C356" s="2"/>
      <c r="D356" s="2"/>
      <c r="E356" s="2"/>
      <c r="F356" s="36"/>
      <c r="G356" s="3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3:29" ht="15.75" customHeight="1" x14ac:dyDescent="0.2">
      <c r="C357" s="2"/>
      <c r="D357" s="2"/>
      <c r="E357" s="2"/>
      <c r="F357" s="36"/>
      <c r="G357" s="3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3:29" ht="15.75" customHeight="1" x14ac:dyDescent="0.2">
      <c r="C358" s="2"/>
      <c r="D358" s="2"/>
      <c r="E358" s="2"/>
      <c r="F358" s="36"/>
      <c r="G358" s="3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3:29" ht="15.75" customHeight="1" x14ac:dyDescent="0.2">
      <c r="C359" s="2"/>
      <c r="D359" s="2"/>
      <c r="E359" s="2"/>
      <c r="F359" s="36"/>
      <c r="G359" s="3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3:29" ht="15.75" customHeight="1" x14ac:dyDescent="0.2">
      <c r="C360" s="2"/>
      <c r="D360" s="2"/>
      <c r="E360" s="2"/>
      <c r="F360" s="36"/>
      <c r="G360" s="3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3:29" ht="15.75" customHeight="1" x14ac:dyDescent="0.2">
      <c r="C361" s="2"/>
      <c r="D361" s="2"/>
      <c r="E361" s="2"/>
      <c r="F361" s="36"/>
      <c r="G361" s="3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3:29" ht="15.75" customHeight="1" x14ac:dyDescent="0.2">
      <c r="C362" s="2"/>
      <c r="D362" s="2"/>
      <c r="E362" s="2"/>
      <c r="F362" s="36"/>
      <c r="G362" s="3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3:29" ht="15.75" customHeight="1" x14ac:dyDescent="0.2">
      <c r="C363" s="2"/>
      <c r="D363" s="2"/>
      <c r="E363" s="2"/>
      <c r="F363" s="36"/>
      <c r="G363" s="3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3:29" ht="15.75" customHeight="1" x14ac:dyDescent="0.2">
      <c r="C364" s="2"/>
      <c r="D364" s="2"/>
      <c r="E364" s="2"/>
      <c r="F364" s="36"/>
      <c r="G364" s="3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3:29" ht="15.75" customHeight="1" x14ac:dyDescent="0.2">
      <c r="C365" s="2"/>
      <c r="D365" s="2"/>
      <c r="E365" s="2"/>
      <c r="F365" s="36"/>
      <c r="G365" s="3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3:29" ht="15.75" customHeight="1" x14ac:dyDescent="0.2">
      <c r="C366" s="2"/>
      <c r="D366" s="2"/>
      <c r="E366" s="2"/>
      <c r="F366" s="36"/>
      <c r="G366" s="3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3:29" ht="15.75" customHeight="1" x14ac:dyDescent="0.2">
      <c r="C367" s="2"/>
      <c r="D367" s="2"/>
      <c r="E367" s="2"/>
      <c r="F367" s="36"/>
      <c r="G367" s="3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3:29" ht="15.75" customHeight="1" x14ac:dyDescent="0.2">
      <c r="C368" s="2"/>
      <c r="D368" s="2"/>
      <c r="E368" s="2"/>
      <c r="F368" s="36"/>
      <c r="G368" s="3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3:29" ht="15.75" customHeight="1" x14ac:dyDescent="0.2">
      <c r="C369" s="2"/>
      <c r="D369" s="2"/>
      <c r="E369" s="2"/>
      <c r="F369" s="36"/>
      <c r="G369" s="3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3:29" ht="15.75" customHeight="1" x14ac:dyDescent="0.2">
      <c r="C370" s="2"/>
      <c r="D370" s="2"/>
      <c r="E370" s="2"/>
      <c r="F370" s="36"/>
      <c r="G370" s="3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3:29" ht="15.75" customHeight="1" x14ac:dyDescent="0.2">
      <c r="C371" s="2"/>
      <c r="D371" s="2"/>
      <c r="E371" s="2"/>
      <c r="F371" s="36"/>
      <c r="G371" s="3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3:29" ht="15.75" customHeight="1" x14ac:dyDescent="0.2">
      <c r="C372" s="2"/>
      <c r="D372" s="2"/>
      <c r="E372" s="2"/>
      <c r="F372" s="36"/>
      <c r="G372" s="3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3:29" ht="15.75" customHeight="1" x14ac:dyDescent="0.2">
      <c r="C373" s="2"/>
      <c r="D373" s="2"/>
      <c r="E373" s="2"/>
      <c r="F373" s="36"/>
      <c r="G373" s="3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3:29" ht="15.75" customHeight="1" x14ac:dyDescent="0.2">
      <c r="C374" s="2"/>
      <c r="D374" s="2"/>
      <c r="E374" s="2"/>
      <c r="F374" s="36"/>
      <c r="G374" s="3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3:29" ht="15.75" customHeight="1" x14ac:dyDescent="0.2">
      <c r="C375" s="2"/>
      <c r="D375" s="2"/>
      <c r="E375" s="2"/>
      <c r="F375" s="36"/>
      <c r="G375" s="3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3:29" ht="15.75" customHeight="1" x14ac:dyDescent="0.2">
      <c r="C376" s="2"/>
      <c r="D376" s="2"/>
      <c r="E376" s="2"/>
      <c r="F376" s="36"/>
      <c r="G376" s="3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3:29" ht="15.75" customHeight="1" x14ac:dyDescent="0.2">
      <c r="C377" s="2"/>
      <c r="D377" s="2"/>
      <c r="E377" s="2"/>
      <c r="F377" s="36"/>
      <c r="G377" s="3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3:29" ht="15.75" customHeight="1" x14ac:dyDescent="0.2">
      <c r="C378" s="2"/>
      <c r="D378" s="2"/>
      <c r="E378" s="2"/>
      <c r="F378" s="36"/>
      <c r="G378" s="3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3:29" ht="15.75" customHeight="1" x14ac:dyDescent="0.2">
      <c r="C379" s="2"/>
      <c r="D379" s="2"/>
      <c r="E379" s="2"/>
      <c r="F379" s="36"/>
      <c r="G379" s="3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3:29" ht="15.75" customHeight="1" x14ac:dyDescent="0.2">
      <c r="C380" s="2"/>
      <c r="D380" s="2"/>
      <c r="E380" s="2"/>
      <c r="F380" s="36"/>
      <c r="G380" s="3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3:29" ht="15.75" customHeight="1" x14ac:dyDescent="0.2">
      <c r="C381" s="2"/>
      <c r="D381" s="2"/>
      <c r="E381" s="2"/>
      <c r="F381" s="36"/>
      <c r="G381" s="3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3:29" ht="15.75" customHeight="1" x14ac:dyDescent="0.2">
      <c r="C382" s="2"/>
      <c r="D382" s="2"/>
      <c r="E382" s="2"/>
      <c r="F382" s="36"/>
      <c r="G382" s="3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3:29" ht="15.75" customHeight="1" x14ac:dyDescent="0.2">
      <c r="C383" s="2"/>
      <c r="D383" s="2"/>
      <c r="E383" s="2"/>
      <c r="F383" s="36"/>
      <c r="G383" s="3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3:29" ht="15.75" customHeight="1" x14ac:dyDescent="0.2">
      <c r="C384" s="2"/>
      <c r="D384" s="2"/>
      <c r="E384" s="2"/>
      <c r="F384" s="36"/>
      <c r="G384" s="3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3:29" ht="15.75" customHeight="1" x14ac:dyDescent="0.2">
      <c r="C385" s="2"/>
      <c r="D385" s="2"/>
      <c r="E385" s="2"/>
      <c r="F385" s="36"/>
      <c r="G385" s="3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3:29" ht="15.75" customHeight="1" x14ac:dyDescent="0.2">
      <c r="C386" s="2"/>
      <c r="D386" s="2"/>
      <c r="E386" s="2"/>
      <c r="F386" s="36"/>
      <c r="G386" s="3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3:29" ht="15.75" customHeight="1" x14ac:dyDescent="0.2">
      <c r="C387" s="2"/>
      <c r="D387" s="2"/>
      <c r="E387" s="2"/>
      <c r="F387" s="36"/>
      <c r="G387" s="3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3:29" ht="15.75" customHeight="1" x14ac:dyDescent="0.2">
      <c r="C388" s="2"/>
      <c r="D388" s="2"/>
      <c r="E388" s="2"/>
      <c r="F388" s="36"/>
      <c r="G388" s="3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3:29" ht="15.75" customHeight="1" x14ac:dyDescent="0.2">
      <c r="C389" s="2"/>
      <c r="D389" s="2"/>
      <c r="E389" s="2"/>
      <c r="F389" s="36"/>
      <c r="G389" s="3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3:29" ht="15.75" customHeight="1" x14ac:dyDescent="0.2">
      <c r="C390" s="2"/>
      <c r="D390" s="2"/>
      <c r="E390" s="2"/>
      <c r="F390" s="36"/>
      <c r="G390" s="3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3:29" ht="15.75" customHeight="1" x14ac:dyDescent="0.2">
      <c r="C391" s="2"/>
      <c r="D391" s="2"/>
      <c r="E391" s="2"/>
      <c r="F391" s="36"/>
      <c r="G391" s="3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3:29" ht="15.75" customHeight="1" x14ac:dyDescent="0.2">
      <c r="C392" s="2"/>
      <c r="D392" s="2"/>
      <c r="E392" s="2"/>
      <c r="F392" s="36"/>
      <c r="G392" s="3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3:29" ht="15.75" customHeight="1" x14ac:dyDescent="0.2">
      <c r="C393" s="2"/>
      <c r="D393" s="2"/>
      <c r="E393" s="2"/>
      <c r="F393" s="36"/>
      <c r="G393" s="3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3:29" ht="15.75" customHeight="1" x14ac:dyDescent="0.2">
      <c r="C394" s="2"/>
      <c r="D394" s="2"/>
      <c r="E394" s="2"/>
      <c r="F394" s="36"/>
      <c r="G394" s="3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3:29" ht="15.75" customHeight="1" x14ac:dyDescent="0.2">
      <c r="C395" s="2"/>
      <c r="D395" s="2"/>
      <c r="E395" s="2"/>
      <c r="F395" s="36"/>
      <c r="G395" s="3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3:29" ht="15.75" customHeight="1" x14ac:dyDescent="0.2">
      <c r="C396" s="2"/>
      <c r="D396" s="2"/>
      <c r="E396" s="2"/>
      <c r="F396" s="36"/>
      <c r="G396" s="3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3:29" ht="15.75" customHeight="1" x14ac:dyDescent="0.2">
      <c r="C397" s="2"/>
      <c r="D397" s="2"/>
      <c r="E397" s="2"/>
      <c r="F397" s="36"/>
      <c r="G397" s="3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3:29" ht="15.75" customHeight="1" x14ac:dyDescent="0.2">
      <c r="C398" s="2"/>
      <c r="D398" s="2"/>
      <c r="E398" s="2"/>
      <c r="F398" s="36"/>
      <c r="G398" s="3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3:29" ht="15.75" customHeight="1" x14ac:dyDescent="0.2">
      <c r="C399" s="2"/>
      <c r="D399" s="2"/>
      <c r="E399" s="2"/>
      <c r="F399" s="36"/>
      <c r="G399" s="3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3:29" ht="15.75" customHeight="1" x14ac:dyDescent="0.2">
      <c r="C400" s="2"/>
      <c r="D400" s="2"/>
      <c r="E400" s="2"/>
      <c r="F400" s="36"/>
      <c r="G400" s="3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3:29" ht="15.75" customHeight="1" x14ac:dyDescent="0.2">
      <c r="C401" s="2"/>
      <c r="D401" s="2"/>
      <c r="E401" s="2"/>
      <c r="F401" s="36"/>
      <c r="G401" s="3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3:29" ht="15.75" customHeight="1" x14ac:dyDescent="0.2">
      <c r="C402" s="2"/>
      <c r="D402" s="2"/>
      <c r="E402" s="2"/>
      <c r="F402" s="36"/>
      <c r="G402" s="3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3:29" ht="15.75" customHeight="1" x14ac:dyDescent="0.2">
      <c r="C403" s="2"/>
      <c r="D403" s="2"/>
      <c r="E403" s="2"/>
      <c r="F403" s="36"/>
      <c r="G403" s="3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3:29" ht="15.75" customHeight="1" x14ac:dyDescent="0.2">
      <c r="C404" s="2"/>
      <c r="D404" s="2"/>
      <c r="E404" s="2"/>
      <c r="F404" s="36"/>
      <c r="G404" s="3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3:29" ht="15.75" customHeight="1" x14ac:dyDescent="0.2">
      <c r="C405" s="2"/>
      <c r="D405" s="2"/>
      <c r="E405" s="2"/>
      <c r="F405" s="36"/>
      <c r="G405" s="3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3:29" ht="15.75" customHeight="1" x14ac:dyDescent="0.2">
      <c r="C406" s="2"/>
      <c r="D406" s="2"/>
      <c r="E406" s="2"/>
      <c r="F406" s="36"/>
      <c r="G406" s="3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3:29" ht="15.75" customHeight="1" x14ac:dyDescent="0.2">
      <c r="C407" s="2"/>
      <c r="D407" s="2"/>
      <c r="E407" s="2"/>
      <c r="F407" s="36"/>
      <c r="G407" s="3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3:29" ht="15.75" customHeight="1" x14ac:dyDescent="0.2">
      <c r="C408" s="2"/>
      <c r="D408" s="2"/>
      <c r="E408" s="2"/>
      <c r="F408" s="36"/>
      <c r="G408" s="3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3:29" ht="15.75" customHeight="1" x14ac:dyDescent="0.2">
      <c r="C409" s="2"/>
      <c r="D409" s="2"/>
      <c r="E409" s="2"/>
      <c r="F409" s="36"/>
      <c r="G409" s="3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3:29" ht="15.75" customHeight="1" x14ac:dyDescent="0.2">
      <c r="C410" s="2"/>
      <c r="D410" s="2"/>
      <c r="E410" s="2"/>
      <c r="F410" s="36"/>
      <c r="G410" s="3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3:29" ht="15.75" customHeight="1" x14ac:dyDescent="0.2">
      <c r="C411" s="2"/>
      <c r="D411" s="2"/>
      <c r="E411" s="2"/>
      <c r="F411" s="36"/>
      <c r="G411" s="3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3:29" ht="15.75" customHeight="1" x14ac:dyDescent="0.2">
      <c r="C412" s="2"/>
      <c r="D412" s="2"/>
      <c r="E412" s="2"/>
      <c r="F412" s="36"/>
      <c r="G412" s="3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3:29" ht="15.75" customHeight="1" x14ac:dyDescent="0.2">
      <c r="C413" s="2"/>
      <c r="D413" s="2"/>
      <c r="E413" s="2"/>
      <c r="F413" s="36"/>
      <c r="G413" s="3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3:29" ht="15.75" customHeight="1" x14ac:dyDescent="0.2">
      <c r="C414" s="2"/>
      <c r="D414" s="2"/>
      <c r="E414" s="2"/>
      <c r="F414" s="36"/>
      <c r="G414" s="3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3:29" ht="15.75" customHeight="1" x14ac:dyDescent="0.2">
      <c r="C415" s="2"/>
      <c r="D415" s="2"/>
      <c r="E415" s="2"/>
      <c r="F415" s="36"/>
      <c r="G415" s="3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3:29" ht="15.75" customHeight="1" x14ac:dyDescent="0.2">
      <c r="C416" s="2"/>
      <c r="D416" s="2"/>
      <c r="E416" s="2"/>
      <c r="F416" s="36"/>
      <c r="G416" s="3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3:29" ht="15.75" customHeight="1" x14ac:dyDescent="0.2">
      <c r="C417" s="2"/>
      <c r="D417" s="2"/>
      <c r="E417" s="2"/>
      <c r="F417" s="36"/>
      <c r="G417" s="3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3:29" ht="15.75" customHeight="1" x14ac:dyDescent="0.2">
      <c r="C418" s="2"/>
      <c r="D418" s="2"/>
      <c r="E418" s="2"/>
      <c r="F418" s="36"/>
      <c r="G418" s="3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3:29" ht="15.75" customHeight="1" x14ac:dyDescent="0.2">
      <c r="C419" s="2"/>
      <c r="D419" s="2"/>
      <c r="E419" s="2"/>
      <c r="F419" s="36"/>
      <c r="G419" s="3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3:29" ht="15.75" customHeight="1" x14ac:dyDescent="0.2">
      <c r="C420" s="2"/>
      <c r="D420" s="2"/>
      <c r="E420" s="2"/>
      <c r="F420" s="36"/>
      <c r="G420" s="3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3:29" ht="15.75" customHeight="1" x14ac:dyDescent="0.2">
      <c r="C421" s="2"/>
      <c r="D421" s="2"/>
      <c r="E421" s="2"/>
      <c r="F421" s="36"/>
      <c r="G421" s="3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3:29" ht="15.75" customHeight="1" x14ac:dyDescent="0.2">
      <c r="C422" s="2"/>
      <c r="D422" s="2"/>
      <c r="E422" s="2"/>
      <c r="F422" s="36"/>
      <c r="G422" s="3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3:29" ht="15.75" customHeight="1" x14ac:dyDescent="0.2">
      <c r="C423" s="2"/>
      <c r="D423" s="2"/>
      <c r="E423" s="2"/>
      <c r="F423" s="36"/>
      <c r="G423" s="3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3:29" ht="15.75" customHeight="1" x14ac:dyDescent="0.2">
      <c r="C424" s="2"/>
      <c r="D424" s="2"/>
      <c r="E424" s="2"/>
      <c r="F424" s="36"/>
      <c r="G424" s="3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3:29" ht="15.75" customHeight="1" x14ac:dyDescent="0.2">
      <c r="C425" s="2"/>
      <c r="D425" s="2"/>
      <c r="E425" s="2"/>
      <c r="F425" s="36"/>
      <c r="G425" s="3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3:29" ht="15.75" customHeight="1" x14ac:dyDescent="0.2">
      <c r="C426" s="2"/>
      <c r="D426" s="2"/>
      <c r="E426" s="2"/>
      <c r="F426" s="36"/>
      <c r="G426" s="3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3:29" ht="15.75" customHeight="1" x14ac:dyDescent="0.2">
      <c r="C427" s="2"/>
      <c r="D427" s="2"/>
      <c r="E427" s="2"/>
      <c r="F427" s="36"/>
      <c r="G427" s="3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3:29" ht="15.75" customHeight="1" x14ac:dyDescent="0.2">
      <c r="C428" s="2"/>
      <c r="D428" s="2"/>
      <c r="E428" s="2"/>
      <c r="F428" s="36"/>
      <c r="G428" s="3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3:29" ht="15.75" customHeight="1" x14ac:dyDescent="0.2">
      <c r="C429" s="2"/>
      <c r="D429" s="2"/>
      <c r="E429" s="2"/>
      <c r="F429" s="36"/>
      <c r="G429" s="3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3:29" ht="15.75" customHeight="1" x14ac:dyDescent="0.2">
      <c r="C430" s="2"/>
      <c r="D430" s="2"/>
      <c r="E430" s="2"/>
      <c r="F430" s="36"/>
      <c r="G430" s="3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3:29" ht="15.75" customHeight="1" x14ac:dyDescent="0.2">
      <c r="C431" s="2"/>
      <c r="D431" s="2"/>
      <c r="E431" s="2"/>
      <c r="F431" s="36"/>
      <c r="G431" s="3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3:29" ht="15.75" customHeight="1" x14ac:dyDescent="0.2">
      <c r="C432" s="2"/>
      <c r="D432" s="2"/>
      <c r="E432" s="2"/>
      <c r="F432" s="36"/>
      <c r="G432" s="3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3:29" ht="15.75" customHeight="1" x14ac:dyDescent="0.2">
      <c r="C433" s="2"/>
      <c r="D433" s="2"/>
      <c r="E433" s="2"/>
      <c r="F433" s="36"/>
      <c r="G433" s="3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3:29" ht="15.75" customHeight="1" x14ac:dyDescent="0.2">
      <c r="C434" s="2"/>
      <c r="D434" s="2"/>
      <c r="E434" s="2"/>
      <c r="F434" s="36"/>
      <c r="G434" s="3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3:29" ht="15.75" customHeight="1" x14ac:dyDescent="0.2">
      <c r="C435" s="2"/>
      <c r="D435" s="2"/>
      <c r="E435" s="2"/>
      <c r="F435" s="36"/>
      <c r="G435" s="3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3:29" ht="15.75" customHeight="1" x14ac:dyDescent="0.2">
      <c r="C436" s="2"/>
      <c r="D436" s="2"/>
      <c r="E436" s="2"/>
      <c r="F436" s="36"/>
      <c r="G436" s="3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3:29" ht="15.75" customHeight="1" x14ac:dyDescent="0.2">
      <c r="C437" s="2"/>
      <c r="D437" s="2"/>
      <c r="E437" s="2"/>
      <c r="F437" s="36"/>
      <c r="G437" s="3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3:29" ht="15.75" customHeight="1" x14ac:dyDescent="0.2">
      <c r="C438" s="2"/>
      <c r="D438" s="2"/>
      <c r="E438" s="2"/>
      <c r="F438" s="36"/>
      <c r="G438" s="3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3:29" ht="15.75" customHeight="1" x14ac:dyDescent="0.2">
      <c r="C439" s="2"/>
      <c r="D439" s="2"/>
      <c r="E439" s="2"/>
      <c r="F439" s="36"/>
      <c r="G439" s="3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3:29" ht="15.75" customHeight="1" x14ac:dyDescent="0.2">
      <c r="C440" s="2"/>
      <c r="D440" s="2"/>
      <c r="E440" s="2"/>
      <c r="F440" s="36"/>
      <c r="G440" s="3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3:29" ht="15.75" customHeight="1" x14ac:dyDescent="0.2">
      <c r="C441" s="2"/>
      <c r="D441" s="2"/>
      <c r="E441" s="2"/>
      <c r="F441" s="36"/>
      <c r="G441" s="3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3:29" ht="15.75" customHeight="1" x14ac:dyDescent="0.2">
      <c r="C442" s="2"/>
      <c r="D442" s="2"/>
      <c r="E442" s="2"/>
      <c r="F442" s="36"/>
      <c r="G442" s="3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3:29" ht="15.75" customHeight="1" x14ac:dyDescent="0.2">
      <c r="C443" s="2"/>
      <c r="D443" s="2"/>
      <c r="E443" s="2"/>
      <c r="F443" s="36"/>
      <c r="G443" s="3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3:29" ht="15.75" customHeight="1" x14ac:dyDescent="0.2">
      <c r="C444" s="2"/>
      <c r="D444" s="2"/>
      <c r="E444" s="2"/>
      <c r="F444" s="36"/>
      <c r="G444" s="3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3:29" ht="15.75" customHeight="1" x14ac:dyDescent="0.2">
      <c r="C445" s="2"/>
      <c r="D445" s="2"/>
      <c r="E445" s="2"/>
      <c r="F445" s="36"/>
      <c r="G445" s="3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3:29" ht="15.75" customHeight="1" x14ac:dyDescent="0.2">
      <c r="C446" s="2"/>
      <c r="D446" s="2"/>
      <c r="E446" s="2"/>
      <c r="F446" s="36"/>
      <c r="G446" s="3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3:29" ht="15.75" customHeight="1" x14ac:dyDescent="0.2">
      <c r="C447" s="2"/>
      <c r="D447" s="2"/>
      <c r="E447" s="2"/>
      <c r="F447" s="36"/>
      <c r="G447" s="3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3:29" ht="15.75" customHeight="1" x14ac:dyDescent="0.2">
      <c r="C448" s="2"/>
      <c r="D448" s="2"/>
      <c r="E448" s="2"/>
      <c r="F448" s="36"/>
      <c r="G448" s="3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3:29" ht="15.75" customHeight="1" x14ac:dyDescent="0.2">
      <c r="C449" s="2"/>
      <c r="D449" s="2"/>
      <c r="E449" s="2"/>
      <c r="F449" s="36"/>
      <c r="G449" s="3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3:29" ht="15.75" customHeight="1" x14ac:dyDescent="0.2">
      <c r="C450" s="2"/>
      <c r="D450" s="2"/>
      <c r="E450" s="2"/>
      <c r="F450" s="36"/>
      <c r="G450" s="3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3:29" ht="15.75" customHeight="1" x14ac:dyDescent="0.2">
      <c r="C451" s="2"/>
      <c r="D451" s="2"/>
      <c r="E451" s="2"/>
      <c r="F451" s="36"/>
      <c r="G451" s="3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3:29" ht="15.75" customHeight="1" x14ac:dyDescent="0.2">
      <c r="C452" s="2"/>
      <c r="D452" s="2"/>
      <c r="E452" s="2"/>
      <c r="F452" s="36"/>
      <c r="G452" s="3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3:29" ht="15.75" customHeight="1" x14ac:dyDescent="0.2">
      <c r="C453" s="2"/>
      <c r="D453" s="2"/>
      <c r="E453" s="2"/>
      <c r="F453" s="36"/>
      <c r="G453" s="3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3:29" ht="15.75" customHeight="1" x14ac:dyDescent="0.2">
      <c r="C454" s="2"/>
      <c r="D454" s="2"/>
      <c r="E454" s="2"/>
      <c r="F454" s="36"/>
      <c r="G454" s="3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3:29" ht="15.75" customHeight="1" x14ac:dyDescent="0.2">
      <c r="C455" s="2"/>
      <c r="D455" s="2"/>
      <c r="E455" s="2"/>
      <c r="F455" s="36"/>
      <c r="G455" s="3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3:29" ht="15.75" customHeight="1" x14ac:dyDescent="0.2">
      <c r="C456" s="2"/>
      <c r="D456" s="2"/>
      <c r="E456" s="2"/>
      <c r="F456" s="36"/>
      <c r="G456" s="3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3:29" ht="15.75" customHeight="1" x14ac:dyDescent="0.2">
      <c r="C457" s="2"/>
      <c r="D457" s="2"/>
      <c r="E457" s="2"/>
      <c r="F457" s="36"/>
      <c r="G457" s="3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3:29" ht="15.75" customHeight="1" x14ac:dyDescent="0.2">
      <c r="C458" s="2"/>
      <c r="D458" s="2"/>
      <c r="E458" s="2"/>
      <c r="F458" s="36"/>
      <c r="G458" s="3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3:29" ht="15.75" customHeight="1" x14ac:dyDescent="0.2">
      <c r="C459" s="2"/>
      <c r="D459" s="2"/>
      <c r="E459" s="2"/>
      <c r="F459" s="36"/>
      <c r="G459" s="3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3:29" ht="15.75" customHeight="1" x14ac:dyDescent="0.2">
      <c r="C460" s="2"/>
      <c r="D460" s="2"/>
      <c r="E460" s="2"/>
      <c r="F460" s="36"/>
      <c r="G460" s="3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3:29" ht="15.75" customHeight="1" x14ac:dyDescent="0.2">
      <c r="C461" s="2"/>
      <c r="D461" s="2"/>
      <c r="E461" s="2"/>
      <c r="F461" s="36"/>
      <c r="G461" s="3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3:29" ht="15.75" customHeight="1" x14ac:dyDescent="0.2">
      <c r="C462" s="2"/>
      <c r="D462" s="2"/>
      <c r="E462" s="2"/>
      <c r="F462" s="36"/>
      <c r="G462" s="3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3:29" ht="15.75" customHeight="1" x14ac:dyDescent="0.2">
      <c r="C463" s="2"/>
      <c r="D463" s="2"/>
      <c r="E463" s="2"/>
      <c r="F463" s="36"/>
      <c r="G463" s="3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3:29" ht="15.75" customHeight="1" x14ac:dyDescent="0.2">
      <c r="C464" s="2"/>
      <c r="D464" s="2"/>
      <c r="E464" s="2"/>
      <c r="F464" s="36"/>
      <c r="G464" s="3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3:29" ht="15.75" customHeight="1" x14ac:dyDescent="0.2">
      <c r="C465" s="2"/>
      <c r="D465" s="2"/>
      <c r="E465" s="2"/>
      <c r="F465" s="36"/>
      <c r="G465" s="3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3:29" ht="15.75" customHeight="1" x14ac:dyDescent="0.2">
      <c r="C466" s="2"/>
      <c r="D466" s="2"/>
      <c r="E466" s="2"/>
      <c r="F466" s="36"/>
      <c r="G466" s="3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3:29" ht="15.75" customHeight="1" x14ac:dyDescent="0.2">
      <c r="C467" s="2"/>
      <c r="D467" s="2"/>
      <c r="E467" s="2"/>
      <c r="F467" s="36"/>
      <c r="G467" s="3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3:29" ht="15.75" customHeight="1" x14ac:dyDescent="0.2">
      <c r="C468" s="2"/>
      <c r="D468" s="2"/>
      <c r="E468" s="2"/>
      <c r="F468" s="36"/>
      <c r="G468" s="3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3:29" ht="15.75" customHeight="1" x14ac:dyDescent="0.2">
      <c r="C469" s="2"/>
      <c r="D469" s="2"/>
      <c r="E469" s="2"/>
      <c r="F469" s="36"/>
      <c r="G469" s="3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3:29" ht="15.75" customHeight="1" x14ac:dyDescent="0.2">
      <c r="C470" s="2"/>
      <c r="D470" s="2"/>
      <c r="E470" s="2"/>
      <c r="F470" s="36"/>
      <c r="G470" s="3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3:29" ht="15.75" customHeight="1" x14ac:dyDescent="0.2">
      <c r="C471" s="2"/>
      <c r="D471" s="2"/>
      <c r="E471" s="2"/>
      <c r="F471" s="36"/>
      <c r="G471" s="3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3:29" ht="15.75" customHeight="1" x14ac:dyDescent="0.2">
      <c r="C472" s="2"/>
      <c r="D472" s="2"/>
      <c r="E472" s="2"/>
      <c r="F472" s="36"/>
      <c r="G472" s="3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3:29" ht="15.75" customHeight="1" x14ac:dyDescent="0.2">
      <c r="C473" s="2"/>
      <c r="D473" s="2"/>
      <c r="E473" s="2"/>
      <c r="F473" s="36"/>
      <c r="G473" s="3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3:29" ht="15.75" customHeight="1" x14ac:dyDescent="0.2">
      <c r="C474" s="2"/>
      <c r="D474" s="2"/>
      <c r="E474" s="2"/>
      <c r="F474" s="36"/>
      <c r="G474" s="3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3:29" ht="15.75" customHeight="1" x14ac:dyDescent="0.2">
      <c r="C475" s="2"/>
      <c r="D475" s="2"/>
      <c r="E475" s="2"/>
      <c r="F475" s="36"/>
      <c r="G475" s="3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3:29" ht="15.75" customHeight="1" x14ac:dyDescent="0.2">
      <c r="C476" s="2"/>
      <c r="D476" s="2"/>
      <c r="E476" s="2"/>
      <c r="F476" s="36"/>
      <c r="G476" s="3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3:29" ht="15.75" customHeight="1" x14ac:dyDescent="0.2">
      <c r="C477" s="2"/>
      <c r="D477" s="2"/>
      <c r="E477" s="2"/>
      <c r="F477" s="36"/>
      <c r="G477" s="3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3:29" ht="15.75" customHeight="1" x14ac:dyDescent="0.2">
      <c r="C478" s="2"/>
      <c r="D478" s="2"/>
      <c r="E478" s="2"/>
      <c r="F478" s="36"/>
      <c r="G478" s="3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3:29" ht="15.75" customHeight="1" x14ac:dyDescent="0.2">
      <c r="C479" s="2"/>
      <c r="D479" s="2"/>
      <c r="E479" s="2"/>
      <c r="F479" s="36"/>
      <c r="G479" s="3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3:29" ht="15.75" customHeight="1" x14ac:dyDescent="0.2">
      <c r="C480" s="2"/>
      <c r="D480" s="2"/>
      <c r="E480" s="2"/>
      <c r="F480" s="36"/>
      <c r="G480" s="3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3:29" ht="15.75" customHeight="1" x14ac:dyDescent="0.2">
      <c r="C481" s="2"/>
      <c r="D481" s="2"/>
      <c r="E481" s="2"/>
      <c r="F481" s="36"/>
      <c r="G481" s="3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3:29" ht="15.75" customHeight="1" x14ac:dyDescent="0.2">
      <c r="C482" s="2"/>
      <c r="D482" s="2"/>
      <c r="E482" s="2"/>
      <c r="F482" s="36"/>
      <c r="G482" s="3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3:29" ht="15.75" customHeight="1" x14ac:dyDescent="0.2">
      <c r="C483" s="2"/>
      <c r="D483" s="2"/>
      <c r="E483" s="2"/>
      <c r="F483" s="36"/>
      <c r="G483" s="3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3:29" ht="15.75" customHeight="1" x14ac:dyDescent="0.2">
      <c r="C484" s="2"/>
      <c r="D484" s="2"/>
      <c r="E484" s="2"/>
      <c r="F484" s="36"/>
      <c r="G484" s="3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3:29" ht="15.75" customHeight="1" x14ac:dyDescent="0.2">
      <c r="C485" s="2"/>
      <c r="D485" s="2"/>
      <c r="E485" s="2"/>
      <c r="F485" s="36"/>
      <c r="G485" s="3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3:29" ht="15.75" customHeight="1" x14ac:dyDescent="0.2">
      <c r="C486" s="2"/>
      <c r="D486" s="2"/>
      <c r="E486" s="2"/>
      <c r="F486" s="36"/>
      <c r="G486" s="3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3:29" ht="15.75" customHeight="1" x14ac:dyDescent="0.2">
      <c r="C487" s="2"/>
      <c r="D487" s="2"/>
      <c r="E487" s="2"/>
      <c r="F487" s="36"/>
      <c r="G487" s="3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3:29" ht="15.75" customHeight="1" x14ac:dyDescent="0.2">
      <c r="C488" s="2"/>
      <c r="D488" s="2"/>
      <c r="E488" s="2"/>
      <c r="F488" s="36"/>
      <c r="G488" s="3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3:29" ht="15.75" customHeight="1" x14ac:dyDescent="0.2">
      <c r="C489" s="2"/>
      <c r="D489" s="2"/>
      <c r="E489" s="2"/>
      <c r="F489" s="36"/>
      <c r="G489" s="3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3:29" ht="15.75" customHeight="1" x14ac:dyDescent="0.2">
      <c r="C490" s="2"/>
      <c r="D490" s="2"/>
      <c r="E490" s="2"/>
      <c r="F490" s="36"/>
      <c r="G490" s="3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3:29" ht="15.75" customHeight="1" x14ac:dyDescent="0.2">
      <c r="C491" s="2"/>
      <c r="D491" s="2"/>
      <c r="E491" s="2"/>
      <c r="F491" s="36"/>
      <c r="G491" s="3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3:29" ht="15.75" customHeight="1" x14ac:dyDescent="0.2">
      <c r="C492" s="2"/>
      <c r="D492" s="2"/>
      <c r="E492" s="2"/>
      <c r="F492" s="36"/>
      <c r="G492" s="3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3:29" ht="15.75" customHeight="1" x14ac:dyDescent="0.2">
      <c r="C493" s="2"/>
      <c r="D493" s="2"/>
      <c r="E493" s="2"/>
      <c r="F493" s="36"/>
      <c r="G493" s="3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3:29" ht="15.75" customHeight="1" x14ac:dyDescent="0.2">
      <c r="C494" s="2"/>
      <c r="D494" s="2"/>
      <c r="E494" s="2"/>
      <c r="F494" s="36"/>
      <c r="G494" s="3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3:29" ht="15.75" customHeight="1" x14ac:dyDescent="0.2">
      <c r="C495" s="2"/>
      <c r="D495" s="2"/>
      <c r="E495" s="2"/>
      <c r="F495" s="36"/>
      <c r="G495" s="3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3:29" ht="15.75" customHeight="1" x14ac:dyDescent="0.2">
      <c r="C496" s="2"/>
      <c r="D496" s="2"/>
      <c r="E496" s="2"/>
      <c r="F496" s="36"/>
      <c r="G496" s="3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3:29" ht="15.75" customHeight="1" x14ac:dyDescent="0.2">
      <c r="C497" s="2"/>
      <c r="D497" s="2"/>
      <c r="E497" s="2"/>
      <c r="F497" s="36"/>
      <c r="G497" s="3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3:29" ht="15.75" customHeight="1" x14ac:dyDescent="0.2">
      <c r="C498" s="2"/>
      <c r="D498" s="2"/>
      <c r="E498" s="2"/>
      <c r="F498" s="36"/>
      <c r="G498" s="3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3:29" ht="15.75" customHeight="1" x14ac:dyDescent="0.2">
      <c r="C499" s="2"/>
      <c r="D499" s="2"/>
      <c r="E499" s="2"/>
      <c r="F499" s="36"/>
      <c r="G499" s="3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3:29" ht="15.75" customHeight="1" x14ac:dyDescent="0.2">
      <c r="C500" s="2"/>
      <c r="D500" s="2"/>
      <c r="E500" s="2"/>
      <c r="F500" s="36"/>
      <c r="G500" s="3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3:29" ht="15.75" customHeight="1" x14ac:dyDescent="0.2">
      <c r="C501" s="2"/>
      <c r="D501" s="2"/>
      <c r="E501" s="2"/>
      <c r="F501" s="36"/>
      <c r="G501" s="3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3:29" ht="15.75" customHeight="1" x14ac:dyDescent="0.2">
      <c r="C502" s="2"/>
      <c r="D502" s="2"/>
      <c r="E502" s="2"/>
      <c r="F502" s="36"/>
      <c r="G502" s="3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3:29" ht="15.75" customHeight="1" x14ac:dyDescent="0.2">
      <c r="C503" s="2"/>
      <c r="D503" s="2"/>
      <c r="E503" s="2"/>
      <c r="F503" s="36"/>
      <c r="G503" s="3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3:29" ht="15.75" customHeight="1" x14ac:dyDescent="0.2">
      <c r="C504" s="2"/>
      <c r="D504" s="2"/>
      <c r="E504" s="2"/>
      <c r="F504" s="36"/>
      <c r="G504" s="3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3:29" ht="15.75" customHeight="1" x14ac:dyDescent="0.2">
      <c r="C505" s="2"/>
      <c r="D505" s="2"/>
      <c r="E505" s="2"/>
      <c r="F505" s="36"/>
      <c r="G505" s="3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3:29" ht="15.75" customHeight="1" x14ac:dyDescent="0.2">
      <c r="C506" s="2"/>
      <c r="D506" s="2"/>
      <c r="E506" s="2"/>
      <c r="F506" s="36"/>
      <c r="G506" s="3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3:29" ht="15.75" customHeight="1" x14ac:dyDescent="0.2">
      <c r="C507" s="2"/>
      <c r="D507" s="2"/>
      <c r="E507" s="2"/>
      <c r="F507" s="36"/>
      <c r="G507" s="3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3:29" ht="15.75" customHeight="1" x14ac:dyDescent="0.2">
      <c r="C508" s="2"/>
      <c r="D508" s="2"/>
      <c r="E508" s="2"/>
      <c r="F508" s="36"/>
      <c r="G508" s="3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3:29" ht="15.75" customHeight="1" x14ac:dyDescent="0.2">
      <c r="C509" s="2"/>
      <c r="D509" s="2"/>
      <c r="E509" s="2"/>
      <c r="F509" s="36"/>
      <c r="G509" s="3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3:29" ht="15.75" customHeight="1" x14ac:dyDescent="0.2">
      <c r="C510" s="2"/>
      <c r="D510" s="2"/>
      <c r="E510" s="2"/>
      <c r="F510" s="36"/>
      <c r="G510" s="3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3:29" ht="15.75" customHeight="1" x14ac:dyDescent="0.2">
      <c r="C511" s="2"/>
      <c r="D511" s="2"/>
      <c r="E511" s="2"/>
      <c r="F511" s="36"/>
      <c r="G511" s="3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3:29" ht="15.75" customHeight="1" x14ac:dyDescent="0.2">
      <c r="C512" s="2"/>
      <c r="D512" s="2"/>
      <c r="E512" s="2"/>
      <c r="F512" s="36"/>
      <c r="G512" s="3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3:29" ht="15.75" customHeight="1" x14ac:dyDescent="0.2">
      <c r="C513" s="2"/>
      <c r="D513" s="2"/>
      <c r="E513" s="2"/>
      <c r="F513" s="36"/>
      <c r="G513" s="3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3:29" ht="15.75" customHeight="1" x14ac:dyDescent="0.2">
      <c r="C514" s="2"/>
      <c r="D514" s="2"/>
      <c r="E514" s="2"/>
      <c r="F514" s="36"/>
      <c r="G514" s="3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3:29" ht="15.75" customHeight="1" x14ac:dyDescent="0.2">
      <c r="C515" s="2"/>
      <c r="D515" s="2"/>
      <c r="E515" s="2"/>
      <c r="F515" s="36"/>
      <c r="G515" s="3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3:29" ht="15.75" customHeight="1" x14ac:dyDescent="0.2">
      <c r="C516" s="2"/>
      <c r="D516" s="2"/>
      <c r="E516" s="2"/>
      <c r="F516" s="36"/>
      <c r="G516" s="3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3:29" ht="15.75" customHeight="1" x14ac:dyDescent="0.2">
      <c r="C517" s="2"/>
      <c r="D517" s="2"/>
      <c r="E517" s="2"/>
      <c r="F517" s="36"/>
      <c r="G517" s="3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3:29" ht="15.75" customHeight="1" x14ac:dyDescent="0.2">
      <c r="C518" s="2"/>
      <c r="D518" s="2"/>
      <c r="E518" s="2"/>
      <c r="F518" s="36"/>
      <c r="G518" s="3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3:29" ht="15.75" customHeight="1" x14ac:dyDescent="0.2">
      <c r="C519" s="2"/>
      <c r="D519" s="2"/>
      <c r="E519" s="2"/>
      <c r="F519" s="36"/>
      <c r="G519" s="3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3:29" ht="15.75" customHeight="1" x14ac:dyDescent="0.2">
      <c r="C520" s="2"/>
      <c r="D520" s="2"/>
      <c r="E520" s="2"/>
      <c r="F520" s="36"/>
      <c r="G520" s="3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3:29" ht="15.75" customHeight="1" x14ac:dyDescent="0.2">
      <c r="C521" s="2"/>
      <c r="D521" s="2"/>
      <c r="E521" s="2"/>
      <c r="F521" s="36"/>
      <c r="G521" s="3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3:29" ht="15.75" customHeight="1" x14ac:dyDescent="0.2">
      <c r="C522" s="2"/>
      <c r="D522" s="2"/>
      <c r="E522" s="2"/>
      <c r="F522" s="36"/>
      <c r="G522" s="3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3:29" ht="15.75" customHeight="1" x14ac:dyDescent="0.2">
      <c r="C523" s="2"/>
      <c r="D523" s="2"/>
      <c r="E523" s="2"/>
      <c r="F523" s="36"/>
      <c r="G523" s="3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3:29" ht="15.75" customHeight="1" x14ac:dyDescent="0.2">
      <c r="C524" s="2"/>
      <c r="D524" s="2"/>
      <c r="E524" s="2"/>
      <c r="F524" s="36"/>
      <c r="G524" s="3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3:29" ht="15.75" customHeight="1" x14ac:dyDescent="0.2">
      <c r="C525" s="2"/>
      <c r="D525" s="2"/>
      <c r="E525" s="2"/>
      <c r="F525" s="36"/>
      <c r="G525" s="3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3:29" ht="15.75" customHeight="1" x14ac:dyDescent="0.2">
      <c r="C526" s="2"/>
      <c r="D526" s="2"/>
      <c r="E526" s="2"/>
      <c r="F526" s="36"/>
      <c r="G526" s="3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3:29" ht="15.75" customHeight="1" x14ac:dyDescent="0.2">
      <c r="C527" s="2"/>
      <c r="D527" s="2"/>
      <c r="E527" s="2"/>
      <c r="F527" s="36"/>
      <c r="G527" s="3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3:29" ht="15.75" customHeight="1" x14ac:dyDescent="0.2">
      <c r="C528" s="2"/>
      <c r="D528" s="2"/>
      <c r="E528" s="2"/>
      <c r="F528" s="36"/>
      <c r="G528" s="3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3:29" ht="15.75" customHeight="1" x14ac:dyDescent="0.2">
      <c r="C529" s="2"/>
      <c r="D529" s="2"/>
      <c r="E529" s="2"/>
      <c r="F529" s="36"/>
      <c r="G529" s="3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3:29" ht="15.75" customHeight="1" x14ac:dyDescent="0.2">
      <c r="C530" s="2"/>
      <c r="D530" s="2"/>
      <c r="E530" s="2"/>
      <c r="F530" s="36"/>
      <c r="G530" s="3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3:29" ht="15.75" customHeight="1" x14ac:dyDescent="0.2">
      <c r="C531" s="2"/>
      <c r="D531" s="2"/>
      <c r="E531" s="2"/>
      <c r="F531" s="36"/>
      <c r="G531" s="3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3:29" ht="15.75" customHeight="1" x14ac:dyDescent="0.2">
      <c r="C532" s="2"/>
      <c r="D532" s="2"/>
      <c r="E532" s="2"/>
      <c r="F532" s="36"/>
      <c r="G532" s="3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3:29" ht="15.75" customHeight="1" x14ac:dyDescent="0.2">
      <c r="C533" s="2"/>
      <c r="D533" s="2"/>
      <c r="E533" s="2"/>
      <c r="F533" s="36"/>
      <c r="G533" s="3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3:29" ht="15.75" customHeight="1" x14ac:dyDescent="0.2">
      <c r="C534" s="2"/>
      <c r="D534" s="2"/>
      <c r="E534" s="2"/>
      <c r="F534" s="36"/>
      <c r="G534" s="3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3:29" ht="15.75" customHeight="1" x14ac:dyDescent="0.2">
      <c r="C535" s="2"/>
      <c r="D535" s="2"/>
      <c r="E535" s="2"/>
      <c r="F535" s="36"/>
      <c r="G535" s="3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3:29" ht="15.75" customHeight="1" x14ac:dyDescent="0.2">
      <c r="C536" s="2"/>
      <c r="D536" s="2"/>
      <c r="E536" s="2"/>
      <c r="F536" s="36"/>
      <c r="G536" s="3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3:29" ht="15.75" customHeight="1" x14ac:dyDescent="0.2">
      <c r="C537" s="2"/>
      <c r="D537" s="2"/>
      <c r="E537" s="2"/>
      <c r="F537" s="36"/>
      <c r="G537" s="3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3:29" ht="15.75" customHeight="1" x14ac:dyDescent="0.2">
      <c r="C538" s="2"/>
      <c r="D538" s="2"/>
      <c r="E538" s="2"/>
      <c r="F538" s="36"/>
      <c r="G538" s="3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3:29" ht="15.75" customHeight="1" x14ac:dyDescent="0.2">
      <c r="C539" s="2"/>
      <c r="D539" s="2"/>
      <c r="E539" s="2"/>
      <c r="F539" s="36"/>
      <c r="G539" s="3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3:29" ht="15.75" customHeight="1" x14ac:dyDescent="0.2">
      <c r="C540" s="2"/>
      <c r="D540" s="2"/>
      <c r="E540" s="2"/>
      <c r="F540" s="36"/>
      <c r="G540" s="3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3:29" ht="15.75" customHeight="1" x14ac:dyDescent="0.2">
      <c r="C541" s="2"/>
      <c r="D541" s="2"/>
      <c r="E541" s="2"/>
      <c r="F541" s="36"/>
      <c r="G541" s="3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3:29" ht="15.75" customHeight="1" x14ac:dyDescent="0.2">
      <c r="C542" s="2"/>
      <c r="D542" s="2"/>
      <c r="E542" s="2"/>
      <c r="F542" s="36"/>
      <c r="G542" s="3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3:29" ht="15.75" customHeight="1" x14ac:dyDescent="0.2">
      <c r="C543" s="2"/>
      <c r="D543" s="2"/>
      <c r="E543" s="2"/>
      <c r="F543" s="36"/>
      <c r="G543" s="3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3:29" ht="15.75" customHeight="1" x14ac:dyDescent="0.2">
      <c r="C544" s="2"/>
      <c r="D544" s="2"/>
      <c r="E544" s="2"/>
      <c r="F544" s="36"/>
      <c r="G544" s="3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3:29" ht="15.75" customHeight="1" x14ac:dyDescent="0.2">
      <c r="C545" s="2"/>
      <c r="D545" s="2"/>
      <c r="E545" s="2"/>
      <c r="F545" s="36"/>
      <c r="G545" s="3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3:29" ht="15.75" customHeight="1" x14ac:dyDescent="0.2">
      <c r="C546" s="2"/>
      <c r="D546" s="2"/>
      <c r="E546" s="2"/>
      <c r="F546" s="36"/>
      <c r="G546" s="3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3:29" ht="15.75" customHeight="1" x14ac:dyDescent="0.2">
      <c r="C547" s="2"/>
      <c r="D547" s="2"/>
      <c r="E547" s="2"/>
      <c r="F547" s="36"/>
      <c r="G547" s="3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3:29" ht="15.75" customHeight="1" x14ac:dyDescent="0.2">
      <c r="C548" s="2"/>
      <c r="D548" s="2"/>
      <c r="E548" s="2"/>
      <c r="F548" s="36"/>
      <c r="G548" s="3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3:29" ht="15.75" customHeight="1" x14ac:dyDescent="0.2">
      <c r="C549" s="2"/>
      <c r="D549" s="2"/>
      <c r="E549" s="2"/>
      <c r="F549" s="36"/>
      <c r="G549" s="3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3:29" ht="15.75" customHeight="1" x14ac:dyDescent="0.2">
      <c r="C550" s="2"/>
      <c r="D550" s="2"/>
      <c r="E550" s="2"/>
      <c r="F550" s="36"/>
      <c r="G550" s="3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3:29" ht="15.75" customHeight="1" x14ac:dyDescent="0.2">
      <c r="C551" s="2"/>
      <c r="D551" s="2"/>
      <c r="E551" s="2"/>
      <c r="F551" s="36"/>
      <c r="G551" s="3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3:29" ht="15.75" customHeight="1" x14ac:dyDescent="0.2">
      <c r="C552" s="2"/>
      <c r="D552" s="2"/>
      <c r="E552" s="2"/>
      <c r="F552" s="36"/>
      <c r="G552" s="3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3:29" ht="15.75" customHeight="1" x14ac:dyDescent="0.2">
      <c r="C553" s="2"/>
      <c r="D553" s="2"/>
      <c r="E553" s="2"/>
      <c r="F553" s="36"/>
      <c r="G553" s="3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3:29" ht="15.75" customHeight="1" x14ac:dyDescent="0.2">
      <c r="C554" s="2"/>
      <c r="D554" s="2"/>
      <c r="E554" s="2"/>
      <c r="F554" s="36"/>
      <c r="G554" s="3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3:29" ht="15.75" customHeight="1" x14ac:dyDescent="0.2">
      <c r="C555" s="2"/>
      <c r="D555" s="2"/>
      <c r="E555" s="2"/>
      <c r="F555" s="36"/>
      <c r="G555" s="3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3:29" ht="15.75" customHeight="1" x14ac:dyDescent="0.2">
      <c r="C556" s="2"/>
      <c r="D556" s="2"/>
      <c r="E556" s="2"/>
      <c r="F556" s="36"/>
      <c r="G556" s="3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3:29" ht="15.75" customHeight="1" x14ac:dyDescent="0.2">
      <c r="C557" s="2"/>
      <c r="D557" s="2"/>
      <c r="E557" s="2"/>
      <c r="F557" s="36"/>
      <c r="G557" s="3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3:29" ht="15.75" customHeight="1" x14ac:dyDescent="0.2">
      <c r="C558" s="2"/>
      <c r="D558" s="2"/>
      <c r="E558" s="2"/>
      <c r="F558" s="36"/>
      <c r="G558" s="3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3:29" ht="15.75" customHeight="1" x14ac:dyDescent="0.2">
      <c r="C559" s="2"/>
      <c r="D559" s="2"/>
      <c r="E559" s="2"/>
      <c r="F559" s="36"/>
      <c r="G559" s="3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3:29" ht="15.75" customHeight="1" x14ac:dyDescent="0.2">
      <c r="C560" s="2"/>
      <c r="D560" s="2"/>
      <c r="E560" s="2"/>
      <c r="F560" s="36"/>
      <c r="G560" s="3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3:29" ht="15.75" customHeight="1" x14ac:dyDescent="0.2">
      <c r="C561" s="2"/>
      <c r="D561" s="2"/>
      <c r="E561" s="2"/>
      <c r="F561" s="36"/>
      <c r="G561" s="3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3:29" ht="15.75" customHeight="1" x14ac:dyDescent="0.2">
      <c r="C562" s="2"/>
      <c r="D562" s="2"/>
      <c r="E562" s="2"/>
      <c r="F562" s="36"/>
      <c r="G562" s="3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3:29" ht="15.75" customHeight="1" x14ac:dyDescent="0.2">
      <c r="C563" s="2"/>
      <c r="D563" s="2"/>
      <c r="E563" s="2"/>
      <c r="F563" s="36"/>
      <c r="G563" s="3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3:29" ht="15.75" customHeight="1" x14ac:dyDescent="0.2">
      <c r="C564" s="2"/>
      <c r="D564" s="2"/>
      <c r="E564" s="2"/>
      <c r="F564" s="36"/>
      <c r="G564" s="3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3:29" ht="15.75" customHeight="1" x14ac:dyDescent="0.2">
      <c r="C565" s="2"/>
      <c r="D565" s="2"/>
      <c r="E565" s="2"/>
      <c r="F565" s="36"/>
      <c r="G565" s="3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3:29" ht="15.75" customHeight="1" x14ac:dyDescent="0.2">
      <c r="C566" s="2"/>
      <c r="D566" s="2"/>
      <c r="E566" s="2"/>
      <c r="F566" s="36"/>
      <c r="G566" s="3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3:29" ht="15.75" customHeight="1" x14ac:dyDescent="0.2">
      <c r="C567" s="2"/>
      <c r="D567" s="2"/>
      <c r="E567" s="2"/>
      <c r="F567" s="36"/>
      <c r="G567" s="3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3:29" ht="15.75" customHeight="1" x14ac:dyDescent="0.2">
      <c r="C568" s="2"/>
      <c r="D568" s="2"/>
      <c r="E568" s="2"/>
      <c r="F568" s="36"/>
      <c r="G568" s="3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3:29" ht="15.75" customHeight="1" x14ac:dyDescent="0.2">
      <c r="C569" s="2"/>
      <c r="D569" s="2"/>
      <c r="E569" s="2"/>
      <c r="F569" s="36"/>
      <c r="G569" s="3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3:29" ht="15.75" customHeight="1" x14ac:dyDescent="0.2">
      <c r="C570" s="2"/>
      <c r="D570" s="2"/>
      <c r="E570" s="2"/>
      <c r="F570" s="36"/>
      <c r="G570" s="3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3:29" ht="15.75" customHeight="1" x14ac:dyDescent="0.2">
      <c r="C571" s="2"/>
      <c r="D571" s="2"/>
      <c r="E571" s="2"/>
      <c r="F571" s="36"/>
      <c r="G571" s="3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3:29" ht="15.75" customHeight="1" x14ac:dyDescent="0.2">
      <c r="C572" s="2"/>
      <c r="D572" s="2"/>
      <c r="E572" s="2"/>
      <c r="F572" s="36"/>
      <c r="G572" s="3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3:29" ht="15.75" customHeight="1" x14ac:dyDescent="0.2">
      <c r="C573" s="2"/>
      <c r="D573" s="2"/>
      <c r="E573" s="2"/>
      <c r="F573" s="36"/>
      <c r="G573" s="3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3:29" ht="15.75" customHeight="1" x14ac:dyDescent="0.2">
      <c r="C574" s="2"/>
      <c r="D574" s="2"/>
      <c r="E574" s="2"/>
      <c r="F574" s="36"/>
      <c r="G574" s="3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3:29" ht="15.75" customHeight="1" x14ac:dyDescent="0.2">
      <c r="C575" s="2"/>
      <c r="D575" s="2"/>
      <c r="E575" s="2"/>
      <c r="F575" s="36"/>
      <c r="G575" s="3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3:29" ht="15.75" customHeight="1" x14ac:dyDescent="0.2">
      <c r="C576" s="2"/>
      <c r="D576" s="2"/>
      <c r="E576" s="2"/>
      <c r="F576" s="36"/>
      <c r="G576" s="3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3:29" ht="15.75" customHeight="1" x14ac:dyDescent="0.2">
      <c r="C577" s="2"/>
      <c r="D577" s="2"/>
      <c r="E577" s="2"/>
      <c r="F577" s="36"/>
      <c r="G577" s="3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3:29" ht="15.75" customHeight="1" x14ac:dyDescent="0.2">
      <c r="C578" s="2"/>
      <c r="D578" s="2"/>
      <c r="E578" s="2"/>
      <c r="F578" s="36"/>
      <c r="G578" s="3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3:29" ht="15.75" customHeight="1" x14ac:dyDescent="0.2">
      <c r="C579" s="2"/>
      <c r="D579" s="2"/>
      <c r="E579" s="2"/>
      <c r="F579" s="36"/>
      <c r="G579" s="3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3:29" ht="15.75" customHeight="1" x14ac:dyDescent="0.2">
      <c r="C580" s="2"/>
      <c r="D580" s="2"/>
      <c r="E580" s="2"/>
      <c r="F580" s="36"/>
      <c r="G580" s="3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3:29" ht="15.75" customHeight="1" x14ac:dyDescent="0.2">
      <c r="C581" s="2"/>
      <c r="D581" s="2"/>
      <c r="E581" s="2"/>
      <c r="F581" s="36"/>
      <c r="G581" s="3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3:29" ht="15.75" customHeight="1" x14ac:dyDescent="0.2">
      <c r="C582" s="2"/>
      <c r="D582" s="2"/>
      <c r="E582" s="2"/>
      <c r="F582" s="36"/>
      <c r="G582" s="3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3:29" ht="15.75" customHeight="1" x14ac:dyDescent="0.2">
      <c r="C583" s="2"/>
      <c r="D583" s="2"/>
      <c r="E583" s="2"/>
      <c r="F583" s="36"/>
      <c r="G583" s="3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3:29" ht="15.75" customHeight="1" x14ac:dyDescent="0.2">
      <c r="C584" s="2"/>
      <c r="D584" s="2"/>
      <c r="E584" s="2"/>
      <c r="F584" s="36"/>
      <c r="G584" s="3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3:29" ht="15.75" customHeight="1" x14ac:dyDescent="0.2">
      <c r="C585" s="2"/>
      <c r="D585" s="2"/>
      <c r="E585" s="2"/>
      <c r="F585" s="36"/>
      <c r="G585" s="3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3:29" ht="15.75" customHeight="1" x14ac:dyDescent="0.2">
      <c r="C586" s="2"/>
      <c r="D586" s="2"/>
      <c r="E586" s="2"/>
      <c r="F586" s="36"/>
      <c r="G586" s="3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3:29" ht="15.75" customHeight="1" x14ac:dyDescent="0.2">
      <c r="C587" s="2"/>
      <c r="D587" s="2"/>
      <c r="E587" s="2"/>
      <c r="F587" s="36"/>
      <c r="G587" s="3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3:29" ht="15.75" customHeight="1" x14ac:dyDescent="0.2">
      <c r="C588" s="2"/>
      <c r="D588" s="2"/>
      <c r="E588" s="2"/>
      <c r="F588" s="36"/>
      <c r="G588" s="3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3:29" ht="15.75" customHeight="1" x14ac:dyDescent="0.2">
      <c r="C589" s="2"/>
      <c r="D589" s="2"/>
      <c r="E589" s="2"/>
      <c r="F589" s="36"/>
      <c r="G589" s="3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3:29" ht="15.75" customHeight="1" x14ac:dyDescent="0.2">
      <c r="C590" s="2"/>
      <c r="D590" s="2"/>
      <c r="E590" s="2"/>
      <c r="F590" s="36"/>
      <c r="G590" s="3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3:29" ht="15.75" customHeight="1" x14ac:dyDescent="0.2">
      <c r="C591" s="2"/>
      <c r="D591" s="2"/>
      <c r="E591" s="2"/>
      <c r="F591" s="36"/>
      <c r="G591" s="3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3:29" ht="15.75" customHeight="1" x14ac:dyDescent="0.2">
      <c r="C592" s="2"/>
      <c r="D592" s="2"/>
      <c r="E592" s="2"/>
      <c r="F592" s="36"/>
      <c r="G592" s="3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3:29" ht="15.75" customHeight="1" x14ac:dyDescent="0.2">
      <c r="C593" s="2"/>
      <c r="D593" s="2"/>
      <c r="E593" s="2"/>
      <c r="F593" s="36"/>
      <c r="G593" s="3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3:29" ht="15.75" customHeight="1" x14ac:dyDescent="0.2">
      <c r="C594" s="2"/>
      <c r="D594" s="2"/>
      <c r="E594" s="2"/>
      <c r="F594" s="36"/>
      <c r="G594" s="3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3:29" ht="15.75" customHeight="1" x14ac:dyDescent="0.2">
      <c r="C595" s="2"/>
      <c r="D595" s="2"/>
      <c r="E595" s="2"/>
      <c r="F595" s="36"/>
      <c r="G595" s="3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3:29" ht="15.75" customHeight="1" x14ac:dyDescent="0.2">
      <c r="C596" s="2"/>
      <c r="D596" s="2"/>
      <c r="E596" s="2"/>
      <c r="F596" s="36"/>
      <c r="G596" s="3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3:29" ht="15.75" customHeight="1" x14ac:dyDescent="0.2">
      <c r="C597" s="2"/>
      <c r="D597" s="2"/>
      <c r="E597" s="2"/>
      <c r="F597" s="36"/>
      <c r="G597" s="3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3:29" ht="15.75" customHeight="1" x14ac:dyDescent="0.2">
      <c r="C598" s="2"/>
      <c r="D598" s="2"/>
      <c r="E598" s="2"/>
      <c r="F598" s="36"/>
      <c r="G598" s="3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3:29" ht="15.75" customHeight="1" x14ac:dyDescent="0.2">
      <c r="C599" s="2"/>
      <c r="D599" s="2"/>
      <c r="E599" s="2"/>
      <c r="F599" s="36"/>
      <c r="G599" s="3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3:29" ht="15.75" customHeight="1" x14ac:dyDescent="0.2">
      <c r="C600" s="2"/>
      <c r="D600" s="2"/>
      <c r="E600" s="2"/>
      <c r="F600" s="36"/>
      <c r="G600" s="3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3:29" ht="15.75" customHeight="1" x14ac:dyDescent="0.2">
      <c r="C601" s="2"/>
      <c r="D601" s="2"/>
      <c r="E601" s="2"/>
      <c r="F601" s="36"/>
      <c r="G601" s="3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3:29" ht="15.75" customHeight="1" x14ac:dyDescent="0.2">
      <c r="C602" s="2"/>
      <c r="D602" s="2"/>
      <c r="E602" s="2"/>
      <c r="F602" s="36"/>
      <c r="G602" s="3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3:29" ht="15.75" customHeight="1" x14ac:dyDescent="0.2">
      <c r="C603" s="2"/>
      <c r="D603" s="2"/>
      <c r="E603" s="2"/>
      <c r="F603" s="36"/>
      <c r="G603" s="3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3:29" ht="15.75" customHeight="1" x14ac:dyDescent="0.2">
      <c r="C604" s="2"/>
      <c r="D604" s="2"/>
      <c r="E604" s="2"/>
      <c r="F604" s="36"/>
      <c r="G604" s="3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3:29" ht="15.75" customHeight="1" x14ac:dyDescent="0.2">
      <c r="C605" s="2"/>
      <c r="D605" s="2"/>
      <c r="E605" s="2"/>
      <c r="F605" s="36"/>
      <c r="G605" s="3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3:29" ht="15.75" customHeight="1" x14ac:dyDescent="0.2">
      <c r="C606" s="2"/>
      <c r="D606" s="2"/>
      <c r="E606" s="2"/>
      <c r="F606" s="36"/>
      <c r="G606" s="3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3:29" ht="15.75" customHeight="1" x14ac:dyDescent="0.2">
      <c r="C607" s="2"/>
      <c r="D607" s="2"/>
      <c r="E607" s="2"/>
      <c r="F607" s="36"/>
      <c r="G607" s="3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3:29" ht="15.75" customHeight="1" x14ac:dyDescent="0.2">
      <c r="C608" s="2"/>
      <c r="D608" s="2"/>
      <c r="E608" s="2"/>
      <c r="F608" s="36"/>
      <c r="G608" s="3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3:29" ht="15.75" customHeight="1" x14ac:dyDescent="0.2">
      <c r="C609" s="2"/>
      <c r="D609" s="2"/>
      <c r="E609" s="2"/>
      <c r="F609" s="36"/>
      <c r="G609" s="3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3:29" ht="15.75" customHeight="1" x14ac:dyDescent="0.2">
      <c r="C610" s="2"/>
      <c r="D610" s="2"/>
      <c r="E610" s="2"/>
      <c r="F610" s="36"/>
      <c r="G610" s="3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3:29" ht="15.75" customHeight="1" x14ac:dyDescent="0.2">
      <c r="C611" s="2"/>
      <c r="D611" s="2"/>
      <c r="E611" s="2"/>
      <c r="F611" s="36"/>
      <c r="G611" s="3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3:29" ht="15.75" customHeight="1" x14ac:dyDescent="0.2">
      <c r="C612" s="2"/>
      <c r="D612" s="2"/>
      <c r="E612" s="2"/>
      <c r="F612" s="36"/>
      <c r="G612" s="3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3:29" ht="15.75" customHeight="1" x14ac:dyDescent="0.2">
      <c r="C613" s="2"/>
      <c r="D613" s="2"/>
      <c r="E613" s="2"/>
      <c r="F613" s="36"/>
      <c r="G613" s="3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3:29" ht="15.75" customHeight="1" x14ac:dyDescent="0.2">
      <c r="C614" s="2"/>
      <c r="D614" s="2"/>
      <c r="E614" s="2"/>
      <c r="F614" s="36"/>
      <c r="G614" s="3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3:29" ht="15.75" customHeight="1" x14ac:dyDescent="0.2">
      <c r="C615" s="2"/>
      <c r="D615" s="2"/>
      <c r="E615" s="2"/>
      <c r="F615" s="36"/>
      <c r="G615" s="3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3:29" ht="15.75" customHeight="1" x14ac:dyDescent="0.2">
      <c r="C616" s="2"/>
      <c r="D616" s="2"/>
      <c r="E616" s="2"/>
      <c r="F616" s="36"/>
      <c r="G616" s="3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3:29" ht="15.75" customHeight="1" x14ac:dyDescent="0.2">
      <c r="C617" s="2"/>
      <c r="D617" s="2"/>
      <c r="E617" s="2"/>
      <c r="F617" s="36"/>
      <c r="G617" s="3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3:29" ht="15.75" customHeight="1" x14ac:dyDescent="0.2">
      <c r="C618" s="2"/>
      <c r="D618" s="2"/>
      <c r="E618" s="2"/>
      <c r="F618" s="36"/>
      <c r="G618" s="3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3:29" ht="15.75" customHeight="1" x14ac:dyDescent="0.2">
      <c r="C619" s="2"/>
      <c r="D619" s="2"/>
      <c r="E619" s="2"/>
      <c r="F619" s="36"/>
      <c r="G619" s="3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3:29" ht="15.75" customHeight="1" x14ac:dyDescent="0.2">
      <c r="C620" s="2"/>
      <c r="D620" s="2"/>
      <c r="E620" s="2"/>
      <c r="F620" s="36"/>
      <c r="G620" s="3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3:29" ht="15.75" customHeight="1" x14ac:dyDescent="0.2">
      <c r="C621" s="2"/>
      <c r="D621" s="2"/>
      <c r="E621" s="2"/>
      <c r="F621" s="36"/>
      <c r="G621" s="3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3:29" ht="15.75" customHeight="1" x14ac:dyDescent="0.2">
      <c r="C622" s="2"/>
      <c r="D622" s="2"/>
      <c r="E622" s="2"/>
      <c r="F622" s="36"/>
      <c r="G622" s="3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3:29" ht="15.75" customHeight="1" x14ac:dyDescent="0.2">
      <c r="C623" s="2"/>
      <c r="D623" s="2"/>
      <c r="E623" s="2"/>
      <c r="F623" s="36"/>
      <c r="G623" s="3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3:29" ht="15.75" customHeight="1" x14ac:dyDescent="0.2">
      <c r="C624" s="2"/>
      <c r="D624" s="2"/>
      <c r="E624" s="2"/>
      <c r="F624" s="36"/>
      <c r="G624" s="3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3:29" ht="15.75" customHeight="1" x14ac:dyDescent="0.2">
      <c r="C625" s="2"/>
      <c r="D625" s="2"/>
      <c r="E625" s="2"/>
      <c r="F625" s="36"/>
      <c r="G625" s="3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3:29" ht="15.75" customHeight="1" x14ac:dyDescent="0.2">
      <c r="C626" s="2"/>
      <c r="D626" s="2"/>
      <c r="E626" s="2"/>
      <c r="F626" s="36"/>
      <c r="G626" s="3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3:29" ht="15.75" customHeight="1" x14ac:dyDescent="0.2">
      <c r="C627" s="2"/>
      <c r="D627" s="2"/>
      <c r="E627" s="2"/>
      <c r="F627" s="36"/>
      <c r="G627" s="3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3:29" ht="15.75" customHeight="1" x14ac:dyDescent="0.2">
      <c r="C628" s="2"/>
      <c r="D628" s="2"/>
      <c r="E628" s="2"/>
      <c r="F628" s="36"/>
      <c r="G628" s="3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3:29" ht="15.75" customHeight="1" x14ac:dyDescent="0.2">
      <c r="C629" s="2"/>
      <c r="D629" s="2"/>
      <c r="E629" s="2"/>
      <c r="F629" s="36"/>
      <c r="G629" s="3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3:29" ht="15.75" customHeight="1" x14ac:dyDescent="0.2">
      <c r="C630" s="2"/>
      <c r="D630" s="2"/>
      <c r="E630" s="2"/>
      <c r="F630" s="36"/>
      <c r="G630" s="3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3:29" ht="15.75" customHeight="1" x14ac:dyDescent="0.2">
      <c r="C631" s="2"/>
      <c r="D631" s="2"/>
      <c r="E631" s="2"/>
      <c r="F631" s="36"/>
      <c r="G631" s="3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3:29" ht="15.75" customHeight="1" x14ac:dyDescent="0.2">
      <c r="C632" s="2"/>
      <c r="D632" s="2"/>
      <c r="E632" s="2"/>
      <c r="F632" s="36"/>
      <c r="G632" s="3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3:29" ht="15.75" customHeight="1" x14ac:dyDescent="0.2">
      <c r="C633" s="2"/>
      <c r="D633" s="2"/>
      <c r="E633" s="2"/>
      <c r="F633" s="36"/>
      <c r="G633" s="3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3:29" ht="15.75" customHeight="1" x14ac:dyDescent="0.2">
      <c r="C634" s="2"/>
      <c r="D634" s="2"/>
      <c r="E634" s="2"/>
      <c r="F634" s="36"/>
      <c r="G634" s="3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3:29" ht="15.75" customHeight="1" x14ac:dyDescent="0.2">
      <c r="C635" s="2"/>
      <c r="D635" s="2"/>
      <c r="E635" s="2"/>
      <c r="F635" s="36"/>
      <c r="G635" s="3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3:29" ht="15.75" customHeight="1" x14ac:dyDescent="0.2">
      <c r="C636" s="2"/>
      <c r="D636" s="2"/>
      <c r="E636" s="2"/>
      <c r="F636" s="36"/>
      <c r="G636" s="3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3:29" ht="15.75" customHeight="1" x14ac:dyDescent="0.2">
      <c r="C637" s="2"/>
      <c r="D637" s="2"/>
      <c r="E637" s="2"/>
      <c r="F637" s="36"/>
      <c r="G637" s="3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3:29" ht="15.75" customHeight="1" x14ac:dyDescent="0.2">
      <c r="C638" s="2"/>
      <c r="D638" s="2"/>
      <c r="E638" s="2"/>
      <c r="F638" s="36"/>
      <c r="G638" s="3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3:29" ht="15.75" customHeight="1" x14ac:dyDescent="0.2">
      <c r="C639" s="2"/>
      <c r="D639" s="2"/>
      <c r="E639" s="2"/>
      <c r="F639" s="36"/>
      <c r="G639" s="3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3:29" ht="15.75" customHeight="1" x14ac:dyDescent="0.2">
      <c r="C640" s="2"/>
      <c r="D640" s="2"/>
      <c r="E640" s="2"/>
      <c r="F640" s="36"/>
      <c r="G640" s="3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3:29" ht="15.75" customHeight="1" x14ac:dyDescent="0.2">
      <c r="C641" s="2"/>
      <c r="D641" s="2"/>
      <c r="E641" s="2"/>
      <c r="F641" s="36"/>
      <c r="G641" s="3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3:29" ht="15.75" customHeight="1" x14ac:dyDescent="0.2">
      <c r="C642" s="2"/>
      <c r="D642" s="2"/>
      <c r="E642" s="2"/>
      <c r="F642" s="36"/>
      <c r="G642" s="3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3:29" ht="15.75" customHeight="1" x14ac:dyDescent="0.2">
      <c r="C643" s="2"/>
      <c r="D643" s="2"/>
      <c r="E643" s="2"/>
      <c r="F643" s="36"/>
      <c r="G643" s="3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3:29" ht="15.75" customHeight="1" x14ac:dyDescent="0.2">
      <c r="C644" s="2"/>
      <c r="D644" s="2"/>
      <c r="E644" s="2"/>
      <c r="F644" s="36"/>
      <c r="G644" s="3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3:29" ht="15.75" customHeight="1" x14ac:dyDescent="0.2">
      <c r="C645" s="2"/>
      <c r="D645" s="2"/>
      <c r="E645" s="2"/>
      <c r="F645" s="36"/>
      <c r="G645" s="3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3:29" ht="15.75" customHeight="1" x14ac:dyDescent="0.2">
      <c r="C646" s="2"/>
      <c r="D646" s="2"/>
      <c r="E646" s="2"/>
      <c r="F646" s="36"/>
      <c r="G646" s="3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3:29" ht="15.75" customHeight="1" x14ac:dyDescent="0.2">
      <c r="C647" s="2"/>
      <c r="D647" s="2"/>
      <c r="E647" s="2"/>
      <c r="F647" s="36"/>
      <c r="G647" s="3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3:29" ht="15.75" customHeight="1" x14ac:dyDescent="0.2">
      <c r="C648" s="2"/>
      <c r="D648" s="2"/>
      <c r="E648" s="2"/>
      <c r="F648" s="36"/>
      <c r="G648" s="3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3:29" ht="15.75" customHeight="1" x14ac:dyDescent="0.2">
      <c r="C649" s="2"/>
      <c r="D649" s="2"/>
      <c r="E649" s="2"/>
      <c r="F649" s="36"/>
      <c r="G649" s="3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3:29" ht="15.75" customHeight="1" x14ac:dyDescent="0.2">
      <c r="C650" s="2"/>
      <c r="D650" s="2"/>
      <c r="E650" s="2"/>
      <c r="F650" s="36"/>
      <c r="G650" s="3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3:29" ht="15.75" customHeight="1" x14ac:dyDescent="0.2">
      <c r="C651" s="2"/>
      <c r="D651" s="2"/>
      <c r="E651" s="2"/>
      <c r="F651" s="36"/>
      <c r="G651" s="3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3:29" ht="15.75" customHeight="1" x14ac:dyDescent="0.2">
      <c r="C652" s="2"/>
      <c r="D652" s="2"/>
      <c r="E652" s="2"/>
      <c r="F652" s="36"/>
      <c r="G652" s="3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3:29" ht="15.75" customHeight="1" x14ac:dyDescent="0.2">
      <c r="C653" s="2"/>
      <c r="D653" s="2"/>
      <c r="E653" s="2"/>
      <c r="F653" s="36"/>
      <c r="G653" s="3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3:29" ht="15.75" customHeight="1" x14ac:dyDescent="0.2">
      <c r="C654" s="2"/>
      <c r="D654" s="2"/>
      <c r="E654" s="2"/>
      <c r="F654" s="36"/>
      <c r="G654" s="3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3:29" ht="15.75" customHeight="1" x14ac:dyDescent="0.2">
      <c r="C655" s="2"/>
      <c r="D655" s="2"/>
      <c r="E655" s="2"/>
      <c r="F655" s="36"/>
      <c r="G655" s="3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3:29" ht="15.75" customHeight="1" x14ac:dyDescent="0.2">
      <c r="C656" s="2"/>
      <c r="D656" s="2"/>
      <c r="E656" s="2"/>
      <c r="F656" s="36"/>
      <c r="G656" s="3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3:29" ht="15.75" customHeight="1" x14ac:dyDescent="0.2">
      <c r="C657" s="2"/>
      <c r="D657" s="2"/>
      <c r="E657" s="2"/>
      <c r="F657" s="36"/>
      <c r="G657" s="3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3:29" ht="15.75" customHeight="1" x14ac:dyDescent="0.2">
      <c r="C658" s="2"/>
      <c r="D658" s="2"/>
      <c r="E658" s="2"/>
      <c r="F658" s="36"/>
      <c r="G658" s="3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3:29" ht="15.75" customHeight="1" x14ac:dyDescent="0.2">
      <c r="C659" s="2"/>
      <c r="D659" s="2"/>
      <c r="E659" s="2"/>
      <c r="F659" s="36"/>
      <c r="G659" s="3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3:29" ht="15.75" customHeight="1" x14ac:dyDescent="0.2">
      <c r="C660" s="2"/>
      <c r="D660" s="2"/>
      <c r="E660" s="2"/>
      <c r="F660" s="36"/>
      <c r="G660" s="3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3:29" ht="15.75" customHeight="1" x14ac:dyDescent="0.2">
      <c r="C661" s="2"/>
      <c r="D661" s="2"/>
      <c r="E661" s="2"/>
      <c r="F661" s="36"/>
      <c r="G661" s="3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3:29" ht="15.75" customHeight="1" x14ac:dyDescent="0.2">
      <c r="C662" s="2"/>
      <c r="D662" s="2"/>
      <c r="E662" s="2"/>
      <c r="F662" s="36"/>
      <c r="G662" s="3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3:29" ht="15.75" customHeight="1" x14ac:dyDescent="0.2">
      <c r="C663" s="2"/>
      <c r="D663" s="2"/>
      <c r="E663" s="2"/>
      <c r="F663" s="36"/>
      <c r="G663" s="3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3:29" ht="15.75" customHeight="1" x14ac:dyDescent="0.2">
      <c r="H664" s="2"/>
    </row>
    <row r="665" spans="3:29" ht="15.75" customHeight="1" x14ac:dyDescent="0.2">
      <c r="H665" s="2"/>
    </row>
    <row r="666" spans="3:29" ht="15.75" customHeight="1" x14ac:dyDescent="0.2">
      <c r="H666" s="2"/>
    </row>
    <row r="667" spans="3:29" ht="15.75" customHeight="1" x14ac:dyDescent="0.2">
      <c r="H667" s="2"/>
    </row>
    <row r="668" spans="3:29" ht="15.75" customHeight="1" x14ac:dyDescent="0.2"/>
    <row r="669" spans="3:29" ht="15.75" customHeight="1" x14ac:dyDescent="0.2"/>
    <row r="670" spans="3:29" ht="15.75" customHeight="1" x14ac:dyDescent="0.2"/>
    <row r="671" spans="3:29" ht="15.75" customHeight="1" x14ac:dyDescent="0.2"/>
    <row r="672" spans="3:29" ht="15.75" customHeight="1" x14ac:dyDescent="0.2"/>
    <row r="673" spans="3:29" ht="15.75" customHeight="1" x14ac:dyDescent="0.2"/>
    <row r="674" spans="3:29" s="2" customFormat="1" ht="15.75" customHeight="1" x14ac:dyDescent="0.2">
      <c r="C674"/>
      <c r="D674"/>
      <c r="E674"/>
      <c r="F674" s="41"/>
      <c r="G674" s="41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3:29" s="2" customFormat="1" ht="15.75" customHeight="1" x14ac:dyDescent="0.2">
      <c r="C675"/>
      <c r="D675"/>
      <c r="E675"/>
      <c r="F675" s="41"/>
      <c r="G675" s="41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3:29" s="2" customFormat="1" ht="15.75" customHeight="1" x14ac:dyDescent="0.2">
      <c r="C676"/>
      <c r="D676"/>
      <c r="E676"/>
      <c r="F676" s="41"/>
      <c r="G676" s="41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3:29" s="2" customFormat="1" ht="15.75" customHeight="1" x14ac:dyDescent="0.2">
      <c r="C677"/>
      <c r="D677"/>
      <c r="E677"/>
      <c r="F677" s="41"/>
      <c r="G677" s="41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3:29" s="2" customFormat="1" ht="15.75" customHeight="1" x14ac:dyDescent="0.2">
      <c r="C678"/>
      <c r="D678"/>
      <c r="E678"/>
      <c r="F678" s="41"/>
      <c r="G678" s="41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3:29" s="2" customFormat="1" ht="15.75" customHeight="1" x14ac:dyDescent="0.2">
      <c r="C679"/>
      <c r="D679"/>
      <c r="E679"/>
      <c r="F679" s="41"/>
      <c r="G679" s="41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3:29" s="2" customFormat="1" ht="15.75" customHeight="1" x14ac:dyDescent="0.2">
      <c r="C680"/>
      <c r="D680"/>
      <c r="E680"/>
      <c r="F680" s="41"/>
      <c r="G680" s="41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3:29" s="2" customFormat="1" ht="15.75" customHeight="1" x14ac:dyDescent="0.2">
      <c r="C681"/>
      <c r="D681"/>
      <c r="E681"/>
      <c r="F681" s="41"/>
      <c r="G681" s="4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3:29" s="2" customFormat="1" ht="15.75" customHeight="1" x14ac:dyDescent="0.2">
      <c r="C682"/>
      <c r="D682"/>
      <c r="E682"/>
      <c r="F682" s="41"/>
      <c r="G682" s="41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3:29" s="2" customFormat="1" ht="15.75" customHeight="1" x14ac:dyDescent="0.2">
      <c r="C683"/>
      <c r="D683"/>
      <c r="E683"/>
      <c r="F683" s="41"/>
      <c r="G683" s="41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3:29" s="2" customFormat="1" ht="15.75" customHeight="1" x14ac:dyDescent="0.2">
      <c r="C684"/>
      <c r="D684"/>
      <c r="E684"/>
      <c r="F684" s="41"/>
      <c r="G684" s="41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3:29" s="2" customFormat="1" ht="15.75" customHeight="1" x14ac:dyDescent="0.2">
      <c r="C685"/>
      <c r="D685"/>
      <c r="E685"/>
      <c r="F685" s="41"/>
      <c r="G685" s="41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3:29" s="2" customFormat="1" ht="15.75" customHeight="1" x14ac:dyDescent="0.2">
      <c r="C686"/>
      <c r="D686"/>
      <c r="E686"/>
      <c r="F686" s="41"/>
      <c r="G686" s="41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3:29" s="2" customFormat="1" ht="15.75" customHeight="1" x14ac:dyDescent="0.2">
      <c r="C687"/>
      <c r="D687"/>
      <c r="E687"/>
      <c r="F687" s="41"/>
      <c r="G687" s="41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3:29" s="2" customFormat="1" ht="15.75" customHeight="1" x14ac:dyDescent="0.2">
      <c r="C688"/>
      <c r="D688"/>
      <c r="E688"/>
      <c r="F688" s="41"/>
      <c r="G688" s="41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3:29" s="2" customFormat="1" ht="15.75" customHeight="1" x14ac:dyDescent="0.2">
      <c r="C689"/>
      <c r="D689"/>
      <c r="E689"/>
      <c r="F689" s="41"/>
      <c r="G689" s="41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3:29" s="2" customFormat="1" ht="15.75" customHeight="1" x14ac:dyDescent="0.2">
      <c r="C690"/>
      <c r="D690"/>
      <c r="E690"/>
      <c r="F690" s="41"/>
      <c r="G690" s="41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3:29" s="2" customFormat="1" ht="15.75" customHeight="1" x14ac:dyDescent="0.2">
      <c r="C691"/>
      <c r="D691"/>
      <c r="E691"/>
      <c r="F691" s="41"/>
      <c r="G691" s="4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3:29" s="2" customFormat="1" ht="15.75" customHeight="1" x14ac:dyDescent="0.2">
      <c r="C692"/>
      <c r="D692"/>
      <c r="E692"/>
      <c r="F692" s="41"/>
      <c r="G692" s="41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3:29" s="2" customFormat="1" ht="15.75" customHeight="1" x14ac:dyDescent="0.2">
      <c r="C693"/>
      <c r="D693"/>
      <c r="E693"/>
      <c r="F693" s="41"/>
      <c r="G693" s="41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3:29" s="2" customFormat="1" ht="15.75" customHeight="1" x14ac:dyDescent="0.2">
      <c r="C694"/>
      <c r="D694"/>
      <c r="E694"/>
      <c r="F694" s="41"/>
      <c r="G694" s="41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3:29" s="2" customFormat="1" ht="15.75" customHeight="1" x14ac:dyDescent="0.2">
      <c r="C695"/>
      <c r="D695"/>
      <c r="E695"/>
      <c r="F695" s="41"/>
      <c r="G695" s="41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3:29" s="2" customFormat="1" ht="15.75" customHeight="1" x14ac:dyDescent="0.2">
      <c r="C696"/>
      <c r="D696"/>
      <c r="E696"/>
      <c r="F696" s="41"/>
      <c r="G696" s="41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3:29" s="2" customFormat="1" ht="15.75" customHeight="1" x14ac:dyDescent="0.2">
      <c r="C697"/>
      <c r="D697"/>
      <c r="E697"/>
      <c r="F697" s="41"/>
      <c r="G697" s="41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3:29" s="2" customFormat="1" ht="15.75" customHeight="1" x14ac:dyDescent="0.2">
      <c r="C698"/>
      <c r="D698"/>
      <c r="E698"/>
      <c r="F698" s="41"/>
      <c r="G698" s="41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3:29" s="2" customFormat="1" ht="15.75" customHeight="1" x14ac:dyDescent="0.2">
      <c r="C699"/>
      <c r="D699"/>
      <c r="E699"/>
      <c r="F699" s="41"/>
      <c r="G699" s="41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3:29" s="2" customFormat="1" ht="15.75" customHeight="1" x14ac:dyDescent="0.2">
      <c r="C700"/>
      <c r="D700"/>
      <c r="E700"/>
      <c r="F700" s="41"/>
      <c r="G700" s="41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3:29" s="2" customFormat="1" ht="15.75" customHeight="1" x14ac:dyDescent="0.2">
      <c r="C701"/>
      <c r="D701"/>
      <c r="E701"/>
      <c r="F701" s="41"/>
      <c r="G701" s="4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3:29" s="2" customFormat="1" ht="15.75" customHeight="1" x14ac:dyDescent="0.2">
      <c r="C702"/>
      <c r="D702"/>
      <c r="E702"/>
      <c r="F702" s="41"/>
      <c r="G702" s="41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3:29" s="2" customFormat="1" ht="15.75" customHeight="1" x14ac:dyDescent="0.2">
      <c r="C703"/>
      <c r="D703"/>
      <c r="E703"/>
      <c r="F703" s="41"/>
      <c r="G703" s="41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3:29" s="2" customFormat="1" ht="15.75" customHeight="1" x14ac:dyDescent="0.2">
      <c r="C704"/>
      <c r="D704"/>
      <c r="E704"/>
      <c r="F704" s="41"/>
      <c r="G704" s="41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3:29" s="2" customFormat="1" ht="15.75" customHeight="1" x14ac:dyDescent="0.2">
      <c r="C705"/>
      <c r="D705"/>
      <c r="E705"/>
      <c r="F705" s="41"/>
      <c r="G705" s="41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3:29" s="2" customFormat="1" ht="15.75" customHeight="1" x14ac:dyDescent="0.2">
      <c r="C706"/>
      <c r="D706"/>
      <c r="E706"/>
      <c r="F706" s="41"/>
      <c r="G706" s="41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3:29" s="2" customFormat="1" ht="15.75" customHeight="1" x14ac:dyDescent="0.2">
      <c r="C707"/>
      <c r="D707"/>
      <c r="E707"/>
      <c r="F707" s="41"/>
      <c r="G707" s="41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3:29" s="2" customFormat="1" ht="15.75" customHeight="1" x14ac:dyDescent="0.2">
      <c r="C708"/>
      <c r="D708"/>
      <c r="E708"/>
      <c r="F708" s="41"/>
      <c r="G708" s="41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3:29" s="2" customFormat="1" ht="15.75" customHeight="1" x14ac:dyDescent="0.2">
      <c r="C709"/>
      <c r="D709"/>
      <c r="E709"/>
      <c r="F709" s="41"/>
      <c r="G709" s="41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3:29" s="2" customFormat="1" ht="15.75" customHeight="1" x14ac:dyDescent="0.2">
      <c r="C710"/>
      <c r="D710"/>
      <c r="E710"/>
      <c r="F710" s="41"/>
      <c r="G710" s="41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3:29" s="2" customFormat="1" ht="15.75" customHeight="1" x14ac:dyDescent="0.2">
      <c r="C711"/>
      <c r="D711"/>
      <c r="E711"/>
      <c r="F711" s="41"/>
      <c r="G711" s="4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3:29" s="2" customFormat="1" ht="15.75" customHeight="1" x14ac:dyDescent="0.2">
      <c r="C712"/>
      <c r="D712"/>
      <c r="E712"/>
      <c r="F712" s="41"/>
      <c r="G712" s="41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3:29" s="2" customFormat="1" ht="15.75" customHeight="1" x14ac:dyDescent="0.2">
      <c r="C713"/>
      <c r="D713"/>
      <c r="E713"/>
      <c r="F713" s="41"/>
      <c r="G713" s="41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3:29" s="2" customFormat="1" ht="15.75" customHeight="1" x14ac:dyDescent="0.2">
      <c r="C714"/>
      <c r="D714"/>
      <c r="E714"/>
      <c r="F714" s="41"/>
      <c r="G714" s="41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3:29" s="2" customFormat="1" ht="15.75" customHeight="1" x14ac:dyDescent="0.2">
      <c r="C715"/>
      <c r="D715"/>
      <c r="E715"/>
      <c r="F715" s="41"/>
      <c r="G715" s="41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3:29" s="2" customFormat="1" ht="15.75" customHeight="1" x14ac:dyDescent="0.2">
      <c r="C716"/>
      <c r="D716"/>
      <c r="E716"/>
      <c r="F716" s="41"/>
      <c r="G716" s="41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3:29" s="2" customFormat="1" ht="15.75" customHeight="1" x14ac:dyDescent="0.2">
      <c r="C717"/>
      <c r="D717"/>
      <c r="E717"/>
      <c r="F717" s="41"/>
      <c r="G717" s="41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3:29" s="2" customFormat="1" ht="15.75" customHeight="1" x14ac:dyDescent="0.2">
      <c r="C718"/>
      <c r="D718"/>
      <c r="E718"/>
      <c r="F718" s="41"/>
      <c r="G718" s="41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3:29" s="2" customFormat="1" ht="15.75" customHeight="1" x14ac:dyDescent="0.2">
      <c r="C719"/>
      <c r="D719"/>
      <c r="E719"/>
      <c r="F719" s="41"/>
      <c r="G719" s="41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3:29" s="2" customFormat="1" ht="15.75" customHeight="1" x14ac:dyDescent="0.2">
      <c r="C720"/>
      <c r="D720"/>
      <c r="E720"/>
      <c r="F720" s="41"/>
      <c r="G720" s="41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3:29" s="2" customFormat="1" ht="15.75" customHeight="1" x14ac:dyDescent="0.2">
      <c r="C721"/>
      <c r="D721"/>
      <c r="E721"/>
      <c r="F721" s="41"/>
      <c r="G721" s="4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3:29" s="2" customFormat="1" ht="15.75" customHeight="1" x14ac:dyDescent="0.2">
      <c r="C722"/>
      <c r="D722"/>
      <c r="E722"/>
      <c r="F722" s="41"/>
      <c r="G722" s="41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3:29" s="2" customFormat="1" ht="15.75" customHeight="1" x14ac:dyDescent="0.2">
      <c r="C723"/>
      <c r="D723"/>
      <c r="E723"/>
      <c r="F723" s="41"/>
      <c r="G723" s="41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3:29" s="2" customFormat="1" ht="15.75" customHeight="1" x14ac:dyDescent="0.2">
      <c r="C724"/>
      <c r="D724"/>
      <c r="E724"/>
      <c r="F724" s="41"/>
      <c r="G724" s="41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3:29" s="2" customFormat="1" ht="15.75" customHeight="1" x14ac:dyDescent="0.2">
      <c r="C725"/>
      <c r="D725"/>
      <c r="E725"/>
      <c r="F725" s="41"/>
      <c r="G725" s="41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3:29" s="2" customFormat="1" ht="15.75" customHeight="1" x14ac:dyDescent="0.2">
      <c r="C726"/>
      <c r="D726"/>
      <c r="E726"/>
      <c r="F726" s="41"/>
      <c r="G726" s="41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3:29" s="2" customFormat="1" ht="15.75" customHeight="1" x14ac:dyDescent="0.2">
      <c r="C727"/>
      <c r="D727"/>
      <c r="E727"/>
      <c r="F727" s="41"/>
      <c r="G727" s="41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3:29" s="2" customFormat="1" ht="15.75" customHeight="1" x14ac:dyDescent="0.2">
      <c r="C728"/>
      <c r="D728"/>
      <c r="E728"/>
      <c r="F728" s="41"/>
      <c r="G728" s="41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3:29" s="2" customFormat="1" ht="15.75" customHeight="1" x14ac:dyDescent="0.2">
      <c r="C729"/>
      <c r="D729"/>
      <c r="E729"/>
      <c r="F729" s="41"/>
      <c r="G729" s="41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3:29" s="2" customFormat="1" ht="15.75" customHeight="1" x14ac:dyDescent="0.2">
      <c r="C730"/>
      <c r="D730"/>
      <c r="E730"/>
      <c r="F730" s="41"/>
      <c r="G730" s="41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3:29" s="2" customFormat="1" ht="15.75" customHeight="1" x14ac:dyDescent="0.2">
      <c r="C731"/>
      <c r="D731"/>
      <c r="E731"/>
      <c r="F731" s="41"/>
      <c r="G731" s="4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3:29" s="2" customFormat="1" ht="15.75" customHeight="1" x14ac:dyDescent="0.2">
      <c r="C732"/>
      <c r="D732"/>
      <c r="E732"/>
      <c r="F732" s="41"/>
      <c r="G732" s="41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3:29" s="2" customFormat="1" ht="15.75" customHeight="1" x14ac:dyDescent="0.2">
      <c r="C733"/>
      <c r="D733"/>
      <c r="E733"/>
      <c r="F733" s="41"/>
      <c r="G733" s="41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3:29" s="2" customFormat="1" ht="15.75" customHeight="1" x14ac:dyDescent="0.2">
      <c r="C734"/>
      <c r="D734"/>
      <c r="E734"/>
      <c r="F734" s="41"/>
      <c r="G734" s="41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3:29" s="2" customFormat="1" ht="15.75" customHeight="1" x14ac:dyDescent="0.2">
      <c r="C735"/>
      <c r="D735"/>
      <c r="E735"/>
      <c r="F735" s="41"/>
      <c r="G735" s="41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3:29" s="2" customFormat="1" ht="15.75" customHeight="1" x14ac:dyDescent="0.2">
      <c r="C736"/>
      <c r="D736"/>
      <c r="E736"/>
      <c r="F736" s="41"/>
      <c r="G736" s="41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3:29" s="2" customFormat="1" ht="15.75" customHeight="1" x14ac:dyDescent="0.2">
      <c r="C737"/>
      <c r="D737"/>
      <c r="E737"/>
      <c r="F737" s="41"/>
      <c r="G737" s="41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3:29" s="2" customFormat="1" ht="15.75" customHeight="1" x14ac:dyDescent="0.2">
      <c r="C738"/>
      <c r="D738"/>
      <c r="E738"/>
      <c r="F738" s="41"/>
      <c r="G738" s="41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3:29" s="2" customFormat="1" ht="15.75" customHeight="1" x14ac:dyDescent="0.2">
      <c r="C739"/>
      <c r="D739"/>
      <c r="E739"/>
      <c r="F739" s="41"/>
      <c r="G739" s="41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3:29" s="2" customFormat="1" ht="15.75" customHeight="1" x14ac:dyDescent="0.2">
      <c r="C740"/>
      <c r="D740"/>
      <c r="E740"/>
      <c r="F740" s="41"/>
      <c r="G740" s="41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3:29" s="2" customFormat="1" ht="15.75" customHeight="1" x14ac:dyDescent="0.2">
      <c r="C741"/>
      <c r="D741"/>
      <c r="E741"/>
      <c r="F741" s="41"/>
      <c r="G741" s="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3:29" s="2" customFormat="1" ht="15.75" customHeight="1" x14ac:dyDescent="0.2">
      <c r="C742"/>
      <c r="D742"/>
      <c r="E742"/>
      <c r="F742" s="41"/>
      <c r="G742" s="41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3:29" s="2" customFormat="1" ht="15.75" customHeight="1" x14ac:dyDescent="0.2">
      <c r="C743"/>
      <c r="D743"/>
      <c r="E743"/>
      <c r="F743" s="41"/>
      <c r="G743" s="41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3:29" s="2" customFormat="1" ht="15.75" customHeight="1" x14ac:dyDescent="0.2">
      <c r="C744"/>
      <c r="D744"/>
      <c r="E744"/>
      <c r="F744" s="41"/>
      <c r="G744" s="41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3:29" s="2" customFormat="1" ht="15.75" customHeight="1" x14ac:dyDescent="0.2">
      <c r="C745"/>
      <c r="D745"/>
      <c r="E745"/>
      <c r="F745" s="41"/>
      <c r="G745" s="41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3:29" s="2" customFormat="1" ht="15.75" customHeight="1" x14ac:dyDescent="0.2">
      <c r="C746"/>
      <c r="D746"/>
      <c r="E746"/>
      <c r="F746" s="41"/>
      <c r="G746" s="41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3:29" s="2" customFormat="1" ht="15.75" customHeight="1" x14ac:dyDescent="0.2">
      <c r="C747"/>
      <c r="D747"/>
      <c r="E747"/>
      <c r="F747" s="41"/>
      <c r="G747" s="41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3:29" s="2" customFormat="1" ht="15.75" customHeight="1" x14ac:dyDescent="0.2">
      <c r="C748"/>
      <c r="D748"/>
      <c r="E748"/>
      <c r="F748" s="41"/>
      <c r="G748" s="41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3:29" s="2" customFormat="1" ht="15.75" customHeight="1" x14ac:dyDescent="0.2">
      <c r="C749"/>
      <c r="D749"/>
      <c r="E749"/>
      <c r="F749" s="41"/>
      <c r="G749" s="41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3:29" s="2" customFormat="1" ht="15.75" customHeight="1" x14ac:dyDescent="0.2">
      <c r="C750"/>
      <c r="D750"/>
      <c r="E750"/>
      <c r="F750" s="41"/>
      <c r="G750" s="41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3:29" s="2" customFormat="1" ht="15.75" customHeight="1" x14ac:dyDescent="0.2">
      <c r="C751"/>
      <c r="D751"/>
      <c r="E751"/>
      <c r="F751" s="41"/>
      <c r="G751" s="4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3:29" s="2" customFormat="1" ht="15.75" customHeight="1" x14ac:dyDescent="0.2">
      <c r="C752"/>
      <c r="D752"/>
      <c r="E752"/>
      <c r="F752" s="41"/>
      <c r="G752" s="41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3:29" s="2" customFormat="1" ht="15.75" customHeight="1" x14ac:dyDescent="0.2">
      <c r="C753"/>
      <c r="D753"/>
      <c r="E753"/>
      <c r="F753" s="41"/>
      <c r="G753" s="41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3:29" s="2" customFormat="1" ht="15.75" customHeight="1" x14ac:dyDescent="0.2">
      <c r="C754"/>
      <c r="D754"/>
      <c r="E754"/>
      <c r="F754" s="41"/>
      <c r="G754" s="41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3:29" s="2" customFormat="1" ht="15.75" customHeight="1" x14ac:dyDescent="0.2">
      <c r="C755"/>
      <c r="D755"/>
      <c r="E755"/>
      <c r="F755" s="41"/>
      <c r="G755" s="41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3:29" s="2" customFormat="1" ht="15.75" customHeight="1" x14ac:dyDescent="0.2">
      <c r="C756"/>
      <c r="D756"/>
      <c r="E756"/>
      <c r="F756" s="41"/>
      <c r="G756" s="41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3:29" s="2" customFormat="1" ht="15.75" customHeight="1" x14ac:dyDescent="0.2">
      <c r="C757"/>
      <c r="D757"/>
      <c r="E757"/>
      <c r="F757" s="41"/>
      <c r="G757" s="41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3:29" s="2" customFormat="1" ht="15.75" customHeight="1" x14ac:dyDescent="0.2">
      <c r="C758"/>
      <c r="D758"/>
      <c r="E758"/>
      <c r="F758" s="41"/>
      <c r="G758" s="41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3:29" s="2" customFormat="1" ht="15.75" customHeight="1" x14ac:dyDescent="0.2">
      <c r="C759"/>
      <c r="D759"/>
      <c r="E759"/>
      <c r="F759" s="41"/>
      <c r="G759" s="41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3:29" s="2" customFormat="1" ht="15.75" customHeight="1" x14ac:dyDescent="0.2">
      <c r="C760"/>
      <c r="D760"/>
      <c r="E760"/>
      <c r="F760" s="41"/>
      <c r="G760" s="41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3:29" s="2" customFormat="1" ht="15.75" customHeight="1" x14ac:dyDescent="0.2">
      <c r="C761"/>
      <c r="D761"/>
      <c r="E761"/>
      <c r="F761" s="41"/>
      <c r="G761" s="4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3:29" s="2" customFormat="1" ht="15.75" customHeight="1" x14ac:dyDescent="0.2">
      <c r="C762"/>
      <c r="D762"/>
      <c r="E762"/>
      <c r="F762" s="41"/>
      <c r="G762" s="41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3:29" s="2" customFormat="1" ht="15.75" customHeight="1" x14ac:dyDescent="0.2">
      <c r="C763"/>
      <c r="D763"/>
      <c r="E763"/>
      <c r="F763" s="41"/>
      <c r="G763" s="41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3:29" s="2" customFormat="1" ht="15.75" customHeight="1" x14ac:dyDescent="0.2">
      <c r="C764"/>
      <c r="D764"/>
      <c r="E764"/>
      <c r="F764" s="41"/>
      <c r="G764" s="41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3:29" s="2" customFormat="1" ht="15.75" customHeight="1" x14ac:dyDescent="0.2">
      <c r="C765"/>
      <c r="D765"/>
      <c r="E765"/>
      <c r="F765" s="41"/>
      <c r="G765" s="41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3:29" s="2" customFormat="1" ht="15.75" customHeight="1" x14ac:dyDescent="0.2">
      <c r="C766"/>
      <c r="D766"/>
      <c r="E766"/>
      <c r="F766" s="41"/>
      <c r="G766" s="41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3:29" s="2" customFormat="1" ht="15.75" customHeight="1" x14ac:dyDescent="0.2">
      <c r="C767"/>
      <c r="D767"/>
      <c r="E767"/>
      <c r="F767" s="41"/>
      <c r="G767" s="41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</sheetData>
  <mergeCells count="2">
    <mergeCell ref="C3:F3"/>
    <mergeCell ref="C4:F4"/>
  </mergeCells>
  <phoneticPr fontId="12" type="noConversion"/>
  <pageMargins left="0.6692913385826772" right="0.15748031496062992" top="0.31496062992125984" bottom="0.15748031496062992" header="0.15748031496062992" footer="0.15748031496062992"/>
  <pageSetup paperSize="9" scale="75" orientation="portrait" r:id="rId1"/>
  <headerFooter alignWithMargins="0"/>
  <rowBreaks count="1" manualBreakCount="1">
    <brk id="7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95"/>
  <sheetViews>
    <sheetView zoomScale="140" zoomScaleNormal="140" workbookViewId="0">
      <selection activeCell="B4" sqref="B4:E4"/>
    </sheetView>
  </sheetViews>
  <sheetFormatPr defaultRowHeight="12.75" x14ac:dyDescent="0.2"/>
  <cols>
    <col min="1" max="1" width="6.28515625" style="2" customWidth="1"/>
    <col min="2" max="2" width="62.140625" customWidth="1"/>
    <col min="3" max="3" width="13.42578125" customWidth="1"/>
    <col min="4" max="4" width="16.140625" hidden="1" customWidth="1"/>
    <col min="5" max="6" width="13.140625" style="41" customWidth="1"/>
    <col min="7" max="7" width="7.42578125" customWidth="1"/>
    <col min="8" max="10" width="16.140625" customWidth="1"/>
  </cols>
  <sheetData>
    <row r="1" spans="1:46" ht="15" customHeight="1" x14ac:dyDescent="0.3">
      <c r="A1" s="59"/>
      <c r="B1" s="39"/>
      <c r="F1" s="60" t="s">
        <v>592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ht="15" customHeight="1" x14ac:dyDescent="0.3">
      <c r="A2" s="59"/>
      <c r="B2" s="39"/>
      <c r="F2" s="60" t="str">
        <f>'1.Bev-kiad.'!F2</f>
        <v>a 3/2021.(V.28.) önkormányzati rendelethez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spans="1:46" ht="19.5" x14ac:dyDescent="0.35">
      <c r="A3" s="59"/>
      <c r="B3" s="614" t="s">
        <v>985</v>
      </c>
      <c r="C3" s="614"/>
      <c r="D3" s="614"/>
      <c r="E3" s="615"/>
      <c r="F3" s="489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</row>
    <row r="4" spans="1:46" ht="19.5" x14ac:dyDescent="0.35">
      <c r="A4" s="59"/>
      <c r="B4" s="614"/>
      <c r="C4" s="614"/>
      <c r="D4" s="614"/>
      <c r="E4" s="615"/>
      <c r="F4" s="489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1:46" ht="13.5" thickBot="1" x14ac:dyDescent="0.25">
      <c r="A5" s="59"/>
      <c r="B5" s="1"/>
      <c r="F5" s="60" t="s">
        <v>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</row>
    <row r="6" spans="1:46" ht="53.25" customHeight="1" thickBot="1" x14ac:dyDescent="0.25">
      <c r="A6" s="189" t="s">
        <v>99</v>
      </c>
      <c r="B6" s="233" t="s">
        <v>189</v>
      </c>
      <c r="C6" s="255" t="s">
        <v>410</v>
      </c>
      <c r="D6" s="255" t="str">
        <f>'1.Bev-kiad.'!D6</f>
        <v>Módosított előirányzat 2020.09.havi</v>
      </c>
      <c r="E6" s="255" t="str">
        <f>'1.Bev-kiad.'!E6</f>
        <v>Módosított előirányzat 2020.12.31</v>
      </c>
      <c r="F6" s="286" t="str">
        <f>'1.Bev-kiad.'!F6</f>
        <v>Teljesítés 2020.12.31</v>
      </c>
      <c r="G6" s="493" t="s">
        <v>736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</row>
    <row r="7" spans="1:46" ht="20.25" customHeight="1" x14ac:dyDescent="0.2">
      <c r="A7" s="190" t="s">
        <v>100</v>
      </c>
      <c r="B7" s="182" t="s">
        <v>350</v>
      </c>
      <c r="C7" s="287">
        <f>SUM(C12+C20+C26)</f>
        <v>3448</v>
      </c>
      <c r="D7" s="287">
        <f>SUM(D12+D20+D26)</f>
        <v>11440</v>
      </c>
      <c r="E7" s="287">
        <f>SUM(E12+E20+E26)</f>
        <v>20545</v>
      </c>
      <c r="F7" s="287">
        <f>SUM(F12+F20+F26)</f>
        <v>20545</v>
      </c>
      <c r="G7" s="494">
        <f>F7/E7*100</f>
        <v>100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1:46" ht="12.75" hidden="1" customHeight="1" x14ac:dyDescent="0.2">
      <c r="A8" s="10" t="s">
        <v>103</v>
      </c>
      <c r="B8" s="185" t="s">
        <v>107</v>
      </c>
      <c r="C8" s="8"/>
      <c r="D8" s="8"/>
      <c r="E8" s="8"/>
      <c r="F8" s="8"/>
      <c r="G8" s="494" t="e">
        <f t="shared" ref="G8:G18" si="0">F8/E8*100</f>
        <v>#DIV/0!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</row>
    <row r="9" spans="1:46" ht="12.75" hidden="1" customHeight="1" x14ac:dyDescent="0.2">
      <c r="A9" s="10" t="s">
        <v>104</v>
      </c>
      <c r="B9" s="185" t="s">
        <v>108</v>
      </c>
      <c r="C9" s="12"/>
      <c r="D9" s="12"/>
      <c r="E9" s="12"/>
      <c r="F9" s="12"/>
      <c r="G9" s="494" t="e">
        <f t="shared" si="0"/>
        <v>#DIV/0!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</row>
    <row r="10" spans="1:46" ht="12.75" hidden="1" customHeight="1" x14ac:dyDescent="0.2">
      <c r="A10" s="10" t="s">
        <v>105</v>
      </c>
      <c r="B10" s="185" t="s">
        <v>109</v>
      </c>
      <c r="C10" s="17"/>
      <c r="D10" s="17"/>
      <c r="E10" s="17"/>
      <c r="F10" s="17"/>
      <c r="G10" s="494" t="e">
        <f t="shared" si="0"/>
        <v>#DIV/0!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1:46" ht="12.75" hidden="1" customHeight="1" x14ac:dyDescent="0.2">
      <c r="A11" s="10" t="s">
        <v>106</v>
      </c>
      <c r="B11" s="185" t="s">
        <v>111</v>
      </c>
      <c r="C11" s="17"/>
      <c r="D11" s="17"/>
      <c r="E11" s="17"/>
      <c r="F11" s="17"/>
      <c r="G11" s="494" t="e">
        <f t="shared" si="0"/>
        <v>#DIV/0!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1:46" ht="18" customHeight="1" x14ac:dyDescent="0.25">
      <c r="A12" s="18" t="s">
        <v>112</v>
      </c>
      <c r="B12" s="183" t="s">
        <v>227</v>
      </c>
      <c r="C12" s="289">
        <f>SUM(C13+C16)</f>
        <v>3448</v>
      </c>
      <c r="D12" s="289">
        <f>SUM(D13+D16)</f>
        <v>11440</v>
      </c>
      <c r="E12" s="289">
        <f>SUM(E13+E16)</f>
        <v>20545</v>
      </c>
      <c r="F12" s="289">
        <f>SUM(F13+F16)</f>
        <v>20545</v>
      </c>
      <c r="G12" s="494">
        <f t="shared" si="0"/>
        <v>100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1:46" ht="13.5" customHeight="1" x14ac:dyDescent="0.2">
      <c r="A13" s="10"/>
      <c r="B13" s="185" t="s">
        <v>317</v>
      </c>
      <c r="C13" s="17">
        <f>SUM(C14)+C15</f>
        <v>0</v>
      </c>
      <c r="D13" s="17">
        <f>SUM(D14)+D15</f>
        <v>0</v>
      </c>
      <c r="E13" s="17">
        <f>SUM(E14)+E15</f>
        <v>17093</v>
      </c>
      <c r="F13" s="17">
        <f>SUM(F14)+F15</f>
        <v>17093</v>
      </c>
      <c r="G13" s="494">
        <f t="shared" si="0"/>
        <v>100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1:46" x14ac:dyDescent="0.2">
      <c r="A14" s="10" t="s">
        <v>116</v>
      </c>
      <c r="B14" s="185" t="s">
        <v>696</v>
      </c>
      <c r="C14" s="290">
        <v>0</v>
      </c>
      <c r="D14" s="290">
        <v>0</v>
      </c>
      <c r="E14" s="290">
        <v>7988</v>
      </c>
      <c r="F14" s="290">
        <v>7988</v>
      </c>
      <c r="G14" s="494">
        <f t="shared" si="0"/>
        <v>100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1:46" x14ac:dyDescent="0.2">
      <c r="A15" s="10" t="s">
        <v>116</v>
      </c>
      <c r="B15" s="185" t="s">
        <v>700</v>
      </c>
      <c r="C15" s="282">
        <v>0</v>
      </c>
      <c r="D15" s="282">
        <v>0</v>
      </c>
      <c r="E15" s="282">
        <v>9105</v>
      </c>
      <c r="F15" s="282">
        <v>9105</v>
      </c>
      <c r="G15" s="494">
        <f t="shared" si="0"/>
        <v>100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1:46" x14ac:dyDescent="0.2">
      <c r="A16" s="10"/>
      <c r="B16" s="185" t="s">
        <v>299</v>
      </c>
      <c r="C16" s="282">
        <f>SUM(C18:C19)</f>
        <v>3448</v>
      </c>
      <c r="D16" s="282">
        <f>SUM(D18:D19)</f>
        <v>11440</v>
      </c>
      <c r="E16" s="282">
        <f>SUM(E18:E19)</f>
        <v>3452</v>
      </c>
      <c r="F16" s="282">
        <f>SUM(F18:F19)</f>
        <v>3452</v>
      </c>
      <c r="G16" s="494">
        <f t="shared" si="0"/>
        <v>100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1:46" hidden="1" x14ac:dyDescent="0.2">
      <c r="A17" s="10"/>
      <c r="B17" s="185" t="s">
        <v>118</v>
      </c>
      <c r="C17" s="282"/>
      <c r="D17" s="282"/>
      <c r="E17" s="282"/>
      <c r="F17" s="282"/>
      <c r="G17" s="494" t="e">
        <f t="shared" si="0"/>
        <v>#DIV/0!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1:46" x14ac:dyDescent="0.2">
      <c r="A18" s="10" t="s">
        <v>116</v>
      </c>
      <c r="B18" s="185" t="s">
        <v>456</v>
      </c>
      <c r="C18" s="290">
        <v>3448</v>
      </c>
      <c r="D18" s="290">
        <f>3448+4</f>
        <v>3452</v>
      </c>
      <c r="E18" s="290">
        <f>3448+4</f>
        <v>3452</v>
      </c>
      <c r="F18" s="290">
        <f>3448+4</f>
        <v>3452</v>
      </c>
      <c r="G18" s="494">
        <f t="shared" si="0"/>
        <v>100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1:46" hidden="1" x14ac:dyDescent="0.2">
      <c r="A19" s="10" t="s">
        <v>116</v>
      </c>
      <c r="B19" s="185" t="s">
        <v>667</v>
      </c>
      <c r="C19" s="290">
        <v>0</v>
      </c>
      <c r="D19" s="290">
        <v>7988</v>
      </c>
      <c r="E19" s="290">
        <f>7988-7988</f>
        <v>0</v>
      </c>
      <c r="F19" s="290">
        <v>0</v>
      </c>
      <c r="G19" s="49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1:46" ht="15" customHeight="1" x14ac:dyDescent="0.25">
      <c r="A20" s="18" t="s">
        <v>159</v>
      </c>
      <c r="B20" s="183" t="s">
        <v>228</v>
      </c>
      <c r="C20" s="47">
        <f>SUM(C21:C25)</f>
        <v>0</v>
      </c>
      <c r="D20" s="47">
        <f>SUM(D21:D25)</f>
        <v>0</v>
      </c>
      <c r="E20" s="47">
        <f>SUM(E21:E25)</f>
        <v>0</v>
      </c>
      <c r="F20" s="47">
        <f>SUM(F21:F25)</f>
        <v>0</v>
      </c>
      <c r="G20" s="49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1:46" ht="13.5" customHeight="1" x14ac:dyDescent="0.2">
      <c r="A21" s="10" t="s">
        <v>160</v>
      </c>
      <c r="B21" s="26" t="s">
        <v>229</v>
      </c>
      <c r="C21" s="10"/>
      <c r="D21" s="10"/>
      <c r="E21" s="10"/>
      <c r="F21" s="10"/>
      <c r="G21" s="49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1:46" ht="13.5" customHeight="1" x14ac:dyDescent="0.2">
      <c r="A22" s="10" t="s">
        <v>161</v>
      </c>
      <c r="B22" s="26" t="s">
        <v>230</v>
      </c>
      <c r="C22" s="10"/>
      <c r="D22" s="10"/>
      <c r="E22" s="10"/>
      <c r="F22" s="10"/>
      <c r="G22" s="49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1:46" ht="13.5" customHeight="1" x14ac:dyDescent="0.2">
      <c r="A23" s="10" t="s">
        <v>162</v>
      </c>
      <c r="B23" s="26" t="s">
        <v>231</v>
      </c>
      <c r="C23" s="10"/>
      <c r="D23" s="10"/>
      <c r="E23" s="10"/>
      <c r="F23" s="10"/>
      <c r="G23" s="49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1:46" ht="13.5" customHeight="1" x14ac:dyDescent="0.2">
      <c r="A24" s="10" t="s">
        <v>163</v>
      </c>
      <c r="B24" s="26" t="s">
        <v>232</v>
      </c>
      <c r="C24" s="10"/>
      <c r="D24" s="10"/>
      <c r="E24" s="10"/>
      <c r="F24" s="10"/>
      <c r="G24" s="49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1:46" ht="14.25" customHeight="1" x14ac:dyDescent="0.25">
      <c r="A25" s="172" t="s">
        <v>164</v>
      </c>
      <c r="B25" s="26" t="s">
        <v>233</v>
      </c>
      <c r="C25" s="217"/>
      <c r="D25" s="217"/>
      <c r="E25" s="217"/>
      <c r="F25" s="217"/>
      <c r="G25" s="49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1:46" ht="15.75" customHeight="1" x14ac:dyDescent="0.25">
      <c r="A26" s="18" t="s">
        <v>171</v>
      </c>
      <c r="B26" s="183" t="s">
        <v>310</v>
      </c>
      <c r="C26" s="46"/>
      <c r="D26" s="46"/>
      <c r="E26" s="46"/>
      <c r="F26" s="46"/>
      <c r="G26" s="49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1:46" ht="13.5" hidden="1" customHeight="1" x14ac:dyDescent="0.25">
      <c r="A27" s="10" t="s">
        <v>178</v>
      </c>
      <c r="B27" s="26" t="s">
        <v>181</v>
      </c>
      <c r="C27" s="46"/>
      <c r="D27" s="46"/>
      <c r="E27" s="46"/>
      <c r="F27" s="46"/>
      <c r="G27" s="494" t="e">
        <f>(F27/E27)*100</f>
        <v>#DIV/0!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1:46" ht="13.5" hidden="1" customHeight="1" x14ac:dyDescent="0.25">
      <c r="A28" s="10" t="s">
        <v>179</v>
      </c>
      <c r="B28" s="26" t="s">
        <v>182</v>
      </c>
      <c r="C28" s="194"/>
      <c r="D28" s="194"/>
      <c r="E28" s="194"/>
      <c r="F28" s="194"/>
      <c r="G28" s="494" t="e">
        <f>(F28/E28)*100</f>
        <v>#DIV/0!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1:46" ht="15.75" hidden="1" x14ac:dyDescent="0.25">
      <c r="A29" s="13" t="s">
        <v>180</v>
      </c>
      <c r="B29" s="193" t="s">
        <v>183</v>
      </c>
      <c r="C29" s="239">
        <f t="shared" ref="C29:F30" si="1">SUM(C30+C32)</f>
        <v>6022</v>
      </c>
      <c r="D29" s="239">
        <f t="shared" si="1"/>
        <v>6022</v>
      </c>
      <c r="E29" s="239">
        <f t="shared" si="1"/>
        <v>6022</v>
      </c>
      <c r="F29" s="239">
        <f t="shared" si="1"/>
        <v>6022</v>
      </c>
      <c r="G29" s="494">
        <f>(F29/E29)*100</f>
        <v>100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1:46" ht="18" customHeight="1" x14ac:dyDescent="0.25">
      <c r="A30" s="279" t="s">
        <v>344</v>
      </c>
      <c r="B30" s="234" t="s">
        <v>351</v>
      </c>
      <c r="C30" s="292">
        <f t="shared" si="1"/>
        <v>3011</v>
      </c>
      <c r="D30" s="292">
        <f t="shared" si="1"/>
        <v>3011</v>
      </c>
      <c r="E30" s="292">
        <f t="shared" si="1"/>
        <v>3011</v>
      </c>
      <c r="F30" s="292">
        <f t="shared" si="1"/>
        <v>3011</v>
      </c>
      <c r="G30" s="494">
        <f t="shared" ref="G30:G44" si="2">(F30/E30)*100</f>
        <v>100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1:46" ht="15" customHeight="1" x14ac:dyDescent="0.25">
      <c r="A31" s="231"/>
      <c r="B31" s="230" t="s">
        <v>353</v>
      </c>
      <c r="C31" s="230">
        <f>C32</f>
        <v>3011</v>
      </c>
      <c r="D31" s="230">
        <f>D32</f>
        <v>3011</v>
      </c>
      <c r="E31" s="230">
        <f>E32</f>
        <v>3011</v>
      </c>
      <c r="F31" s="230">
        <f>F32</f>
        <v>3011</v>
      </c>
      <c r="G31" s="494">
        <f t="shared" si="2"/>
        <v>100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1:46" x14ac:dyDescent="0.2">
      <c r="A32" s="231"/>
      <c r="B32" s="232" t="s">
        <v>397</v>
      </c>
      <c r="C32" s="282">
        <v>3011</v>
      </c>
      <c r="D32" s="282">
        <v>3011</v>
      </c>
      <c r="E32" s="282">
        <v>3011</v>
      </c>
      <c r="F32" s="282">
        <v>3011</v>
      </c>
      <c r="G32" s="494">
        <f t="shared" si="2"/>
        <v>100</v>
      </c>
      <c r="H32" s="2"/>
      <c r="I32" s="2"/>
      <c r="J32" s="9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ht="13.5" customHeight="1" x14ac:dyDescent="0.25">
      <c r="A33" s="10"/>
      <c r="B33" s="230" t="s">
        <v>354</v>
      </c>
      <c r="C33" s="292">
        <f>SUM(C34)</f>
        <v>0</v>
      </c>
      <c r="D33" s="292">
        <f>SUM(D34)</f>
        <v>0</v>
      </c>
      <c r="E33" s="292">
        <f>SUM(E34)</f>
        <v>0</v>
      </c>
      <c r="F33" s="292">
        <f>SUM(F34)</f>
        <v>0</v>
      </c>
      <c r="G33" s="494"/>
      <c r="H33" s="2"/>
      <c r="I33" s="2"/>
      <c r="J33" s="9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ht="13.5" customHeight="1" thickBot="1" x14ac:dyDescent="0.25">
      <c r="A34" s="172"/>
      <c r="B34" s="26" t="s">
        <v>355</v>
      </c>
      <c r="C34" s="288"/>
      <c r="D34" s="288"/>
      <c r="E34" s="288"/>
      <c r="F34" s="288"/>
      <c r="G34" s="494"/>
      <c r="H34" s="2"/>
      <c r="I34" s="2"/>
      <c r="J34" s="9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1:46" ht="20.25" customHeight="1" thickBot="1" x14ac:dyDescent="0.25">
      <c r="A35" s="172"/>
      <c r="B35" s="261" t="s">
        <v>378</v>
      </c>
      <c r="C35" s="295">
        <f>SUM(C12+C20+C25+C30)</f>
        <v>6459</v>
      </c>
      <c r="D35" s="295">
        <f>SUM(D12+D20+D25+D30)</f>
        <v>14451</v>
      </c>
      <c r="E35" s="295">
        <f>SUM(E7+E30)</f>
        <v>23556</v>
      </c>
      <c r="F35" s="310">
        <f>SUM(F7+F30)</f>
        <v>23556</v>
      </c>
      <c r="G35" s="494">
        <f t="shared" si="2"/>
        <v>100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1:46" ht="18" customHeight="1" x14ac:dyDescent="0.25">
      <c r="A36" s="18" t="s">
        <v>234</v>
      </c>
      <c r="B36" s="187" t="s">
        <v>349</v>
      </c>
      <c r="C36" s="47">
        <f>C37+C45</f>
        <v>275</v>
      </c>
      <c r="D36" s="47">
        <f>D37+D45</f>
        <v>8259</v>
      </c>
      <c r="E36" s="47">
        <f>E37+E45</f>
        <v>8259</v>
      </c>
      <c r="F36" s="47">
        <f>F37+F45</f>
        <v>8259</v>
      </c>
      <c r="G36" s="494">
        <f t="shared" si="2"/>
        <v>100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1:46" ht="13.5" customHeight="1" x14ac:dyDescent="0.25">
      <c r="A37" s="18"/>
      <c r="B37" s="183" t="s">
        <v>2</v>
      </c>
      <c r="C37" s="293">
        <f>SUM(C38+C41)</f>
        <v>275</v>
      </c>
      <c r="D37" s="293">
        <f>SUM(D38+D41)</f>
        <v>8259</v>
      </c>
      <c r="E37" s="293">
        <f>SUM(E38+E41)</f>
        <v>8259</v>
      </c>
      <c r="F37" s="293">
        <f>SUM(F38+F41)</f>
        <v>8259</v>
      </c>
      <c r="G37" s="494">
        <f t="shared" si="2"/>
        <v>100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1:46" ht="13.5" customHeight="1" x14ac:dyDescent="0.2">
      <c r="A38" s="18"/>
      <c r="B38" s="24" t="s">
        <v>300</v>
      </c>
      <c r="C38" s="281">
        <f>SUM(C39)</f>
        <v>275</v>
      </c>
      <c r="D38" s="281">
        <f>SUM(D39:D40)</f>
        <v>8122</v>
      </c>
      <c r="E38" s="281">
        <f>SUM(E39:E40)</f>
        <v>134</v>
      </c>
      <c r="F38" s="281">
        <f>SUM(F39:F40)</f>
        <v>134</v>
      </c>
      <c r="G38" s="494">
        <f t="shared" si="2"/>
        <v>100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6" ht="14.25" customHeight="1" x14ac:dyDescent="0.2">
      <c r="A39" s="18"/>
      <c r="B39" s="347" t="s">
        <v>619</v>
      </c>
      <c r="C39" s="348">
        <v>275</v>
      </c>
      <c r="D39" s="348">
        <f>275-141</f>
        <v>134</v>
      </c>
      <c r="E39" s="348">
        <f>275-141</f>
        <v>134</v>
      </c>
      <c r="F39" s="348">
        <v>134</v>
      </c>
      <c r="G39" s="494">
        <f t="shared" si="2"/>
        <v>100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1:46" ht="14.25" hidden="1" customHeight="1" x14ac:dyDescent="0.2">
      <c r="A40" s="18"/>
      <c r="B40" s="347" t="s">
        <v>698</v>
      </c>
      <c r="C40" s="348">
        <v>0</v>
      </c>
      <c r="D40" s="348">
        <v>7988</v>
      </c>
      <c r="E40" s="348">
        <f>7988-7988</f>
        <v>0</v>
      </c>
      <c r="F40" s="348">
        <v>0</v>
      </c>
      <c r="G40" s="49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 ht="13.5" customHeight="1" x14ac:dyDescent="0.2">
      <c r="A41" s="18"/>
      <c r="B41" s="228" t="s">
        <v>343</v>
      </c>
      <c r="C41" s="281">
        <f>SUM(C42:C44)</f>
        <v>0</v>
      </c>
      <c r="D41" s="281">
        <f>SUM(D42:D44)</f>
        <v>137</v>
      </c>
      <c r="E41" s="281">
        <f>SUM(E42:E44)</f>
        <v>8125</v>
      </c>
      <c r="F41" s="281">
        <f>SUM(F42:F44)</f>
        <v>8125</v>
      </c>
      <c r="G41" s="494">
        <f t="shared" si="2"/>
        <v>100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 ht="13.5" customHeight="1" x14ac:dyDescent="0.2">
      <c r="A42" s="18"/>
      <c r="B42" s="344" t="s">
        <v>659</v>
      </c>
      <c r="C42" s="345">
        <v>0</v>
      </c>
      <c r="D42" s="346">
        <v>137</v>
      </c>
      <c r="E42" s="346">
        <v>137</v>
      </c>
      <c r="F42" s="346">
        <v>137</v>
      </c>
      <c r="G42" s="494">
        <f t="shared" si="2"/>
        <v>100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</row>
    <row r="43" spans="1:46" ht="13.5" customHeight="1" x14ac:dyDescent="0.2">
      <c r="A43" s="18"/>
      <c r="B43" s="347" t="s">
        <v>697</v>
      </c>
      <c r="C43" s="345">
        <v>0</v>
      </c>
      <c r="D43" s="346">
        <v>0</v>
      </c>
      <c r="E43" s="346">
        <v>7988</v>
      </c>
      <c r="F43" s="346">
        <v>7988</v>
      </c>
      <c r="G43" s="494">
        <f t="shared" si="2"/>
        <v>100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spans="1:46" ht="13.5" hidden="1" customHeight="1" x14ac:dyDescent="0.2">
      <c r="A44" s="18"/>
      <c r="B44" s="347" t="s">
        <v>699</v>
      </c>
      <c r="C44" s="345">
        <v>0</v>
      </c>
      <c r="D44" s="346">
        <v>0</v>
      </c>
      <c r="E44" s="346">
        <v>0</v>
      </c>
      <c r="F44" s="346">
        <v>0</v>
      </c>
      <c r="G44" s="494" t="e">
        <f t="shared" si="2"/>
        <v>#DIV/0!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</row>
    <row r="45" spans="1:46" ht="18" customHeight="1" x14ac:dyDescent="0.25">
      <c r="A45" s="18" t="s">
        <v>380</v>
      </c>
      <c r="B45" s="198" t="s">
        <v>1</v>
      </c>
      <c r="C45" s="289">
        <f>SUM(C46+C48)</f>
        <v>0</v>
      </c>
      <c r="D45" s="289">
        <f>SUM(D46+D48)</f>
        <v>0</v>
      </c>
      <c r="E45" s="289">
        <f>SUM(E46+E48)</f>
        <v>0</v>
      </c>
      <c r="F45" s="289">
        <f>SUM(F46+F48)</f>
        <v>0</v>
      </c>
      <c r="G45" s="494"/>
      <c r="H45" s="2"/>
      <c r="I45" s="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</row>
    <row r="46" spans="1:46" ht="13.5" customHeight="1" x14ac:dyDescent="0.2">
      <c r="A46" s="18"/>
      <c r="B46" s="24" t="s">
        <v>311</v>
      </c>
      <c r="C46" s="282">
        <f>SUM(C47)</f>
        <v>0</v>
      </c>
      <c r="D46" s="282">
        <f>SUM(D47)</f>
        <v>0</v>
      </c>
      <c r="E46" s="282">
        <f>SUM(E47)</f>
        <v>0</v>
      </c>
      <c r="F46" s="282">
        <f>SUM(F47)</f>
        <v>0</v>
      </c>
      <c r="G46" s="49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spans="1:46" ht="13.5" hidden="1" customHeight="1" x14ac:dyDescent="0.2">
      <c r="A47" s="18"/>
      <c r="B47" s="347" t="s">
        <v>974</v>
      </c>
      <c r="C47" s="346"/>
      <c r="D47" s="346"/>
      <c r="E47" s="346"/>
      <c r="F47" s="346"/>
      <c r="G47" s="49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</row>
    <row r="48" spans="1:46" ht="13.5" customHeight="1" x14ac:dyDescent="0.2">
      <c r="A48" s="18"/>
      <c r="B48" s="24" t="s">
        <v>312</v>
      </c>
      <c r="C48" s="17">
        <f>SUM(C49:C50)</f>
        <v>0</v>
      </c>
      <c r="D48" s="17">
        <f>SUM(D49:D50)</f>
        <v>0</v>
      </c>
      <c r="E48" s="17">
        <f>SUM(E49:E50)</f>
        <v>0</v>
      </c>
      <c r="F48" s="17">
        <f>SUM(F49:F50)</f>
        <v>0</v>
      </c>
      <c r="G48" s="49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spans="1:46" ht="13.5" hidden="1" customHeight="1" x14ac:dyDescent="0.2">
      <c r="A49" s="18"/>
      <c r="B49" s="347" t="s">
        <v>975</v>
      </c>
      <c r="C49" s="481"/>
      <c r="D49" s="481"/>
      <c r="E49" s="481"/>
      <c r="F49" s="481"/>
      <c r="G49" s="49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</row>
    <row r="50" spans="1:46" ht="13.5" customHeight="1" x14ac:dyDescent="0.2">
      <c r="A50" s="18"/>
      <c r="B50" s="349"/>
      <c r="C50" s="385"/>
      <c r="D50" s="385"/>
      <c r="E50" s="385"/>
      <c r="F50" s="385"/>
      <c r="G50" s="494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spans="1:46" ht="13.5" hidden="1" customHeight="1" x14ac:dyDescent="0.2">
      <c r="A51" s="18"/>
      <c r="B51" s="24"/>
      <c r="C51" s="282"/>
      <c r="D51" s="282"/>
      <c r="E51" s="282"/>
      <c r="F51" s="282"/>
      <c r="G51" s="49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spans="1:46" ht="19.5" customHeight="1" x14ac:dyDescent="0.25">
      <c r="A52" s="18" t="s">
        <v>381</v>
      </c>
      <c r="B52" s="29" t="s">
        <v>11</v>
      </c>
      <c r="C52" s="289">
        <f>SUM(C53:C54)</f>
        <v>0</v>
      </c>
      <c r="D52" s="289">
        <f>SUM(D53:D54)</f>
        <v>0</v>
      </c>
      <c r="E52" s="289">
        <f>SUM(E53:E54)</f>
        <v>9105</v>
      </c>
      <c r="F52" s="289">
        <f>SUM(F53:F54)</f>
        <v>0</v>
      </c>
      <c r="G52" s="494">
        <f>(F52/E52)*100</f>
        <v>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  <row r="53" spans="1:46" ht="13.5" customHeight="1" x14ac:dyDescent="0.2">
      <c r="A53" s="18"/>
      <c r="B53" s="25" t="s">
        <v>382</v>
      </c>
      <c r="C53" s="290">
        <v>0</v>
      </c>
      <c r="D53" s="290">
        <v>0</v>
      </c>
      <c r="E53" s="290">
        <v>0</v>
      </c>
      <c r="F53" s="290">
        <v>0</v>
      </c>
      <c r="G53" s="49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</row>
    <row r="54" spans="1:46" ht="13.5" customHeight="1" x14ac:dyDescent="0.2">
      <c r="A54" s="18"/>
      <c r="B54" s="262" t="s">
        <v>396</v>
      </c>
      <c r="C54" s="290">
        <v>0</v>
      </c>
      <c r="D54" s="290">
        <v>0</v>
      </c>
      <c r="E54" s="290">
        <v>9105</v>
      </c>
      <c r="F54" s="290">
        <v>0</v>
      </c>
      <c r="G54" s="494">
        <f>(F54/E54)*100</f>
        <v>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</row>
    <row r="55" spans="1:46" ht="19.5" customHeight="1" thickBot="1" x14ac:dyDescent="0.3">
      <c r="A55" s="61" t="s">
        <v>186</v>
      </c>
      <c r="B55" s="242" t="s">
        <v>348</v>
      </c>
      <c r="C55" s="294">
        <v>0</v>
      </c>
      <c r="D55" s="294">
        <v>0</v>
      </c>
      <c r="E55" s="294">
        <v>0</v>
      </c>
      <c r="F55" s="294">
        <v>0</v>
      </c>
      <c r="G55" s="494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</row>
    <row r="56" spans="1:46" ht="24" customHeight="1" thickBot="1" x14ac:dyDescent="0.4">
      <c r="A56" s="195"/>
      <c r="B56" s="138" t="s">
        <v>379</v>
      </c>
      <c r="C56" s="295">
        <f>SUM(C37+C45+C52+C55)</f>
        <v>275</v>
      </c>
      <c r="D56" s="295">
        <f>SUM(D37+D45+D52+D55)</f>
        <v>8259</v>
      </c>
      <c r="E56" s="295">
        <f>SUM(E37+E45+E52+E55)</f>
        <v>17364</v>
      </c>
      <c r="F56" s="310">
        <f>SUM(F37+F45+F52+F55)</f>
        <v>8259</v>
      </c>
      <c r="G56" s="494">
        <f>(F56/E56)*100</f>
        <v>47.563925362819624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</row>
    <row r="57" spans="1:46" ht="15.75" customHeight="1" x14ac:dyDescent="0.2">
      <c r="B57" s="2"/>
      <c r="C57" s="2"/>
      <c r="D57" s="2"/>
      <c r="E57" s="2"/>
      <c r="F57" s="2"/>
      <c r="G57" s="49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</row>
    <row r="58" spans="1:46" ht="15.75" customHeight="1" x14ac:dyDescent="0.2">
      <c r="B58" s="2"/>
      <c r="C58" s="2"/>
      <c r="D58" s="2"/>
      <c r="E58" s="2"/>
      <c r="F58" s="2"/>
      <c r="G58" s="49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</row>
    <row r="59" spans="1:46" ht="15.75" customHeight="1" x14ac:dyDescent="0.2">
      <c r="B59" s="2"/>
      <c r="C59" s="2"/>
      <c r="D59" s="2"/>
      <c r="E59" s="2"/>
      <c r="F59" s="2"/>
      <c r="G59" s="49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spans="1:46" ht="15.75" customHeight="1" x14ac:dyDescent="0.2">
      <c r="B60" s="2"/>
      <c r="C60" s="2"/>
      <c r="D60" s="2"/>
      <c r="E60" s="2"/>
      <c r="F60" s="2"/>
      <c r="G60" s="49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</row>
    <row r="61" spans="1:46" ht="15.75" customHeight="1" x14ac:dyDescent="0.2">
      <c r="B61" s="2"/>
      <c r="C61" s="2"/>
      <c r="D61" s="2"/>
      <c r="E61" s="2"/>
      <c r="F61" s="2"/>
      <c r="G61" s="49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</row>
    <row r="62" spans="1:46" ht="15.75" customHeight="1" x14ac:dyDescent="0.2">
      <c r="B62" s="2"/>
      <c r="C62" s="2"/>
      <c r="D62" s="2"/>
      <c r="E62" s="2"/>
      <c r="F62" s="2"/>
      <c r="G62" s="49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</row>
    <row r="63" spans="1:46" ht="15.75" customHeight="1" x14ac:dyDescent="0.2">
      <c r="B63" s="2"/>
      <c r="C63" s="2"/>
      <c r="D63" s="2"/>
      <c r="E63" s="2"/>
      <c r="F63" s="2"/>
      <c r="G63" s="49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</row>
    <row r="64" spans="1:46" ht="15.75" customHeight="1" x14ac:dyDescent="0.2">
      <c r="B64" s="2"/>
      <c r="C64" s="2"/>
      <c r="D64" s="2"/>
      <c r="E64" s="2"/>
      <c r="F64" s="2"/>
      <c r="G64" s="49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</row>
    <row r="65" spans="2:46" ht="15.75" customHeight="1" x14ac:dyDescent="0.2">
      <c r="B65" s="2"/>
      <c r="C65" s="2"/>
      <c r="D65" s="2"/>
      <c r="E65" s="2"/>
      <c r="F65" s="2"/>
      <c r="G65" s="9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</row>
    <row r="66" spans="2:46" ht="15.75" customHeight="1" x14ac:dyDescent="0.2">
      <c r="B66" s="2"/>
      <c r="C66" s="2"/>
      <c r="D66" s="2"/>
      <c r="E66" s="2"/>
      <c r="F66" s="2"/>
      <c r="G66" s="9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</row>
    <row r="67" spans="2:46" ht="15.75" customHeight="1" x14ac:dyDescent="0.2">
      <c r="B67" s="2"/>
      <c r="C67" s="2"/>
      <c r="D67" s="2"/>
      <c r="E67" s="2"/>
      <c r="F67" s="2"/>
      <c r="G67" s="9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</row>
    <row r="68" spans="2:46" ht="15.75" customHeight="1" x14ac:dyDescent="0.2">
      <c r="B68" s="2"/>
      <c r="C68" s="2"/>
      <c r="D68" s="2"/>
      <c r="E68" s="2"/>
      <c r="F68" s="2"/>
      <c r="G68" s="9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</row>
    <row r="69" spans="2:46" ht="15.75" customHeight="1" x14ac:dyDescent="0.2">
      <c r="B69" s="2"/>
      <c r="C69" s="2"/>
      <c r="D69" s="2"/>
      <c r="E69" s="2"/>
      <c r="F69" s="2"/>
      <c r="G69" s="9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</row>
    <row r="70" spans="2:46" ht="15.75" customHeight="1" x14ac:dyDescent="0.2">
      <c r="B70" s="2"/>
      <c r="C70" s="2"/>
      <c r="D70" s="2"/>
      <c r="E70" s="2"/>
      <c r="F70" s="2"/>
      <c r="G70" s="9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</row>
    <row r="71" spans="2:46" ht="15.75" customHeight="1" x14ac:dyDescent="0.2">
      <c r="B71" s="2"/>
      <c r="C71" s="2"/>
      <c r="D71" s="2"/>
      <c r="E71" s="2"/>
      <c r="F71" s="2"/>
      <c r="G71" s="9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</row>
    <row r="72" spans="2:46" ht="15.75" customHeight="1" x14ac:dyDescent="0.2">
      <c r="B72" s="2"/>
      <c r="C72" s="2"/>
      <c r="D72" s="2"/>
      <c r="E72" s="2"/>
      <c r="F72" s="2"/>
      <c r="G72" s="9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</row>
    <row r="73" spans="2:46" ht="15.75" customHeight="1" x14ac:dyDescent="0.2">
      <c r="B73" s="2"/>
      <c r="C73" s="2"/>
      <c r="D73" s="2"/>
      <c r="E73" s="2"/>
      <c r="F73" s="2"/>
      <c r="G73" s="9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</row>
    <row r="74" spans="2:46" ht="15.75" customHeight="1" x14ac:dyDescent="0.2">
      <c r="B74" s="2"/>
      <c r="C74" s="2"/>
      <c r="D74" s="2"/>
      <c r="E74" s="2"/>
      <c r="F74" s="2"/>
      <c r="G74" s="9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</row>
    <row r="75" spans="2:46" ht="15.75" customHeight="1" x14ac:dyDescent="0.2">
      <c r="B75" s="2"/>
      <c r="C75" s="2"/>
      <c r="D75" s="2"/>
      <c r="E75" s="2"/>
      <c r="F75" s="2"/>
      <c r="G75" s="9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</row>
    <row r="76" spans="2:46" ht="15.75" customHeight="1" x14ac:dyDescent="0.2">
      <c r="B76" s="2"/>
      <c r="C76" s="2"/>
      <c r="D76" s="2"/>
      <c r="E76" s="2"/>
      <c r="F76" s="2"/>
      <c r="G76" s="9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</row>
    <row r="77" spans="2:46" ht="15.75" customHeight="1" x14ac:dyDescent="0.2">
      <c r="B77" s="2"/>
      <c r="C77" s="2"/>
      <c r="D77" s="2"/>
      <c r="E77" s="2"/>
      <c r="F77" s="2"/>
      <c r="G77" s="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</row>
    <row r="78" spans="2:46" ht="15.75" customHeight="1" x14ac:dyDescent="0.2">
      <c r="B78" s="2"/>
      <c r="C78" s="2"/>
      <c r="D78" s="2"/>
      <c r="E78" s="2"/>
      <c r="F78" s="2"/>
      <c r="G78" s="9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</row>
    <row r="79" spans="2:46" ht="15.75" customHeight="1" x14ac:dyDescent="0.2">
      <c r="B79" s="2"/>
      <c r="C79" s="2"/>
      <c r="D79" s="2"/>
      <c r="E79" s="2"/>
      <c r="F79" s="2"/>
      <c r="G79" s="9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</row>
    <row r="80" spans="2:46" ht="15.75" customHeight="1" x14ac:dyDescent="0.2">
      <c r="B80" s="2"/>
      <c r="C80" s="2"/>
      <c r="D80" s="2"/>
      <c r="E80" s="2"/>
      <c r="F80" s="2"/>
      <c r="G80" s="9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</row>
    <row r="81" spans="2:46" ht="15.75" customHeight="1" x14ac:dyDescent="0.2">
      <c r="B81" s="2"/>
      <c r="C81" s="2"/>
      <c r="D81" s="2"/>
      <c r="E81" s="2"/>
      <c r="F81" s="2"/>
      <c r="G81" s="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</row>
    <row r="82" spans="2:46" ht="15.75" customHeight="1" x14ac:dyDescent="0.2">
      <c r="B82" s="2"/>
      <c r="C82" s="2"/>
      <c r="D82" s="2"/>
      <c r="E82" s="2"/>
      <c r="F82" s="2"/>
      <c r="G82" s="9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</row>
    <row r="83" spans="2:46" ht="15.75" customHeight="1" x14ac:dyDescent="0.2">
      <c r="B83" s="2"/>
      <c r="C83" s="2"/>
      <c r="D83" s="2"/>
      <c r="E83" s="2"/>
      <c r="F83" s="2"/>
      <c r="G83" s="9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</row>
    <row r="84" spans="2:46" ht="15.75" customHeight="1" x14ac:dyDescent="0.2">
      <c r="B84" s="2"/>
      <c r="C84" s="2"/>
      <c r="D84" s="2"/>
      <c r="E84" s="2"/>
      <c r="F84" s="2"/>
      <c r="G84" s="9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</row>
    <row r="85" spans="2:46" ht="15.75" customHeight="1" x14ac:dyDescent="0.2">
      <c r="B85" s="2"/>
      <c r="C85" s="2"/>
      <c r="D85" s="2"/>
      <c r="E85" s="2"/>
      <c r="F85" s="2"/>
      <c r="G85" s="9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</row>
    <row r="86" spans="2:46" ht="15.75" customHeight="1" x14ac:dyDescent="0.2">
      <c r="B86" s="2"/>
      <c r="C86" s="2"/>
      <c r="D86" s="2"/>
      <c r="E86" s="2"/>
      <c r="F86" s="2"/>
      <c r="G86" s="9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</row>
    <row r="87" spans="2:46" ht="15.75" customHeight="1" x14ac:dyDescent="0.2">
      <c r="B87" s="2"/>
      <c r="C87" s="2"/>
      <c r="D87" s="2"/>
      <c r="E87" s="2"/>
      <c r="F87" s="2"/>
      <c r="G87" s="9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</row>
    <row r="88" spans="2:46" ht="15.75" customHeight="1" x14ac:dyDescent="0.2">
      <c r="B88" s="2"/>
      <c r="C88" s="2"/>
      <c r="D88" s="2"/>
      <c r="E88" s="2"/>
      <c r="F88" s="2"/>
      <c r="G88" s="9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</row>
    <row r="89" spans="2:46" ht="15.75" customHeight="1" x14ac:dyDescent="0.2">
      <c r="B89" s="2"/>
      <c r="C89" s="2"/>
      <c r="D89" s="2"/>
      <c r="E89" s="2"/>
      <c r="F89" s="2"/>
      <c r="G89" s="9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</row>
    <row r="90" spans="2:46" ht="15.75" customHeight="1" x14ac:dyDescent="0.2">
      <c r="B90" s="2"/>
      <c r="C90" s="2"/>
      <c r="D90" s="2"/>
      <c r="E90" s="2"/>
      <c r="F90" s="2"/>
      <c r="G90" s="9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</row>
    <row r="91" spans="2:46" ht="15.75" customHeight="1" x14ac:dyDescent="0.2">
      <c r="B91" s="2"/>
      <c r="C91" s="2"/>
      <c r="D91" s="2"/>
      <c r="E91" s="2"/>
      <c r="F91" s="2"/>
      <c r="G91" s="9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</row>
    <row r="92" spans="2:46" ht="15.75" customHeight="1" x14ac:dyDescent="0.2">
      <c r="B92" s="2"/>
      <c r="C92" s="2"/>
      <c r="D92" s="2"/>
      <c r="E92" s="2"/>
      <c r="F92" s="2"/>
      <c r="G92" s="9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</row>
    <row r="93" spans="2:46" ht="15.75" customHeight="1" x14ac:dyDescent="0.2">
      <c r="B93" s="2"/>
      <c r="C93" s="2"/>
      <c r="D93" s="2"/>
      <c r="E93" s="2"/>
      <c r="F93" s="2"/>
      <c r="G93" s="9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</row>
    <row r="94" spans="2:46" ht="15.75" customHeight="1" x14ac:dyDescent="0.2">
      <c r="B94" s="2"/>
      <c r="C94" s="2"/>
      <c r="D94" s="2"/>
      <c r="E94" s="2"/>
      <c r="F94" s="2"/>
      <c r="G94" s="9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</row>
    <row r="95" spans="2:46" ht="15.75" customHeight="1" x14ac:dyDescent="0.2">
      <c r="B95" s="2"/>
      <c r="C95" s="2"/>
      <c r="D95" s="2"/>
      <c r="E95" s="2"/>
      <c r="F95" s="2"/>
      <c r="G95" s="9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</row>
    <row r="96" spans="2:46" ht="15.75" customHeight="1" x14ac:dyDescent="0.2">
      <c r="B96" s="2"/>
      <c r="C96" s="2"/>
      <c r="D96" s="2"/>
      <c r="E96" s="2"/>
      <c r="F96" s="2"/>
      <c r="G96" s="9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</row>
    <row r="97" spans="2:46" ht="15.75" customHeight="1" x14ac:dyDescent="0.2">
      <c r="B97" s="2"/>
      <c r="C97" s="2"/>
      <c r="D97" s="2"/>
      <c r="E97" s="2"/>
      <c r="F97" s="2"/>
      <c r="G97" s="9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</row>
    <row r="98" spans="2:46" ht="15.75" customHeight="1" x14ac:dyDescent="0.2">
      <c r="B98" s="2"/>
      <c r="C98" s="2"/>
      <c r="D98" s="2"/>
      <c r="E98" s="2"/>
      <c r="F98" s="2"/>
      <c r="G98" s="9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</row>
    <row r="99" spans="2:46" ht="15.75" customHeight="1" x14ac:dyDescent="0.2">
      <c r="B99" s="2"/>
      <c r="C99" s="2"/>
      <c r="D99" s="2"/>
      <c r="E99" s="2"/>
      <c r="F99" s="2"/>
      <c r="G99" s="9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</row>
    <row r="100" spans="2:46" ht="15.75" customHeight="1" x14ac:dyDescent="0.2">
      <c r="B100" s="2"/>
      <c r="C100" s="2"/>
      <c r="D100" s="2"/>
      <c r="E100" s="2"/>
      <c r="F100" s="2"/>
      <c r="G100" s="9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</row>
    <row r="101" spans="2:46" ht="15.75" customHeight="1" x14ac:dyDescent="0.2">
      <c r="B101" s="2"/>
      <c r="C101" s="2"/>
      <c r="D101" s="2"/>
      <c r="E101" s="2"/>
      <c r="F101" s="2"/>
      <c r="G101" s="9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</row>
    <row r="102" spans="2:46" ht="15.75" customHeight="1" x14ac:dyDescent="0.2">
      <c r="B102" s="2"/>
      <c r="C102" s="2"/>
      <c r="D102" s="2"/>
      <c r="E102" s="2"/>
      <c r="F102" s="2"/>
      <c r="G102" s="9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</row>
    <row r="103" spans="2:46" ht="15.75" customHeight="1" x14ac:dyDescent="0.2">
      <c r="B103" s="2"/>
      <c r="C103" s="2"/>
      <c r="D103" s="2"/>
      <c r="E103" s="2"/>
      <c r="F103" s="2"/>
      <c r="G103" s="9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</row>
    <row r="104" spans="2:46" ht="15.75" customHeight="1" x14ac:dyDescent="0.2">
      <c r="B104" s="2"/>
      <c r="C104" s="2"/>
      <c r="D104" s="2"/>
      <c r="E104" s="2"/>
      <c r="F104" s="2"/>
      <c r="G104" s="9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</row>
    <row r="105" spans="2:46" ht="15.75" customHeight="1" x14ac:dyDescent="0.2">
      <c r="B105" s="2"/>
      <c r="C105" s="2"/>
      <c r="D105" s="2"/>
      <c r="E105" s="2"/>
      <c r="F105" s="2"/>
      <c r="G105" s="9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</row>
    <row r="106" spans="2:46" ht="15.75" customHeight="1" x14ac:dyDescent="0.2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</row>
    <row r="107" spans="2:46" ht="15.75" customHeight="1" x14ac:dyDescent="0.2">
      <c r="B107" s="2"/>
      <c r="C107" s="2"/>
      <c r="D107" s="2"/>
      <c r="E107" s="2"/>
      <c r="F107" s="2"/>
      <c r="G107" s="9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</row>
    <row r="108" spans="2:46" ht="15.75" customHeight="1" x14ac:dyDescent="0.2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</row>
    <row r="109" spans="2:46" ht="15.75" customHeight="1" x14ac:dyDescent="0.2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</row>
    <row r="110" spans="2:46" ht="15.75" customHeight="1" x14ac:dyDescent="0.2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</row>
    <row r="111" spans="2:46" ht="15.75" customHeight="1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</row>
    <row r="112" spans="2:46" ht="15.75" customHeight="1" x14ac:dyDescent="0.2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</row>
    <row r="113" spans="2:46" ht="15.75" customHeight="1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</row>
    <row r="114" spans="2:46" ht="15.75" customHeight="1" x14ac:dyDescent="0.2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</row>
    <row r="115" spans="2:46" ht="15.75" customHeight="1" x14ac:dyDescent="0.2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</row>
    <row r="116" spans="2:46" ht="15.75" customHeight="1" x14ac:dyDescent="0.2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</row>
    <row r="117" spans="2:46" ht="15.75" customHeight="1" x14ac:dyDescent="0.2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2:46" ht="15.75" customHeight="1" x14ac:dyDescent="0.2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</row>
    <row r="119" spans="2:46" ht="15.75" customHeight="1" x14ac:dyDescent="0.2">
      <c r="B119" s="2"/>
      <c r="C119" s="2"/>
      <c r="D119" s="2"/>
      <c r="E119" s="36"/>
      <c r="F119" s="36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</row>
    <row r="120" spans="2:46" ht="15.75" customHeight="1" x14ac:dyDescent="0.2">
      <c r="B120" s="2"/>
      <c r="C120" s="2"/>
      <c r="D120" s="2"/>
      <c r="E120" s="36"/>
      <c r="F120" s="36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</row>
    <row r="121" spans="2:46" ht="15.75" customHeight="1" x14ac:dyDescent="0.2">
      <c r="B121" s="2"/>
      <c r="C121" s="2"/>
      <c r="D121" s="2"/>
      <c r="E121" s="36"/>
      <c r="F121" s="36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</row>
    <row r="122" spans="2:46" ht="15.75" customHeight="1" x14ac:dyDescent="0.2">
      <c r="B122" s="2"/>
      <c r="C122" s="2"/>
      <c r="D122" s="2"/>
      <c r="E122" s="36"/>
      <c r="F122" s="36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</row>
    <row r="123" spans="2:46" ht="15.75" customHeight="1" x14ac:dyDescent="0.2">
      <c r="B123" s="2"/>
      <c r="C123" s="2"/>
      <c r="D123" s="2"/>
      <c r="E123" s="36"/>
      <c r="F123" s="36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</row>
    <row r="124" spans="2:46" ht="15.75" customHeight="1" x14ac:dyDescent="0.2">
      <c r="B124" s="2"/>
      <c r="C124" s="2"/>
      <c r="D124" s="2"/>
      <c r="E124" s="36"/>
      <c r="F124" s="36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</row>
    <row r="125" spans="2:46" ht="15.75" customHeight="1" x14ac:dyDescent="0.2">
      <c r="B125" s="2"/>
      <c r="C125" s="2"/>
      <c r="D125" s="2"/>
      <c r="E125" s="36"/>
      <c r="F125" s="36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</row>
    <row r="126" spans="2:46" ht="15.75" customHeight="1" x14ac:dyDescent="0.2">
      <c r="B126" s="2"/>
      <c r="C126" s="2"/>
      <c r="D126" s="2"/>
      <c r="E126" s="36"/>
      <c r="F126" s="36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</row>
    <row r="127" spans="2:46" ht="15.75" customHeight="1" x14ac:dyDescent="0.2">
      <c r="B127" s="2"/>
      <c r="C127" s="2"/>
      <c r="D127" s="2"/>
      <c r="E127" s="36"/>
      <c r="F127" s="36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</row>
    <row r="128" spans="2:46" ht="15.75" customHeight="1" x14ac:dyDescent="0.2">
      <c r="B128" s="2"/>
      <c r="C128" s="2"/>
      <c r="D128" s="2"/>
      <c r="E128" s="36"/>
      <c r="F128" s="36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</row>
    <row r="129" spans="2:46" ht="15.75" customHeight="1" x14ac:dyDescent="0.2">
      <c r="B129" s="2"/>
      <c r="C129" s="2"/>
      <c r="D129" s="2"/>
      <c r="E129" s="36"/>
      <c r="F129" s="36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</row>
    <row r="130" spans="2:46" ht="15.75" customHeight="1" x14ac:dyDescent="0.2">
      <c r="B130" s="2"/>
      <c r="C130" s="2"/>
      <c r="D130" s="2"/>
      <c r="E130" s="36"/>
      <c r="F130" s="36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</row>
    <row r="131" spans="2:46" ht="15.75" customHeight="1" x14ac:dyDescent="0.2">
      <c r="B131" s="2"/>
      <c r="C131" s="2"/>
      <c r="D131" s="2"/>
      <c r="E131" s="36"/>
      <c r="F131" s="36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</row>
    <row r="132" spans="2:46" ht="15.75" customHeight="1" x14ac:dyDescent="0.2">
      <c r="B132" s="2"/>
      <c r="C132" s="2"/>
      <c r="D132" s="2"/>
      <c r="E132" s="36"/>
      <c r="F132" s="36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</row>
    <row r="133" spans="2:46" ht="15.75" customHeight="1" x14ac:dyDescent="0.2">
      <c r="B133" s="2"/>
      <c r="C133" s="2"/>
      <c r="D133" s="2"/>
      <c r="E133" s="36"/>
      <c r="F133" s="36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</row>
    <row r="134" spans="2:46" ht="15.75" customHeight="1" x14ac:dyDescent="0.2">
      <c r="B134" s="2"/>
      <c r="C134" s="2"/>
      <c r="D134" s="2"/>
      <c r="E134" s="36"/>
      <c r="F134" s="36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</row>
    <row r="135" spans="2:46" ht="15.75" customHeight="1" x14ac:dyDescent="0.2">
      <c r="B135" s="2"/>
      <c r="C135" s="2"/>
      <c r="D135" s="2"/>
      <c r="E135" s="36"/>
      <c r="F135" s="36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</row>
    <row r="136" spans="2:46" ht="15.75" customHeight="1" x14ac:dyDescent="0.2">
      <c r="B136" s="2"/>
      <c r="C136" s="2"/>
      <c r="D136" s="2"/>
      <c r="E136" s="36"/>
      <c r="F136" s="36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</row>
    <row r="137" spans="2:46" ht="15.75" customHeight="1" x14ac:dyDescent="0.2">
      <c r="B137" s="2"/>
      <c r="C137" s="2"/>
      <c r="D137" s="2"/>
      <c r="E137" s="36"/>
      <c r="F137" s="36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</row>
    <row r="138" spans="2:46" ht="15.75" customHeight="1" x14ac:dyDescent="0.2">
      <c r="B138" s="2"/>
      <c r="C138" s="2"/>
      <c r="D138" s="2"/>
      <c r="E138" s="36"/>
      <c r="F138" s="36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</row>
    <row r="139" spans="2:46" ht="15.75" customHeight="1" x14ac:dyDescent="0.2">
      <c r="B139" s="2"/>
      <c r="C139" s="2"/>
      <c r="D139" s="2"/>
      <c r="E139" s="36"/>
      <c r="F139" s="36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</row>
    <row r="140" spans="2:46" ht="15.75" customHeight="1" x14ac:dyDescent="0.2">
      <c r="B140" s="2"/>
      <c r="C140" s="2"/>
      <c r="D140" s="2"/>
      <c r="E140" s="36"/>
      <c r="F140" s="36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</row>
    <row r="141" spans="2:46" ht="15.75" customHeight="1" x14ac:dyDescent="0.2">
      <c r="B141" s="2"/>
      <c r="C141" s="2"/>
      <c r="D141" s="2"/>
      <c r="E141" s="36"/>
      <c r="F141" s="36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</row>
    <row r="142" spans="2:46" ht="15.75" customHeight="1" x14ac:dyDescent="0.2">
      <c r="B142" s="2"/>
      <c r="C142" s="2"/>
      <c r="D142" s="2"/>
      <c r="E142" s="36"/>
      <c r="F142" s="36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</row>
    <row r="143" spans="2:46" ht="15.75" customHeight="1" x14ac:dyDescent="0.2">
      <c r="B143" s="2"/>
      <c r="C143" s="2"/>
      <c r="D143" s="2"/>
      <c r="E143" s="36"/>
      <c r="F143" s="36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</row>
    <row r="144" spans="2:46" ht="15.75" customHeight="1" x14ac:dyDescent="0.2">
      <c r="B144" s="2"/>
      <c r="C144" s="2"/>
      <c r="D144" s="2"/>
      <c r="E144" s="36"/>
      <c r="F144" s="36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</row>
    <row r="145" spans="2:46" ht="15.75" customHeight="1" x14ac:dyDescent="0.2">
      <c r="B145" s="2"/>
      <c r="C145" s="2"/>
      <c r="D145" s="2"/>
      <c r="E145" s="36"/>
      <c r="F145" s="36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</row>
    <row r="146" spans="2:46" ht="15.75" customHeight="1" x14ac:dyDescent="0.2">
      <c r="B146" s="2"/>
      <c r="C146" s="2"/>
      <c r="D146" s="2"/>
      <c r="E146" s="36"/>
      <c r="F146" s="36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</row>
    <row r="147" spans="2:46" ht="15.75" customHeight="1" x14ac:dyDescent="0.2">
      <c r="B147" s="2"/>
      <c r="C147" s="2"/>
      <c r="D147" s="2"/>
      <c r="E147" s="36"/>
      <c r="F147" s="36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</row>
    <row r="148" spans="2:46" ht="15.75" customHeight="1" x14ac:dyDescent="0.2">
      <c r="B148" s="2"/>
      <c r="C148" s="2"/>
      <c r="D148" s="2"/>
      <c r="E148" s="36"/>
      <c r="F148" s="36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</row>
    <row r="149" spans="2:46" ht="15.75" customHeight="1" x14ac:dyDescent="0.2">
      <c r="B149" s="2"/>
      <c r="C149" s="2"/>
      <c r="D149" s="2"/>
      <c r="E149" s="36"/>
      <c r="F149" s="36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</row>
    <row r="150" spans="2:46" ht="15.75" customHeight="1" x14ac:dyDescent="0.2">
      <c r="B150" s="2"/>
      <c r="C150" s="2"/>
      <c r="D150" s="2"/>
      <c r="E150" s="36"/>
      <c r="F150" s="36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</row>
    <row r="151" spans="2:46" ht="15.75" customHeight="1" x14ac:dyDescent="0.2">
      <c r="B151" s="2"/>
      <c r="C151" s="2"/>
      <c r="D151" s="2"/>
      <c r="E151" s="36"/>
      <c r="F151" s="36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</row>
    <row r="152" spans="2:46" ht="15.75" customHeight="1" x14ac:dyDescent="0.2">
      <c r="B152" s="2"/>
      <c r="C152" s="2"/>
      <c r="D152" s="2"/>
      <c r="E152" s="36"/>
      <c r="F152" s="3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</row>
    <row r="153" spans="2:46" ht="15.75" customHeight="1" x14ac:dyDescent="0.2">
      <c r="B153" s="2"/>
      <c r="C153" s="2"/>
      <c r="D153" s="2"/>
      <c r="E153" s="36"/>
      <c r="F153" s="36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</row>
    <row r="154" spans="2:46" ht="15.75" customHeight="1" x14ac:dyDescent="0.2">
      <c r="B154" s="2"/>
      <c r="C154" s="2"/>
      <c r="D154" s="2"/>
      <c r="E154" s="36"/>
      <c r="F154" s="36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</row>
    <row r="155" spans="2:46" ht="15.75" customHeight="1" x14ac:dyDescent="0.2">
      <c r="B155" s="2"/>
      <c r="C155" s="2"/>
      <c r="D155" s="2"/>
      <c r="E155" s="36"/>
      <c r="F155" s="36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</row>
    <row r="156" spans="2:46" ht="15.75" customHeight="1" x14ac:dyDescent="0.2">
      <c r="B156" s="2"/>
      <c r="C156" s="2"/>
      <c r="D156" s="2"/>
      <c r="E156" s="36"/>
      <c r="F156" s="36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</row>
    <row r="157" spans="2:46" ht="15.75" customHeight="1" x14ac:dyDescent="0.2">
      <c r="B157" s="2"/>
      <c r="C157" s="2"/>
      <c r="D157" s="2"/>
      <c r="E157" s="36"/>
      <c r="F157" s="36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</row>
    <row r="158" spans="2:46" ht="15.75" customHeight="1" x14ac:dyDescent="0.2">
      <c r="B158" s="2"/>
      <c r="C158" s="2"/>
      <c r="D158" s="2"/>
      <c r="E158" s="36"/>
      <c r="F158" s="36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</row>
    <row r="159" spans="2:46" ht="15.75" customHeight="1" x14ac:dyDescent="0.2">
      <c r="B159" s="2"/>
      <c r="C159" s="2"/>
      <c r="D159" s="2"/>
      <c r="E159" s="36"/>
      <c r="F159" s="36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</row>
    <row r="160" spans="2:46" ht="15.75" customHeight="1" x14ac:dyDescent="0.2">
      <c r="B160" s="2"/>
      <c r="C160" s="2"/>
      <c r="D160" s="2"/>
      <c r="E160" s="36"/>
      <c r="F160" s="36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</row>
    <row r="161" spans="2:46" ht="15.75" customHeight="1" x14ac:dyDescent="0.2">
      <c r="B161" s="2"/>
      <c r="C161" s="2"/>
      <c r="D161" s="2"/>
      <c r="E161" s="36"/>
      <c r="F161" s="36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</row>
    <row r="162" spans="2:46" ht="15.75" customHeight="1" x14ac:dyDescent="0.2">
      <c r="B162" s="2"/>
      <c r="C162" s="2"/>
      <c r="D162" s="2"/>
      <c r="E162" s="36"/>
      <c r="F162" s="36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</row>
    <row r="163" spans="2:46" ht="15.75" customHeight="1" x14ac:dyDescent="0.2">
      <c r="B163" s="2"/>
      <c r="C163" s="2"/>
      <c r="D163" s="2"/>
      <c r="E163" s="36"/>
      <c r="F163" s="36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</row>
    <row r="164" spans="2:46" ht="15.75" customHeight="1" x14ac:dyDescent="0.2">
      <c r="B164" s="2"/>
      <c r="C164" s="2"/>
      <c r="D164" s="2"/>
      <c r="E164" s="36"/>
      <c r="F164" s="36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</row>
    <row r="165" spans="2:46" ht="15.75" customHeight="1" x14ac:dyDescent="0.2">
      <c r="B165" s="2"/>
      <c r="C165" s="2"/>
      <c r="D165" s="2"/>
      <c r="E165" s="36"/>
      <c r="F165" s="36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</row>
    <row r="166" spans="2:46" ht="15.75" customHeight="1" x14ac:dyDescent="0.2">
      <c r="B166" s="2"/>
      <c r="C166" s="2"/>
      <c r="D166" s="2"/>
      <c r="E166" s="36"/>
      <c r="F166" s="36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</row>
    <row r="167" spans="2:46" ht="15.75" customHeight="1" x14ac:dyDescent="0.2">
      <c r="B167" s="2"/>
      <c r="C167" s="2"/>
      <c r="D167" s="2"/>
      <c r="E167" s="36"/>
      <c r="F167" s="3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</row>
    <row r="168" spans="2:46" ht="15.75" customHeight="1" x14ac:dyDescent="0.2">
      <c r="B168" s="2"/>
      <c r="C168" s="2"/>
      <c r="D168" s="2"/>
      <c r="E168" s="36"/>
      <c r="F168" s="36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</row>
    <row r="169" spans="2:46" ht="15.75" customHeight="1" x14ac:dyDescent="0.2">
      <c r="B169" s="2"/>
      <c r="C169" s="2"/>
      <c r="D169" s="2"/>
      <c r="E169" s="36"/>
      <c r="F169" s="3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</row>
    <row r="170" spans="2:46" ht="15.75" customHeight="1" x14ac:dyDescent="0.2">
      <c r="B170" s="2"/>
      <c r="C170" s="2"/>
      <c r="D170" s="2"/>
      <c r="E170" s="36"/>
      <c r="F170" s="36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</row>
    <row r="171" spans="2:46" ht="15.75" customHeight="1" x14ac:dyDescent="0.2">
      <c r="B171" s="2"/>
      <c r="C171" s="2"/>
      <c r="D171" s="2"/>
      <c r="E171" s="36"/>
      <c r="F171" s="3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</row>
    <row r="172" spans="2:46" ht="15.75" customHeight="1" x14ac:dyDescent="0.2">
      <c r="B172" s="2"/>
      <c r="C172" s="2"/>
      <c r="D172" s="2"/>
      <c r="E172" s="36"/>
      <c r="F172" s="3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</row>
    <row r="173" spans="2:46" ht="15.75" customHeight="1" x14ac:dyDescent="0.2">
      <c r="B173" s="2"/>
      <c r="C173" s="2"/>
      <c r="D173" s="2"/>
      <c r="E173" s="36"/>
      <c r="F173" s="3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</row>
    <row r="174" spans="2:46" ht="15.75" customHeight="1" x14ac:dyDescent="0.2">
      <c r="B174" s="2"/>
      <c r="C174" s="2"/>
      <c r="D174" s="2"/>
      <c r="E174" s="36"/>
      <c r="F174" s="3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</row>
    <row r="175" spans="2:46" ht="15.75" customHeight="1" x14ac:dyDescent="0.2">
      <c r="B175" s="2"/>
      <c r="C175" s="2"/>
      <c r="D175" s="2"/>
      <c r="E175" s="36"/>
      <c r="F175" s="3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</row>
    <row r="176" spans="2:46" ht="15.75" customHeight="1" x14ac:dyDescent="0.2">
      <c r="B176" s="2"/>
      <c r="C176" s="2"/>
      <c r="D176" s="2"/>
      <c r="E176" s="36"/>
      <c r="F176" s="36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</row>
    <row r="177" spans="2:46" ht="15.75" customHeight="1" x14ac:dyDescent="0.2">
      <c r="B177" s="2"/>
      <c r="C177" s="2"/>
      <c r="D177" s="2"/>
      <c r="E177" s="36"/>
      <c r="F177" s="36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</row>
    <row r="178" spans="2:46" ht="15.75" customHeight="1" x14ac:dyDescent="0.2">
      <c r="B178" s="2"/>
      <c r="C178" s="2"/>
      <c r="D178" s="2"/>
      <c r="E178" s="36"/>
      <c r="F178" s="36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</row>
    <row r="179" spans="2:46" ht="15.75" customHeight="1" x14ac:dyDescent="0.2">
      <c r="B179" s="2"/>
      <c r="C179" s="2"/>
      <c r="D179" s="2"/>
      <c r="E179" s="36"/>
      <c r="F179" s="36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</row>
    <row r="180" spans="2:46" ht="15.75" customHeight="1" x14ac:dyDescent="0.2">
      <c r="B180" s="2"/>
      <c r="C180" s="2"/>
      <c r="D180" s="2"/>
      <c r="E180" s="36"/>
      <c r="F180" s="36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</row>
    <row r="181" spans="2:46" ht="15.75" customHeight="1" x14ac:dyDescent="0.2">
      <c r="B181" s="2"/>
      <c r="C181" s="2"/>
      <c r="D181" s="2"/>
      <c r="E181" s="36"/>
      <c r="F181" s="36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</row>
    <row r="182" spans="2:46" ht="15.75" customHeight="1" x14ac:dyDescent="0.2">
      <c r="B182" s="2"/>
      <c r="C182" s="2"/>
      <c r="D182" s="2"/>
      <c r="E182" s="36"/>
      <c r="F182" s="36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</row>
    <row r="183" spans="2:46" ht="15.75" customHeight="1" x14ac:dyDescent="0.2">
      <c r="B183" s="2"/>
      <c r="C183" s="2"/>
      <c r="D183" s="2"/>
      <c r="E183" s="36"/>
      <c r="F183" s="36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</row>
    <row r="184" spans="2:46" ht="15.75" customHeight="1" x14ac:dyDescent="0.2">
      <c r="B184" s="2"/>
      <c r="C184" s="2"/>
      <c r="D184" s="2"/>
      <c r="E184" s="36"/>
      <c r="F184" s="36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</row>
    <row r="185" spans="2:46" ht="15.75" customHeight="1" x14ac:dyDescent="0.2">
      <c r="B185" s="2"/>
      <c r="C185" s="2"/>
      <c r="D185" s="2"/>
      <c r="E185" s="36"/>
      <c r="F185" s="36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</row>
    <row r="186" spans="2:46" ht="15.75" customHeight="1" x14ac:dyDescent="0.2">
      <c r="B186" s="2"/>
      <c r="C186" s="2"/>
      <c r="D186" s="2"/>
      <c r="E186" s="36"/>
      <c r="F186" s="36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</row>
    <row r="187" spans="2:46" ht="15.75" customHeight="1" x14ac:dyDescent="0.2">
      <c r="B187" s="2"/>
      <c r="C187" s="2"/>
      <c r="D187" s="2"/>
      <c r="E187" s="36"/>
      <c r="F187" s="36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</row>
    <row r="188" spans="2:46" ht="15.75" customHeight="1" x14ac:dyDescent="0.2">
      <c r="B188" s="2"/>
      <c r="C188" s="2"/>
      <c r="D188" s="2"/>
      <c r="E188" s="36"/>
      <c r="F188" s="36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</row>
    <row r="189" spans="2:46" ht="15.75" customHeight="1" x14ac:dyDescent="0.2">
      <c r="B189" s="2"/>
      <c r="C189" s="2"/>
      <c r="D189" s="2"/>
      <c r="E189" s="36"/>
      <c r="F189" s="36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</row>
    <row r="190" spans="2:46" ht="15.75" customHeight="1" x14ac:dyDescent="0.2">
      <c r="B190" s="2"/>
      <c r="C190" s="2"/>
      <c r="D190" s="2"/>
      <c r="E190" s="36"/>
      <c r="F190" s="36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</row>
    <row r="191" spans="2:46" ht="15.75" customHeight="1" x14ac:dyDescent="0.2">
      <c r="B191" s="2"/>
      <c r="C191" s="2"/>
      <c r="D191" s="2"/>
      <c r="E191" s="36"/>
      <c r="F191" s="36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</row>
    <row r="192" spans="2:46" ht="15.75" customHeight="1" x14ac:dyDescent="0.2">
      <c r="B192" s="2"/>
      <c r="C192" s="2"/>
      <c r="D192" s="2"/>
      <c r="E192" s="36"/>
      <c r="F192" s="36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</row>
    <row r="193" spans="2:46" ht="15.75" customHeight="1" x14ac:dyDescent="0.2">
      <c r="B193" s="2"/>
      <c r="C193" s="2"/>
      <c r="D193" s="2"/>
      <c r="E193" s="36"/>
      <c r="F193" s="36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</row>
    <row r="194" spans="2:46" ht="15.75" customHeight="1" x14ac:dyDescent="0.2">
      <c r="B194" s="2"/>
      <c r="C194" s="2"/>
      <c r="D194" s="2"/>
      <c r="E194" s="36"/>
      <c r="F194" s="36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</row>
    <row r="195" spans="2:46" ht="15.75" customHeight="1" x14ac:dyDescent="0.2">
      <c r="B195" s="2"/>
      <c r="C195" s="2"/>
      <c r="D195" s="2"/>
      <c r="E195" s="36"/>
      <c r="F195" s="36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</row>
    <row r="196" spans="2:46" ht="15.75" customHeight="1" x14ac:dyDescent="0.2">
      <c r="B196" s="2"/>
      <c r="C196" s="2"/>
      <c r="D196" s="2"/>
      <c r="E196" s="36"/>
      <c r="F196" s="36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</row>
    <row r="197" spans="2:46" ht="15.75" customHeight="1" x14ac:dyDescent="0.2">
      <c r="B197" s="2"/>
      <c r="C197" s="2"/>
      <c r="D197" s="2"/>
      <c r="E197" s="36"/>
      <c r="F197" s="36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</row>
    <row r="198" spans="2:46" ht="15.75" customHeight="1" x14ac:dyDescent="0.2">
      <c r="B198" s="2"/>
      <c r="C198" s="2"/>
      <c r="D198" s="2"/>
      <c r="E198" s="36"/>
      <c r="F198" s="36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</row>
    <row r="199" spans="2:46" ht="15.75" customHeight="1" x14ac:dyDescent="0.2">
      <c r="B199" s="2"/>
      <c r="C199" s="2"/>
      <c r="D199" s="2"/>
      <c r="E199" s="36"/>
      <c r="F199" s="36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</row>
    <row r="200" spans="2:46" ht="15.75" customHeight="1" x14ac:dyDescent="0.2">
      <c r="B200" s="2"/>
      <c r="C200" s="2"/>
      <c r="D200" s="2"/>
      <c r="E200" s="36"/>
      <c r="F200" s="36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</row>
    <row r="201" spans="2:46" ht="15.75" customHeight="1" x14ac:dyDescent="0.2">
      <c r="B201" s="2"/>
      <c r="C201" s="2"/>
      <c r="D201" s="2"/>
      <c r="E201" s="36"/>
      <c r="F201" s="36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</row>
    <row r="202" spans="2:46" ht="15.75" customHeight="1" x14ac:dyDescent="0.2">
      <c r="B202" s="2"/>
      <c r="C202" s="2"/>
      <c r="D202" s="2"/>
      <c r="E202" s="36"/>
      <c r="F202" s="36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</row>
    <row r="203" spans="2:46" ht="15.75" customHeight="1" x14ac:dyDescent="0.2">
      <c r="B203" s="2"/>
      <c r="C203" s="2"/>
      <c r="D203" s="2"/>
      <c r="E203" s="36"/>
      <c r="F203" s="36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</row>
    <row r="204" spans="2:46" ht="15.75" customHeight="1" x14ac:dyDescent="0.2">
      <c r="B204" s="2"/>
      <c r="C204" s="2"/>
      <c r="D204" s="2"/>
      <c r="E204" s="36"/>
      <c r="F204" s="36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</row>
    <row r="205" spans="2:46" ht="15.75" customHeight="1" x14ac:dyDescent="0.2">
      <c r="B205" s="2"/>
      <c r="C205" s="2"/>
      <c r="D205" s="2"/>
      <c r="E205" s="36"/>
      <c r="F205" s="36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</row>
    <row r="206" spans="2:46" ht="15.75" customHeight="1" x14ac:dyDescent="0.2">
      <c r="B206" s="2"/>
      <c r="C206" s="2"/>
      <c r="D206" s="2"/>
      <c r="E206" s="36"/>
      <c r="F206" s="36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</row>
    <row r="207" spans="2:46" ht="15.75" customHeight="1" x14ac:dyDescent="0.2">
      <c r="B207" s="2"/>
      <c r="C207" s="2"/>
      <c r="D207" s="2"/>
      <c r="E207" s="36"/>
      <c r="F207" s="36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</row>
    <row r="208" spans="2:46" ht="15.75" customHeight="1" x14ac:dyDescent="0.2">
      <c r="B208" s="2"/>
      <c r="C208" s="2"/>
      <c r="D208" s="2"/>
      <c r="E208" s="36"/>
      <c r="F208" s="36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</row>
    <row r="209" spans="2:46" ht="15.75" customHeight="1" x14ac:dyDescent="0.2">
      <c r="B209" s="2"/>
      <c r="C209" s="2"/>
      <c r="D209" s="2"/>
      <c r="E209" s="36"/>
      <c r="F209" s="36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</row>
    <row r="210" spans="2:46" ht="15.75" customHeight="1" x14ac:dyDescent="0.2">
      <c r="B210" s="2"/>
      <c r="C210" s="2"/>
      <c r="D210" s="2"/>
      <c r="E210" s="36"/>
      <c r="F210" s="36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</row>
    <row r="211" spans="2:46" ht="15.75" customHeight="1" x14ac:dyDescent="0.2">
      <c r="B211" s="2"/>
      <c r="C211" s="2"/>
      <c r="D211" s="2"/>
      <c r="E211" s="36"/>
      <c r="F211" s="36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</row>
    <row r="212" spans="2:46" ht="15.75" customHeight="1" x14ac:dyDescent="0.2">
      <c r="B212" s="2"/>
      <c r="C212" s="2"/>
      <c r="D212" s="2"/>
      <c r="E212" s="36"/>
      <c r="F212" s="36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</row>
    <row r="213" spans="2:46" ht="15.75" customHeight="1" x14ac:dyDescent="0.2">
      <c r="B213" s="2"/>
      <c r="C213" s="2"/>
      <c r="D213" s="2"/>
      <c r="E213" s="36"/>
      <c r="F213" s="36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</row>
    <row r="214" spans="2:46" ht="15.75" customHeight="1" x14ac:dyDescent="0.2">
      <c r="B214" s="2"/>
      <c r="C214" s="2"/>
      <c r="D214" s="2"/>
      <c r="E214" s="36"/>
      <c r="F214" s="36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</row>
    <row r="215" spans="2:46" ht="15.75" customHeight="1" x14ac:dyDescent="0.2">
      <c r="B215" s="2"/>
      <c r="C215" s="2"/>
      <c r="D215" s="2"/>
      <c r="E215" s="36"/>
      <c r="F215" s="36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</row>
    <row r="216" spans="2:46" ht="15.75" customHeight="1" x14ac:dyDescent="0.2">
      <c r="B216" s="2"/>
      <c r="C216" s="2"/>
      <c r="D216" s="2"/>
      <c r="E216" s="36"/>
      <c r="F216" s="36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</row>
    <row r="217" spans="2:46" ht="15.75" customHeight="1" x14ac:dyDescent="0.2">
      <c r="B217" s="2"/>
      <c r="C217" s="2"/>
      <c r="D217" s="2"/>
      <c r="E217" s="36"/>
      <c r="F217" s="36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</row>
    <row r="218" spans="2:46" ht="15.75" customHeight="1" x14ac:dyDescent="0.2">
      <c r="B218" s="2"/>
      <c r="C218" s="2"/>
      <c r="D218" s="2"/>
      <c r="E218" s="36"/>
      <c r="F218" s="36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</row>
    <row r="219" spans="2:46" ht="15.75" customHeight="1" x14ac:dyDescent="0.2">
      <c r="B219" s="2"/>
      <c r="C219" s="2"/>
      <c r="D219" s="2"/>
      <c r="E219" s="36"/>
      <c r="F219" s="36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</row>
    <row r="220" spans="2:46" ht="15.75" customHeight="1" x14ac:dyDescent="0.2">
      <c r="B220" s="2"/>
      <c r="C220" s="2"/>
      <c r="D220" s="2"/>
      <c r="E220" s="36"/>
      <c r="F220" s="36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</row>
    <row r="221" spans="2:46" ht="15.75" customHeight="1" x14ac:dyDescent="0.2">
      <c r="B221" s="2"/>
      <c r="C221" s="2"/>
      <c r="D221" s="2"/>
      <c r="E221" s="36"/>
      <c r="F221" s="36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</row>
    <row r="222" spans="2:46" ht="15.75" customHeight="1" x14ac:dyDescent="0.2">
      <c r="B222" s="2"/>
      <c r="C222" s="2"/>
      <c r="D222" s="2"/>
      <c r="E222" s="36"/>
      <c r="F222" s="36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</row>
    <row r="223" spans="2:46" ht="15.75" customHeight="1" x14ac:dyDescent="0.2">
      <c r="B223" s="2"/>
      <c r="C223" s="2"/>
      <c r="D223" s="2"/>
      <c r="E223" s="36"/>
      <c r="F223" s="36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</row>
    <row r="224" spans="2:46" ht="15.75" customHeight="1" x14ac:dyDescent="0.2">
      <c r="B224" s="2"/>
      <c r="C224" s="2"/>
      <c r="D224" s="2"/>
      <c r="E224" s="36"/>
      <c r="F224" s="36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</row>
    <row r="225" spans="2:46" ht="15.75" customHeight="1" x14ac:dyDescent="0.2">
      <c r="B225" s="2"/>
      <c r="C225" s="2"/>
      <c r="D225" s="2"/>
      <c r="E225" s="36"/>
      <c r="F225" s="36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</row>
    <row r="226" spans="2:46" ht="15.75" customHeight="1" x14ac:dyDescent="0.2">
      <c r="B226" s="2"/>
      <c r="C226" s="2"/>
      <c r="D226" s="2"/>
      <c r="E226" s="36"/>
      <c r="F226" s="36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</row>
    <row r="227" spans="2:46" ht="15.75" customHeight="1" x14ac:dyDescent="0.2">
      <c r="B227" s="2"/>
      <c r="C227" s="2"/>
      <c r="D227" s="2"/>
      <c r="E227" s="36"/>
      <c r="F227" s="36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</row>
    <row r="228" spans="2:46" ht="15.75" customHeight="1" x14ac:dyDescent="0.2">
      <c r="B228" s="2"/>
      <c r="C228" s="2"/>
      <c r="D228" s="2"/>
      <c r="E228" s="36"/>
      <c r="F228" s="36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</row>
    <row r="229" spans="2:46" ht="15.75" customHeight="1" x14ac:dyDescent="0.2">
      <c r="B229" s="2"/>
      <c r="C229" s="2"/>
      <c r="D229" s="2"/>
      <c r="E229" s="36"/>
      <c r="F229" s="36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</row>
    <row r="230" spans="2:46" ht="15.75" customHeight="1" x14ac:dyDescent="0.2">
      <c r="B230" s="2"/>
      <c r="C230" s="2"/>
      <c r="D230" s="2"/>
      <c r="E230" s="36"/>
      <c r="F230" s="36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</row>
    <row r="231" spans="2:46" ht="15.75" customHeight="1" x14ac:dyDescent="0.2">
      <c r="B231" s="2"/>
      <c r="C231" s="2"/>
      <c r="D231" s="2"/>
      <c r="E231" s="36"/>
      <c r="F231" s="36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</row>
    <row r="232" spans="2:46" ht="15.75" customHeight="1" x14ac:dyDescent="0.2">
      <c r="B232" s="2"/>
      <c r="C232" s="2"/>
      <c r="D232" s="2"/>
      <c r="E232" s="36"/>
      <c r="F232" s="36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</row>
    <row r="233" spans="2:46" ht="15.75" customHeight="1" x14ac:dyDescent="0.2">
      <c r="B233" s="2"/>
      <c r="C233" s="2"/>
      <c r="D233" s="2"/>
      <c r="E233" s="36"/>
      <c r="F233" s="36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</row>
    <row r="234" spans="2:46" ht="15.75" customHeight="1" x14ac:dyDescent="0.2">
      <c r="B234" s="2"/>
      <c r="C234" s="2"/>
      <c r="D234" s="2"/>
      <c r="E234" s="36"/>
      <c r="F234" s="36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</row>
    <row r="235" spans="2:46" ht="15.75" customHeight="1" x14ac:dyDescent="0.2">
      <c r="B235" s="2"/>
      <c r="C235" s="2"/>
      <c r="D235" s="2"/>
      <c r="E235" s="36"/>
      <c r="F235" s="36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</row>
    <row r="236" spans="2:46" ht="15.75" customHeight="1" x14ac:dyDescent="0.2">
      <c r="B236" s="2"/>
      <c r="C236" s="2"/>
      <c r="D236" s="2"/>
      <c r="E236" s="36"/>
      <c r="F236" s="36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</row>
    <row r="237" spans="2:46" ht="15.75" customHeight="1" x14ac:dyDescent="0.2">
      <c r="B237" s="2"/>
      <c r="C237" s="2"/>
      <c r="D237" s="2"/>
      <c r="E237" s="36"/>
      <c r="F237" s="36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</row>
    <row r="238" spans="2:46" ht="15.75" customHeight="1" x14ac:dyDescent="0.2">
      <c r="B238" s="2"/>
      <c r="C238" s="2"/>
      <c r="D238" s="2"/>
      <c r="E238" s="36"/>
      <c r="F238" s="36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</row>
    <row r="239" spans="2:46" ht="15.75" customHeight="1" x14ac:dyDescent="0.2">
      <c r="B239" s="2"/>
      <c r="C239" s="2"/>
      <c r="D239" s="2"/>
      <c r="E239" s="36"/>
      <c r="F239" s="36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</row>
    <row r="240" spans="2:46" ht="15.75" customHeight="1" x14ac:dyDescent="0.2">
      <c r="B240" s="2"/>
      <c r="C240" s="2"/>
      <c r="D240" s="2"/>
      <c r="E240" s="36"/>
      <c r="F240" s="36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</row>
    <row r="241" spans="2:46" ht="15.75" customHeight="1" x14ac:dyDescent="0.2">
      <c r="B241" s="2"/>
      <c r="C241" s="2"/>
      <c r="D241" s="2"/>
      <c r="E241" s="36"/>
      <c r="F241" s="36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</row>
    <row r="242" spans="2:46" ht="15.75" customHeight="1" x14ac:dyDescent="0.2">
      <c r="B242" s="2"/>
      <c r="C242" s="2"/>
      <c r="D242" s="2"/>
      <c r="E242" s="36"/>
      <c r="F242" s="36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</row>
    <row r="243" spans="2:46" ht="15.75" customHeight="1" x14ac:dyDescent="0.2">
      <c r="B243" s="2"/>
      <c r="C243" s="2"/>
      <c r="D243" s="2"/>
      <c r="E243" s="36"/>
      <c r="F243" s="36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</row>
    <row r="244" spans="2:46" ht="15.75" customHeight="1" x14ac:dyDescent="0.2">
      <c r="B244" s="2"/>
      <c r="C244" s="2"/>
      <c r="D244" s="2"/>
      <c r="E244" s="36"/>
      <c r="F244" s="36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</row>
    <row r="245" spans="2:46" ht="15.75" customHeight="1" x14ac:dyDescent="0.2">
      <c r="B245" s="2"/>
      <c r="C245" s="2"/>
      <c r="D245" s="2"/>
      <c r="E245" s="36"/>
      <c r="F245" s="36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</row>
    <row r="246" spans="2:46" ht="15.75" customHeight="1" x14ac:dyDescent="0.2">
      <c r="B246" s="2"/>
      <c r="C246" s="2"/>
      <c r="D246" s="2"/>
      <c r="E246" s="36"/>
      <c r="F246" s="36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</row>
    <row r="247" spans="2:46" ht="15.75" customHeight="1" x14ac:dyDescent="0.2">
      <c r="B247" s="2"/>
      <c r="C247" s="2"/>
      <c r="D247" s="2"/>
      <c r="E247" s="36"/>
      <c r="F247" s="36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</row>
    <row r="248" spans="2:46" ht="15.75" customHeight="1" x14ac:dyDescent="0.2">
      <c r="B248" s="2"/>
      <c r="C248" s="2"/>
      <c r="D248" s="2"/>
      <c r="E248" s="36"/>
      <c r="F248" s="36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</row>
    <row r="249" spans="2:46" ht="15.75" customHeight="1" x14ac:dyDescent="0.2">
      <c r="B249" s="2"/>
      <c r="C249" s="2"/>
      <c r="D249" s="2"/>
      <c r="E249" s="36"/>
      <c r="F249" s="36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</row>
    <row r="250" spans="2:46" ht="15.75" customHeight="1" x14ac:dyDescent="0.2">
      <c r="B250" s="2"/>
      <c r="C250" s="2"/>
      <c r="D250" s="2"/>
      <c r="E250" s="36"/>
      <c r="F250" s="36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</row>
    <row r="251" spans="2:46" ht="15.75" customHeight="1" x14ac:dyDescent="0.2">
      <c r="B251" s="2"/>
      <c r="C251" s="2"/>
      <c r="D251" s="2"/>
      <c r="E251" s="36"/>
      <c r="F251" s="36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</row>
    <row r="252" spans="2:46" ht="15.75" customHeight="1" x14ac:dyDescent="0.2">
      <c r="B252" s="2"/>
      <c r="C252" s="2"/>
      <c r="D252" s="2"/>
      <c r="E252" s="36"/>
      <c r="F252" s="36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</row>
    <row r="253" spans="2:46" ht="15.75" customHeight="1" x14ac:dyDescent="0.2">
      <c r="B253" s="2"/>
      <c r="C253" s="2"/>
      <c r="D253" s="2"/>
      <c r="E253" s="36"/>
      <c r="F253" s="36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</row>
    <row r="254" spans="2:46" ht="15.75" customHeight="1" x14ac:dyDescent="0.2">
      <c r="B254" s="2"/>
      <c r="C254" s="2"/>
      <c r="D254" s="2"/>
      <c r="E254" s="36"/>
      <c r="F254" s="36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</row>
    <row r="255" spans="2:46" ht="15.75" customHeight="1" x14ac:dyDescent="0.2">
      <c r="B255" s="2"/>
      <c r="C255" s="2"/>
      <c r="D255" s="2"/>
      <c r="E255" s="36"/>
      <c r="F255" s="36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</row>
    <row r="256" spans="2:46" ht="15.75" customHeight="1" x14ac:dyDescent="0.2">
      <c r="B256" s="2"/>
      <c r="C256" s="2"/>
      <c r="D256" s="2"/>
      <c r="E256" s="36"/>
      <c r="F256" s="36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</row>
    <row r="257" spans="2:46" ht="15.75" customHeight="1" x14ac:dyDescent="0.2">
      <c r="B257" s="2"/>
      <c r="C257" s="2"/>
      <c r="D257" s="2"/>
      <c r="E257" s="36"/>
      <c r="F257" s="36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</row>
    <row r="258" spans="2:46" ht="15.75" customHeight="1" x14ac:dyDescent="0.2">
      <c r="B258" s="2"/>
      <c r="C258" s="2"/>
      <c r="D258" s="2"/>
      <c r="E258" s="36"/>
      <c r="F258" s="36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</row>
    <row r="259" spans="2:46" ht="15.75" customHeight="1" x14ac:dyDescent="0.2">
      <c r="B259" s="2"/>
      <c r="C259" s="2"/>
      <c r="D259" s="2"/>
      <c r="E259" s="36"/>
      <c r="F259" s="36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</row>
    <row r="260" spans="2:46" ht="15.75" customHeight="1" x14ac:dyDescent="0.2">
      <c r="B260" s="2"/>
      <c r="C260" s="2"/>
      <c r="D260" s="2"/>
      <c r="E260" s="36"/>
      <c r="F260" s="36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</row>
    <row r="261" spans="2:46" ht="15.75" customHeight="1" x14ac:dyDescent="0.2">
      <c r="B261" s="2"/>
      <c r="C261" s="2"/>
      <c r="D261" s="2"/>
      <c r="E261" s="36"/>
      <c r="F261" s="36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</row>
    <row r="262" spans="2:46" ht="15.75" customHeight="1" x14ac:dyDescent="0.2">
      <c r="B262" s="2"/>
      <c r="C262" s="2"/>
      <c r="D262" s="2"/>
      <c r="E262" s="36"/>
      <c r="F262" s="36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</row>
    <row r="263" spans="2:46" ht="15.75" customHeight="1" x14ac:dyDescent="0.2">
      <c r="B263" s="2"/>
      <c r="C263" s="2"/>
      <c r="D263" s="2"/>
      <c r="E263" s="36"/>
      <c r="F263" s="36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</row>
    <row r="264" spans="2:46" ht="15.75" customHeight="1" x14ac:dyDescent="0.2">
      <c r="B264" s="2"/>
      <c r="C264" s="2"/>
      <c r="D264" s="2"/>
      <c r="E264" s="36"/>
      <c r="F264" s="36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</row>
    <row r="265" spans="2:46" ht="15.75" customHeight="1" x14ac:dyDescent="0.2">
      <c r="B265" s="2"/>
      <c r="C265" s="2"/>
      <c r="D265" s="2"/>
      <c r="E265" s="36"/>
      <c r="F265" s="36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</row>
    <row r="266" spans="2:46" ht="15.75" customHeight="1" x14ac:dyDescent="0.2">
      <c r="B266" s="2"/>
      <c r="C266" s="2"/>
      <c r="D266" s="2"/>
      <c r="E266" s="36"/>
      <c r="F266" s="36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</row>
    <row r="267" spans="2:46" ht="15.75" customHeight="1" x14ac:dyDescent="0.2">
      <c r="B267" s="2"/>
      <c r="C267" s="2"/>
      <c r="D267" s="2"/>
      <c r="E267" s="36"/>
      <c r="F267" s="36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</row>
    <row r="268" spans="2:46" ht="15.75" customHeight="1" x14ac:dyDescent="0.2">
      <c r="B268" s="2"/>
      <c r="C268" s="2"/>
      <c r="D268" s="2"/>
      <c r="E268" s="36"/>
      <c r="F268" s="36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</row>
    <row r="269" spans="2:46" ht="15.75" customHeight="1" x14ac:dyDescent="0.2">
      <c r="B269" s="2"/>
      <c r="C269" s="2"/>
      <c r="D269" s="2"/>
      <c r="E269" s="36"/>
      <c r="F269" s="36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</row>
    <row r="270" spans="2:46" ht="15.75" customHeight="1" x14ac:dyDescent="0.2">
      <c r="B270" s="2"/>
      <c r="C270" s="2"/>
      <c r="D270" s="2"/>
      <c r="E270" s="36"/>
      <c r="F270" s="36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</row>
    <row r="271" spans="2:46" ht="15.75" customHeight="1" x14ac:dyDescent="0.2">
      <c r="B271" s="2"/>
      <c r="C271" s="2"/>
      <c r="D271" s="2"/>
      <c r="E271" s="36"/>
      <c r="F271" s="36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</row>
    <row r="272" spans="2:46" ht="15.75" customHeight="1" x14ac:dyDescent="0.2">
      <c r="B272" s="2"/>
      <c r="C272" s="2"/>
      <c r="D272" s="2"/>
      <c r="E272" s="36"/>
      <c r="F272" s="36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</row>
    <row r="273" spans="2:46" ht="15.75" customHeight="1" x14ac:dyDescent="0.2">
      <c r="B273" s="2"/>
      <c r="C273" s="2"/>
      <c r="D273" s="2"/>
      <c r="E273" s="36"/>
      <c r="F273" s="36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</row>
    <row r="274" spans="2:46" ht="15.75" customHeight="1" x14ac:dyDescent="0.2">
      <c r="B274" s="2"/>
      <c r="C274" s="2"/>
      <c r="D274" s="2"/>
      <c r="E274" s="36"/>
      <c r="F274" s="36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</row>
    <row r="275" spans="2:46" ht="15.75" customHeight="1" x14ac:dyDescent="0.2">
      <c r="B275" s="2"/>
      <c r="C275" s="2"/>
      <c r="D275" s="2"/>
      <c r="E275" s="36"/>
      <c r="F275" s="36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</row>
    <row r="276" spans="2:46" ht="15.75" customHeight="1" x14ac:dyDescent="0.2">
      <c r="B276" s="2"/>
      <c r="C276" s="2"/>
      <c r="D276" s="2"/>
      <c r="E276" s="36"/>
      <c r="F276" s="36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</row>
    <row r="277" spans="2:46" ht="15.75" customHeight="1" x14ac:dyDescent="0.2">
      <c r="B277" s="2"/>
      <c r="C277" s="2"/>
      <c r="D277" s="2"/>
      <c r="E277" s="36"/>
      <c r="F277" s="36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</row>
    <row r="278" spans="2:46" ht="15.75" customHeight="1" x14ac:dyDescent="0.2">
      <c r="B278" s="2"/>
      <c r="C278" s="2"/>
      <c r="D278" s="2"/>
      <c r="E278" s="36"/>
      <c r="F278" s="36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</row>
    <row r="279" spans="2:46" ht="15.75" customHeight="1" x14ac:dyDescent="0.2">
      <c r="B279" s="2"/>
      <c r="C279" s="2"/>
      <c r="D279" s="2"/>
      <c r="E279" s="36"/>
      <c r="F279" s="36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</row>
    <row r="280" spans="2:46" ht="15.75" customHeight="1" x14ac:dyDescent="0.2">
      <c r="B280" s="2"/>
      <c r="C280" s="2"/>
      <c r="D280" s="2"/>
      <c r="E280" s="36"/>
      <c r="F280" s="36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</row>
    <row r="281" spans="2:46" ht="15.75" customHeight="1" x14ac:dyDescent="0.2">
      <c r="B281" s="2"/>
      <c r="C281" s="2"/>
      <c r="D281" s="2"/>
      <c r="E281" s="36"/>
      <c r="F281" s="36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</row>
    <row r="282" spans="2:46" ht="15.75" customHeight="1" x14ac:dyDescent="0.2">
      <c r="B282" s="2"/>
      <c r="C282" s="2"/>
      <c r="D282" s="2"/>
      <c r="E282" s="36"/>
      <c r="F282" s="36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</row>
    <row r="283" spans="2:46" ht="15.75" customHeight="1" x14ac:dyDescent="0.2">
      <c r="B283" s="2"/>
      <c r="C283" s="2"/>
      <c r="D283" s="2"/>
      <c r="E283" s="36"/>
      <c r="F283" s="36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</row>
    <row r="284" spans="2:46" ht="15.75" customHeight="1" x14ac:dyDescent="0.2">
      <c r="B284" s="2"/>
      <c r="C284" s="2"/>
      <c r="D284" s="2"/>
      <c r="E284" s="36"/>
      <c r="F284" s="36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</row>
    <row r="285" spans="2:46" ht="15.75" customHeight="1" x14ac:dyDescent="0.2">
      <c r="B285" s="2"/>
      <c r="C285" s="2"/>
      <c r="D285" s="2"/>
      <c r="E285" s="36"/>
      <c r="F285" s="36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</row>
    <row r="286" spans="2:46" ht="15.75" customHeight="1" x14ac:dyDescent="0.2">
      <c r="B286" s="2"/>
      <c r="C286" s="2"/>
      <c r="D286" s="2"/>
      <c r="E286" s="36"/>
      <c r="F286" s="36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</row>
    <row r="287" spans="2:46" ht="15.75" customHeight="1" x14ac:dyDescent="0.2">
      <c r="B287" s="2"/>
      <c r="C287" s="2"/>
      <c r="D287" s="2"/>
      <c r="E287" s="36"/>
      <c r="F287" s="36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</row>
    <row r="288" spans="2:46" ht="15.75" customHeight="1" x14ac:dyDescent="0.2">
      <c r="B288" s="2"/>
      <c r="C288" s="2"/>
      <c r="D288" s="2"/>
      <c r="E288" s="36"/>
      <c r="F288" s="36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</row>
    <row r="289" spans="2:46" ht="15.75" customHeight="1" x14ac:dyDescent="0.2">
      <c r="B289" s="2"/>
      <c r="C289" s="2"/>
      <c r="D289" s="2"/>
      <c r="E289" s="36"/>
      <c r="F289" s="36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</row>
    <row r="290" spans="2:46" ht="15.75" customHeight="1" x14ac:dyDescent="0.2">
      <c r="B290" s="2"/>
      <c r="C290" s="2"/>
      <c r="D290" s="2"/>
      <c r="E290" s="36"/>
      <c r="F290" s="36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</row>
    <row r="291" spans="2:46" ht="15.75" customHeight="1" x14ac:dyDescent="0.2">
      <c r="B291" s="2"/>
      <c r="C291" s="2"/>
      <c r="D291" s="2"/>
      <c r="E291" s="36"/>
      <c r="F291" s="36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</row>
    <row r="292" spans="2:46" ht="15.75" customHeight="1" x14ac:dyDescent="0.2">
      <c r="B292" s="2"/>
      <c r="C292" s="2"/>
      <c r="D292" s="2"/>
      <c r="E292" s="36"/>
      <c r="F292" s="36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</row>
    <row r="293" spans="2:46" ht="15.75" customHeight="1" x14ac:dyDescent="0.2">
      <c r="B293" s="2"/>
      <c r="C293" s="2"/>
      <c r="D293" s="2"/>
      <c r="E293" s="36"/>
      <c r="F293" s="36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</row>
    <row r="294" spans="2:46" ht="15.75" customHeight="1" x14ac:dyDescent="0.2">
      <c r="B294" s="2"/>
      <c r="C294" s="2"/>
      <c r="D294" s="2"/>
      <c r="E294" s="36"/>
      <c r="F294" s="36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</row>
    <row r="295" spans="2:46" ht="15.75" customHeight="1" x14ac:dyDescent="0.2">
      <c r="B295" s="2"/>
      <c r="C295" s="2"/>
      <c r="D295" s="2"/>
      <c r="E295" s="36"/>
      <c r="F295" s="36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</row>
    <row r="296" spans="2:46" ht="15.75" customHeight="1" x14ac:dyDescent="0.2">
      <c r="B296" s="2"/>
      <c r="C296" s="2"/>
      <c r="D296" s="2"/>
      <c r="E296" s="36"/>
      <c r="F296" s="36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</row>
    <row r="297" spans="2:46" ht="15.75" customHeight="1" x14ac:dyDescent="0.2">
      <c r="B297" s="2"/>
      <c r="C297" s="2"/>
      <c r="D297" s="2"/>
      <c r="E297" s="36"/>
      <c r="F297" s="36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</row>
    <row r="298" spans="2:46" ht="15.75" customHeight="1" x14ac:dyDescent="0.2">
      <c r="B298" s="2"/>
      <c r="C298" s="2"/>
      <c r="D298" s="2"/>
      <c r="E298" s="36"/>
      <c r="F298" s="36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</row>
    <row r="299" spans="2:46" ht="15.75" customHeight="1" x14ac:dyDescent="0.2">
      <c r="B299" s="2"/>
      <c r="C299" s="2"/>
      <c r="D299" s="2"/>
      <c r="E299" s="36"/>
      <c r="F299" s="36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</row>
    <row r="300" spans="2:46" ht="15.75" customHeight="1" x14ac:dyDescent="0.2">
      <c r="B300" s="2"/>
      <c r="C300" s="2"/>
      <c r="D300" s="2"/>
      <c r="E300" s="36"/>
      <c r="F300" s="36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</row>
    <row r="301" spans="2:46" ht="15.75" customHeight="1" x14ac:dyDescent="0.2">
      <c r="B301" s="2"/>
      <c r="C301" s="2"/>
      <c r="D301" s="2"/>
      <c r="E301" s="36"/>
      <c r="F301" s="36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</row>
    <row r="302" spans="2:46" ht="15.75" customHeight="1" x14ac:dyDescent="0.2">
      <c r="B302" s="2"/>
      <c r="C302" s="2"/>
      <c r="D302" s="2"/>
      <c r="E302" s="36"/>
      <c r="F302" s="36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</row>
    <row r="303" spans="2:46" ht="15.75" customHeight="1" x14ac:dyDescent="0.2">
      <c r="B303" s="2"/>
      <c r="C303" s="2"/>
      <c r="D303" s="2"/>
      <c r="E303" s="36"/>
      <c r="F303" s="3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</row>
    <row r="304" spans="2:46" ht="15.75" customHeight="1" x14ac:dyDescent="0.2">
      <c r="B304" s="2"/>
      <c r="C304" s="2"/>
      <c r="D304" s="2"/>
      <c r="E304" s="36"/>
      <c r="F304" s="36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</row>
    <row r="305" spans="2:46" ht="15.75" customHeight="1" x14ac:dyDescent="0.2">
      <c r="B305" s="2"/>
      <c r="C305" s="2"/>
      <c r="D305" s="2"/>
      <c r="E305" s="36"/>
      <c r="F305" s="3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</row>
    <row r="306" spans="2:46" ht="15.75" customHeight="1" x14ac:dyDescent="0.2">
      <c r="B306" s="2"/>
      <c r="C306" s="2"/>
      <c r="D306" s="2"/>
      <c r="E306" s="36"/>
      <c r="F306" s="36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</row>
    <row r="307" spans="2:46" ht="15.75" customHeight="1" x14ac:dyDescent="0.2">
      <c r="B307" s="2"/>
      <c r="C307" s="2"/>
      <c r="D307" s="2"/>
      <c r="E307" s="36"/>
      <c r="F307" s="36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</row>
    <row r="308" spans="2:46" ht="15.75" customHeight="1" x14ac:dyDescent="0.2">
      <c r="B308" s="2"/>
      <c r="C308" s="2"/>
      <c r="D308" s="2"/>
      <c r="E308" s="36"/>
      <c r="F308" s="36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</row>
    <row r="309" spans="2:46" ht="15.75" customHeight="1" x14ac:dyDescent="0.2">
      <c r="B309" s="2"/>
      <c r="C309" s="2"/>
      <c r="D309" s="2"/>
      <c r="E309" s="36"/>
      <c r="F309" s="36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</row>
    <row r="310" spans="2:46" ht="15.75" customHeight="1" x14ac:dyDescent="0.2">
      <c r="B310" s="2"/>
      <c r="C310" s="2"/>
      <c r="D310" s="2"/>
      <c r="E310" s="36"/>
      <c r="F310" s="36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</row>
    <row r="311" spans="2:46" ht="15.75" customHeight="1" x14ac:dyDescent="0.2">
      <c r="B311" s="2"/>
      <c r="C311" s="2"/>
      <c r="D311" s="2"/>
      <c r="E311" s="36"/>
      <c r="F311" s="36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</row>
    <row r="312" spans="2:46" ht="15.75" customHeight="1" x14ac:dyDescent="0.2">
      <c r="B312" s="2"/>
      <c r="C312" s="2"/>
      <c r="D312" s="2"/>
      <c r="E312" s="36"/>
      <c r="F312" s="3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</row>
    <row r="313" spans="2:46" ht="15.75" customHeight="1" x14ac:dyDescent="0.2">
      <c r="B313" s="2"/>
      <c r="C313" s="2"/>
      <c r="D313" s="2"/>
      <c r="E313" s="36"/>
      <c r="F313" s="36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</row>
    <row r="314" spans="2:46" ht="15.75" customHeight="1" x14ac:dyDescent="0.2">
      <c r="B314" s="2"/>
      <c r="C314" s="2"/>
      <c r="D314" s="2"/>
      <c r="E314" s="36"/>
      <c r="F314" s="3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</row>
    <row r="315" spans="2:46" ht="15.75" customHeight="1" x14ac:dyDescent="0.2">
      <c r="B315" s="2"/>
      <c r="C315" s="2"/>
      <c r="D315" s="2"/>
      <c r="E315" s="36"/>
      <c r="F315" s="36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</row>
    <row r="316" spans="2:46" ht="15.75" customHeight="1" x14ac:dyDescent="0.2">
      <c r="B316" s="2"/>
      <c r="C316" s="2"/>
      <c r="D316" s="2"/>
      <c r="E316" s="36"/>
      <c r="F316" s="36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</row>
    <row r="317" spans="2:46" ht="15.75" customHeight="1" x14ac:dyDescent="0.2">
      <c r="B317" s="2"/>
      <c r="C317" s="2"/>
      <c r="D317" s="2"/>
      <c r="E317" s="36"/>
      <c r="F317" s="36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</row>
    <row r="318" spans="2:46" ht="15.75" customHeight="1" x14ac:dyDescent="0.2">
      <c r="B318" s="2"/>
      <c r="C318" s="2"/>
      <c r="D318" s="2"/>
      <c r="E318" s="36"/>
      <c r="F318" s="36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</row>
    <row r="319" spans="2:46" ht="15.75" customHeight="1" x14ac:dyDescent="0.2">
      <c r="B319" s="2"/>
      <c r="C319" s="2"/>
      <c r="D319" s="2"/>
      <c r="E319" s="36"/>
      <c r="F319" s="36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</row>
    <row r="320" spans="2:46" ht="15.75" customHeight="1" x14ac:dyDescent="0.2">
      <c r="B320" s="2"/>
      <c r="C320" s="2"/>
      <c r="D320" s="2"/>
      <c r="E320" s="36"/>
      <c r="F320" s="36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</row>
    <row r="321" spans="2:46" ht="15.75" customHeight="1" x14ac:dyDescent="0.2">
      <c r="B321" s="2"/>
      <c r="C321" s="2"/>
      <c r="D321" s="2"/>
      <c r="E321" s="36"/>
      <c r="F321" s="3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</row>
    <row r="322" spans="2:46" ht="15.75" customHeight="1" x14ac:dyDescent="0.2">
      <c r="B322" s="2"/>
      <c r="C322" s="2"/>
      <c r="D322" s="2"/>
      <c r="E322" s="36"/>
      <c r="F322" s="36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</row>
    <row r="323" spans="2:46" ht="15.75" customHeight="1" x14ac:dyDescent="0.2">
      <c r="B323" s="2"/>
      <c r="C323" s="2"/>
      <c r="D323" s="2"/>
      <c r="E323" s="36"/>
      <c r="F323" s="3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</row>
    <row r="324" spans="2:46" ht="15.75" customHeight="1" x14ac:dyDescent="0.2">
      <c r="B324" s="2"/>
      <c r="C324" s="2"/>
      <c r="D324" s="2"/>
      <c r="E324" s="36"/>
      <c r="F324" s="36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</row>
    <row r="325" spans="2:46" ht="15.75" customHeight="1" x14ac:dyDescent="0.2">
      <c r="B325" s="2"/>
      <c r="C325" s="2"/>
      <c r="D325" s="2"/>
      <c r="E325" s="36"/>
      <c r="F325" s="36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</row>
    <row r="326" spans="2:46" ht="15.75" customHeight="1" x14ac:dyDescent="0.2">
      <c r="B326" s="2"/>
      <c r="C326" s="2"/>
      <c r="D326" s="2"/>
      <c r="E326" s="36"/>
      <c r="F326" s="36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</row>
    <row r="327" spans="2:46" ht="15.75" customHeight="1" x14ac:dyDescent="0.2">
      <c r="B327" s="2"/>
      <c r="C327" s="2"/>
      <c r="D327" s="2"/>
      <c r="E327" s="36"/>
      <c r="F327" s="36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</row>
    <row r="328" spans="2:46" ht="15.75" customHeight="1" x14ac:dyDescent="0.2">
      <c r="B328" s="2"/>
      <c r="C328" s="2"/>
      <c r="D328" s="2"/>
      <c r="E328" s="36"/>
      <c r="F328" s="36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</row>
    <row r="329" spans="2:46" ht="15.75" customHeight="1" x14ac:dyDescent="0.2">
      <c r="B329" s="2"/>
      <c r="C329" s="2"/>
      <c r="D329" s="2"/>
      <c r="E329" s="36"/>
      <c r="F329" s="36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</row>
    <row r="330" spans="2:46" ht="15.75" customHeight="1" x14ac:dyDescent="0.2">
      <c r="B330" s="2"/>
      <c r="C330" s="2"/>
      <c r="D330" s="2"/>
      <c r="E330" s="36"/>
      <c r="F330" s="3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</row>
    <row r="331" spans="2:46" ht="15.75" customHeight="1" x14ac:dyDescent="0.2">
      <c r="B331" s="2"/>
      <c r="C331" s="2"/>
      <c r="D331" s="2"/>
      <c r="E331" s="36"/>
      <c r="F331" s="36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</row>
    <row r="332" spans="2:46" ht="15.75" customHeight="1" x14ac:dyDescent="0.2">
      <c r="B332" s="2"/>
      <c r="C332" s="2"/>
      <c r="D332" s="2"/>
      <c r="E332" s="36"/>
      <c r="F332" s="3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</row>
    <row r="333" spans="2:46" ht="15.75" customHeight="1" x14ac:dyDescent="0.2">
      <c r="B333" s="2"/>
      <c r="C333" s="2"/>
      <c r="D333" s="2"/>
      <c r="E333" s="36"/>
      <c r="F333" s="36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</row>
    <row r="334" spans="2:46" ht="15.75" customHeight="1" x14ac:dyDescent="0.2">
      <c r="B334" s="2"/>
      <c r="C334" s="2"/>
      <c r="D334" s="2"/>
      <c r="E334" s="36"/>
      <c r="F334" s="36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</row>
    <row r="335" spans="2:46" ht="15.75" customHeight="1" x14ac:dyDescent="0.2">
      <c r="B335" s="2"/>
      <c r="C335" s="2"/>
      <c r="D335" s="2"/>
      <c r="E335" s="36"/>
      <c r="F335" s="36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</row>
    <row r="336" spans="2:46" ht="15.75" customHeight="1" x14ac:dyDescent="0.2">
      <c r="B336" s="2"/>
      <c r="C336" s="2"/>
      <c r="D336" s="2"/>
      <c r="E336" s="36"/>
      <c r="F336" s="36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</row>
    <row r="337" spans="2:46" ht="15.75" customHeight="1" x14ac:dyDescent="0.2">
      <c r="B337" s="2"/>
      <c r="C337" s="2"/>
      <c r="D337" s="2"/>
      <c r="E337" s="36"/>
      <c r="F337" s="36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</row>
    <row r="338" spans="2:46" ht="15.75" customHeight="1" x14ac:dyDescent="0.2">
      <c r="B338" s="2"/>
      <c r="C338" s="2"/>
      <c r="D338" s="2"/>
      <c r="E338" s="36"/>
      <c r="F338" s="36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</row>
    <row r="339" spans="2:46" ht="15.75" customHeight="1" x14ac:dyDescent="0.2">
      <c r="B339" s="2"/>
      <c r="C339" s="2"/>
      <c r="D339" s="2"/>
      <c r="E339" s="36"/>
      <c r="F339" s="3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</row>
    <row r="340" spans="2:46" ht="15.75" customHeight="1" x14ac:dyDescent="0.2">
      <c r="B340" s="2"/>
      <c r="C340" s="2"/>
      <c r="D340" s="2"/>
      <c r="E340" s="36"/>
      <c r="F340" s="36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</row>
    <row r="341" spans="2:46" ht="15.75" customHeight="1" x14ac:dyDescent="0.2">
      <c r="B341" s="2"/>
      <c r="C341" s="2"/>
      <c r="D341" s="2"/>
      <c r="E341" s="36"/>
      <c r="F341" s="3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</row>
    <row r="342" spans="2:46" ht="15.75" customHeight="1" x14ac:dyDescent="0.2">
      <c r="B342" s="2"/>
      <c r="C342" s="2"/>
      <c r="D342" s="2"/>
      <c r="E342" s="36"/>
      <c r="F342" s="36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</row>
    <row r="343" spans="2:46" ht="15.75" customHeight="1" x14ac:dyDescent="0.2">
      <c r="B343" s="2"/>
      <c r="C343" s="2"/>
      <c r="D343" s="2"/>
      <c r="E343" s="36"/>
      <c r="F343" s="36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</row>
    <row r="344" spans="2:46" ht="15.75" customHeight="1" x14ac:dyDescent="0.2">
      <c r="B344" s="2"/>
      <c r="C344" s="2"/>
      <c r="D344" s="2"/>
      <c r="E344" s="36"/>
      <c r="F344" s="36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</row>
    <row r="345" spans="2:46" ht="15.75" customHeight="1" x14ac:dyDescent="0.2">
      <c r="B345" s="2"/>
      <c r="C345" s="2"/>
      <c r="D345" s="2"/>
      <c r="E345" s="36"/>
      <c r="F345" s="36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</row>
    <row r="346" spans="2:46" ht="15.75" customHeight="1" x14ac:dyDescent="0.2">
      <c r="B346" s="2"/>
      <c r="C346" s="2"/>
      <c r="D346" s="2"/>
      <c r="E346" s="36"/>
      <c r="F346" s="36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</row>
    <row r="347" spans="2:46" ht="15.75" customHeight="1" x14ac:dyDescent="0.2">
      <c r="B347" s="2"/>
      <c r="C347" s="2"/>
      <c r="D347" s="2"/>
      <c r="E347" s="36"/>
      <c r="F347" s="36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</row>
    <row r="348" spans="2:46" ht="15.75" customHeight="1" x14ac:dyDescent="0.2">
      <c r="B348" s="2"/>
      <c r="C348" s="2"/>
      <c r="D348" s="2"/>
      <c r="E348" s="36"/>
      <c r="F348" s="3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</row>
    <row r="349" spans="2:46" ht="15.75" customHeight="1" x14ac:dyDescent="0.2">
      <c r="B349" s="2"/>
      <c r="C349" s="2"/>
      <c r="D349" s="2"/>
      <c r="E349" s="36"/>
      <c r="F349" s="36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</row>
    <row r="350" spans="2:46" ht="15.75" customHeight="1" x14ac:dyDescent="0.2">
      <c r="B350" s="2"/>
      <c r="C350" s="2"/>
      <c r="D350" s="2"/>
      <c r="E350" s="36"/>
      <c r="F350" s="3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</row>
    <row r="351" spans="2:46" ht="15.75" customHeight="1" x14ac:dyDescent="0.2">
      <c r="B351" s="2"/>
      <c r="C351" s="2"/>
      <c r="D351" s="2"/>
      <c r="E351" s="36"/>
      <c r="F351" s="36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</row>
    <row r="352" spans="2:46" ht="15.75" customHeight="1" x14ac:dyDescent="0.2">
      <c r="B352" s="2"/>
      <c r="C352" s="2"/>
      <c r="D352" s="2"/>
      <c r="E352" s="36"/>
      <c r="F352" s="36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</row>
    <row r="353" spans="2:46" ht="15.75" customHeight="1" x14ac:dyDescent="0.2">
      <c r="B353" s="2"/>
      <c r="C353" s="2"/>
      <c r="D353" s="2"/>
      <c r="E353" s="36"/>
      <c r="F353" s="36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</row>
    <row r="354" spans="2:46" ht="15.75" customHeight="1" x14ac:dyDescent="0.2">
      <c r="B354" s="2"/>
      <c r="C354" s="2"/>
      <c r="D354" s="2"/>
      <c r="E354" s="36"/>
      <c r="F354" s="36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</row>
    <row r="355" spans="2:46" ht="15.75" customHeight="1" x14ac:dyDescent="0.2">
      <c r="B355" s="2"/>
      <c r="C355" s="2"/>
      <c r="D355" s="2"/>
      <c r="E355" s="36"/>
      <c r="F355" s="36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</row>
    <row r="356" spans="2:46" ht="15.75" customHeight="1" x14ac:dyDescent="0.2">
      <c r="B356" s="2"/>
      <c r="C356" s="2"/>
      <c r="D356" s="2"/>
      <c r="E356" s="36"/>
      <c r="F356" s="36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</row>
    <row r="357" spans="2:46" ht="15.75" customHeight="1" x14ac:dyDescent="0.2">
      <c r="B357" s="2"/>
      <c r="C357" s="2"/>
      <c r="D357" s="2"/>
      <c r="E357" s="36"/>
      <c r="F357" s="3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</row>
    <row r="358" spans="2:46" ht="15.75" customHeight="1" x14ac:dyDescent="0.2">
      <c r="B358" s="2"/>
      <c r="C358" s="2"/>
      <c r="D358" s="2"/>
      <c r="E358" s="36"/>
      <c r="F358" s="36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</row>
    <row r="359" spans="2:46" ht="15.75" customHeight="1" x14ac:dyDescent="0.2">
      <c r="B359" s="2"/>
      <c r="C359" s="2"/>
      <c r="D359" s="2"/>
      <c r="E359" s="36"/>
      <c r="F359" s="3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</row>
    <row r="360" spans="2:46" ht="15.75" customHeight="1" x14ac:dyDescent="0.2">
      <c r="B360" s="2"/>
      <c r="C360" s="2"/>
      <c r="D360" s="2"/>
      <c r="E360" s="36"/>
      <c r="F360" s="36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</row>
    <row r="361" spans="2:46" ht="15.75" customHeight="1" x14ac:dyDescent="0.2">
      <c r="B361" s="2"/>
      <c r="C361" s="2"/>
      <c r="D361" s="2"/>
      <c r="E361" s="36"/>
      <c r="F361" s="36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</row>
    <row r="362" spans="2:46" ht="15.75" customHeight="1" x14ac:dyDescent="0.2">
      <c r="B362" s="2"/>
      <c r="C362" s="2"/>
      <c r="D362" s="2"/>
      <c r="E362" s="36"/>
      <c r="F362" s="36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</row>
    <row r="363" spans="2:46" ht="15.75" customHeight="1" x14ac:dyDescent="0.2">
      <c r="B363" s="2"/>
      <c r="C363" s="2"/>
      <c r="D363" s="2"/>
      <c r="E363" s="36"/>
      <c r="F363" s="36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</row>
    <row r="364" spans="2:46" ht="15.75" customHeight="1" x14ac:dyDescent="0.2">
      <c r="B364" s="2"/>
      <c r="C364" s="2"/>
      <c r="D364" s="2"/>
      <c r="E364" s="36"/>
      <c r="F364" s="36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</row>
    <row r="365" spans="2:46" ht="15.75" customHeight="1" x14ac:dyDescent="0.2">
      <c r="B365" s="2"/>
      <c r="C365" s="2"/>
      <c r="D365" s="2"/>
      <c r="E365" s="36"/>
      <c r="F365" s="36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</row>
    <row r="366" spans="2:46" ht="15.75" customHeight="1" x14ac:dyDescent="0.2">
      <c r="B366" s="2"/>
      <c r="C366" s="2"/>
      <c r="D366" s="2"/>
      <c r="E366" s="36"/>
      <c r="F366" s="3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</row>
    <row r="367" spans="2:46" ht="15.75" customHeight="1" x14ac:dyDescent="0.2">
      <c r="B367" s="2"/>
      <c r="C367" s="2"/>
      <c r="D367" s="2"/>
      <c r="E367" s="36"/>
      <c r="F367" s="36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</row>
    <row r="368" spans="2:46" ht="15.75" customHeight="1" x14ac:dyDescent="0.2">
      <c r="B368" s="2"/>
      <c r="C368" s="2"/>
      <c r="D368" s="2"/>
      <c r="E368" s="36"/>
      <c r="F368" s="3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</row>
    <row r="369" spans="2:46" ht="15.75" customHeight="1" x14ac:dyDescent="0.2">
      <c r="B369" s="2"/>
      <c r="C369" s="2"/>
      <c r="D369" s="2"/>
      <c r="E369" s="36"/>
      <c r="F369" s="36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</row>
    <row r="370" spans="2:46" ht="15.75" customHeight="1" x14ac:dyDescent="0.2">
      <c r="B370" s="2"/>
      <c r="C370" s="2"/>
      <c r="D370" s="2"/>
      <c r="E370" s="36"/>
      <c r="F370" s="36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</row>
    <row r="371" spans="2:46" ht="15.75" customHeight="1" x14ac:dyDescent="0.2">
      <c r="B371" s="2"/>
      <c r="C371" s="2"/>
      <c r="D371" s="2"/>
      <c r="E371" s="36"/>
      <c r="F371" s="36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</row>
    <row r="372" spans="2:46" ht="15.75" customHeight="1" x14ac:dyDescent="0.2">
      <c r="B372" s="2"/>
      <c r="C372" s="2"/>
      <c r="D372" s="2"/>
      <c r="E372" s="36"/>
      <c r="F372" s="36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</row>
    <row r="373" spans="2:46" ht="15.75" customHeight="1" x14ac:dyDescent="0.2">
      <c r="B373" s="2"/>
      <c r="C373" s="2"/>
      <c r="D373" s="2"/>
      <c r="E373" s="36"/>
      <c r="F373" s="36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</row>
    <row r="374" spans="2:46" ht="15.75" customHeight="1" x14ac:dyDescent="0.2">
      <c r="B374" s="2"/>
      <c r="C374" s="2"/>
      <c r="D374" s="2"/>
      <c r="E374" s="36"/>
      <c r="F374" s="36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</row>
    <row r="375" spans="2:46" ht="15.75" customHeight="1" x14ac:dyDescent="0.2">
      <c r="B375" s="2"/>
      <c r="C375" s="2"/>
      <c r="D375" s="2"/>
      <c r="E375" s="36"/>
      <c r="F375" s="3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</row>
    <row r="376" spans="2:46" ht="15.75" customHeight="1" x14ac:dyDescent="0.2">
      <c r="B376" s="2"/>
      <c r="C376" s="2"/>
      <c r="D376" s="2"/>
      <c r="E376" s="36"/>
      <c r="F376" s="36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</row>
    <row r="377" spans="2:46" ht="15.75" customHeight="1" x14ac:dyDescent="0.2">
      <c r="B377" s="2"/>
      <c r="C377" s="2"/>
      <c r="D377" s="2"/>
      <c r="E377" s="36"/>
      <c r="F377" s="3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</row>
    <row r="378" spans="2:46" ht="15.75" customHeight="1" x14ac:dyDescent="0.2">
      <c r="B378" s="2"/>
      <c r="C378" s="2"/>
      <c r="D378" s="2"/>
      <c r="E378" s="36"/>
      <c r="F378" s="36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</row>
    <row r="379" spans="2:46" ht="15.75" customHeight="1" x14ac:dyDescent="0.2">
      <c r="B379" s="2"/>
      <c r="C379" s="2"/>
      <c r="D379" s="2"/>
      <c r="E379" s="36"/>
      <c r="F379" s="36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</row>
    <row r="380" spans="2:46" ht="15.75" customHeight="1" x14ac:dyDescent="0.2">
      <c r="B380" s="2"/>
      <c r="C380" s="2"/>
      <c r="D380" s="2"/>
      <c r="E380" s="36"/>
      <c r="F380" s="36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</row>
    <row r="381" spans="2:46" ht="15.75" customHeight="1" x14ac:dyDescent="0.2">
      <c r="B381" s="2"/>
      <c r="C381" s="2"/>
      <c r="D381" s="2"/>
      <c r="E381" s="36"/>
      <c r="F381" s="36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</row>
    <row r="382" spans="2:46" ht="15.75" customHeight="1" x14ac:dyDescent="0.2">
      <c r="B382" s="2"/>
      <c r="C382" s="2"/>
      <c r="D382" s="2"/>
      <c r="E382" s="36"/>
      <c r="F382" s="36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</row>
    <row r="383" spans="2:46" ht="15.75" customHeight="1" x14ac:dyDescent="0.2">
      <c r="B383" s="2"/>
      <c r="C383" s="2"/>
      <c r="D383" s="2"/>
      <c r="E383" s="36"/>
      <c r="F383" s="36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</row>
    <row r="384" spans="2:46" ht="15.75" customHeight="1" x14ac:dyDescent="0.2">
      <c r="B384" s="2"/>
      <c r="C384" s="2"/>
      <c r="D384" s="2"/>
      <c r="E384" s="36"/>
      <c r="F384" s="3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</row>
    <row r="385" spans="2:46" ht="15.75" customHeight="1" x14ac:dyDescent="0.2">
      <c r="B385" s="2"/>
      <c r="C385" s="2"/>
      <c r="D385" s="2"/>
      <c r="E385" s="36"/>
      <c r="F385" s="36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</row>
    <row r="386" spans="2:46" ht="15.75" customHeight="1" x14ac:dyDescent="0.2">
      <c r="B386" s="2"/>
      <c r="C386" s="2"/>
      <c r="D386" s="2"/>
      <c r="E386" s="36"/>
      <c r="F386" s="3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</row>
    <row r="387" spans="2:46" ht="15.75" customHeight="1" x14ac:dyDescent="0.2">
      <c r="B387" s="2"/>
      <c r="C387" s="2"/>
      <c r="D387" s="2"/>
      <c r="E387" s="36"/>
      <c r="F387" s="36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</row>
    <row r="388" spans="2:46" ht="15.75" customHeight="1" x14ac:dyDescent="0.2">
      <c r="B388" s="2"/>
      <c r="C388" s="2"/>
      <c r="D388" s="2"/>
      <c r="E388" s="36"/>
      <c r="F388" s="36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</row>
    <row r="389" spans="2:46" ht="15.75" customHeight="1" x14ac:dyDescent="0.2">
      <c r="B389" s="2"/>
      <c r="C389" s="2"/>
      <c r="D389" s="2"/>
      <c r="E389" s="36"/>
      <c r="F389" s="36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</row>
    <row r="390" spans="2:46" ht="15.75" customHeight="1" x14ac:dyDescent="0.2">
      <c r="B390" s="2"/>
      <c r="C390" s="2"/>
      <c r="D390" s="2"/>
      <c r="E390" s="36"/>
      <c r="F390" s="36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</row>
    <row r="391" spans="2:46" ht="15.75" customHeight="1" x14ac:dyDescent="0.2">
      <c r="B391" s="2"/>
      <c r="C391" s="2"/>
      <c r="D391" s="2"/>
      <c r="E391" s="36"/>
      <c r="F391" s="36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</row>
    <row r="392" spans="2:46" ht="15.75" customHeight="1" x14ac:dyDescent="0.2">
      <c r="B392" s="2"/>
      <c r="C392" s="2"/>
      <c r="D392" s="2"/>
      <c r="E392" s="36"/>
      <c r="F392" s="36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</row>
    <row r="393" spans="2:46" ht="15.75" customHeight="1" x14ac:dyDescent="0.2">
      <c r="B393" s="2"/>
      <c r="C393" s="2"/>
      <c r="D393" s="2"/>
      <c r="E393" s="36"/>
      <c r="F393" s="3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</row>
    <row r="394" spans="2:46" ht="15.75" customHeight="1" x14ac:dyDescent="0.2">
      <c r="B394" s="2"/>
      <c r="C394" s="2"/>
      <c r="D394" s="2"/>
      <c r="E394" s="36"/>
      <c r="F394" s="36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</row>
    <row r="395" spans="2:46" ht="15.75" customHeight="1" x14ac:dyDescent="0.2">
      <c r="B395" s="2"/>
      <c r="C395" s="2"/>
      <c r="D395" s="2"/>
      <c r="E395" s="36"/>
      <c r="F395" s="3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</row>
    <row r="396" spans="2:46" ht="15.75" customHeight="1" x14ac:dyDescent="0.2">
      <c r="B396" s="2"/>
      <c r="C396" s="2"/>
      <c r="D396" s="2"/>
      <c r="E396" s="36"/>
      <c r="F396" s="36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</row>
    <row r="397" spans="2:46" ht="15.75" customHeight="1" x14ac:dyDescent="0.2">
      <c r="B397" s="2"/>
      <c r="C397" s="2"/>
      <c r="D397" s="2"/>
      <c r="E397" s="36"/>
      <c r="F397" s="36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</row>
    <row r="398" spans="2:46" ht="15.75" customHeight="1" x14ac:dyDescent="0.2">
      <c r="B398" s="2"/>
      <c r="C398" s="2"/>
      <c r="D398" s="2"/>
      <c r="E398" s="36"/>
      <c r="F398" s="36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</row>
    <row r="399" spans="2:46" ht="15.75" customHeight="1" x14ac:dyDescent="0.2">
      <c r="B399" s="2"/>
      <c r="C399" s="2"/>
      <c r="D399" s="2"/>
      <c r="E399" s="36"/>
      <c r="F399" s="36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</row>
    <row r="400" spans="2:46" ht="15.75" customHeight="1" x14ac:dyDescent="0.2">
      <c r="B400" s="2"/>
      <c r="C400" s="2"/>
      <c r="D400" s="2"/>
      <c r="E400" s="36"/>
      <c r="F400" s="36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</row>
    <row r="401" spans="2:46" ht="15.75" customHeight="1" x14ac:dyDescent="0.2">
      <c r="B401" s="2"/>
      <c r="C401" s="2"/>
      <c r="D401" s="2"/>
      <c r="E401" s="36"/>
      <c r="F401" s="36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</row>
    <row r="402" spans="2:46" ht="15.75" customHeight="1" x14ac:dyDescent="0.2">
      <c r="B402" s="2"/>
      <c r="C402" s="2"/>
      <c r="D402" s="2"/>
      <c r="E402" s="36"/>
      <c r="F402" s="3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</row>
    <row r="403" spans="2:46" ht="15.75" customHeight="1" x14ac:dyDescent="0.2">
      <c r="B403" s="2"/>
      <c r="C403" s="2"/>
      <c r="D403" s="2"/>
      <c r="E403" s="36"/>
      <c r="F403" s="36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</row>
    <row r="404" spans="2:46" ht="15.75" customHeight="1" x14ac:dyDescent="0.2">
      <c r="B404" s="2"/>
      <c r="C404" s="2"/>
      <c r="D404" s="2"/>
      <c r="E404" s="36"/>
      <c r="F404" s="3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</row>
    <row r="405" spans="2:46" ht="15.75" customHeight="1" x14ac:dyDescent="0.2">
      <c r="B405" s="2"/>
      <c r="C405" s="2"/>
      <c r="D405" s="2"/>
      <c r="E405" s="36"/>
      <c r="F405" s="36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</row>
    <row r="406" spans="2:46" ht="15.75" customHeight="1" x14ac:dyDescent="0.2">
      <c r="B406" s="2"/>
      <c r="C406" s="2"/>
      <c r="D406" s="2"/>
      <c r="E406" s="36"/>
      <c r="F406" s="36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</row>
    <row r="407" spans="2:46" ht="15.75" customHeight="1" x14ac:dyDescent="0.2">
      <c r="B407" s="2"/>
      <c r="C407" s="2"/>
      <c r="D407" s="2"/>
      <c r="E407" s="36"/>
      <c r="F407" s="36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</row>
    <row r="408" spans="2:46" ht="15.75" customHeight="1" x14ac:dyDescent="0.2">
      <c r="B408" s="2"/>
      <c r="C408" s="2"/>
      <c r="D408" s="2"/>
      <c r="E408" s="36"/>
      <c r="F408" s="36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</row>
    <row r="409" spans="2:46" ht="15.75" customHeight="1" x14ac:dyDescent="0.2">
      <c r="B409" s="2"/>
      <c r="C409" s="2"/>
      <c r="D409" s="2"/>
      <c r="E409" s="36"/>
      <c r="F409" s="36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</row>
    <row r="410" spans="2:46" ht="15.75" customHeight="1" x14ac:dyDescent="0.2">
      <c r="B410" s="2"/>
      <c r="C410" s="2"/>
      <c r="D410" s="2"/>
      <c r="E410" s="36"/>
      <c r="F410" s="36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</row>
    <row r="411" spans="2:46" ht="15.75" customHeight="1" x14ac:dyDescent="0.2">
      <c r="B411" s="2"/>
      <c r="C411" s="2"/>
      <c r="D411" s="2"/>
      <c r="E411" s="36"/>
      <c r="F411" s="3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</row>
    <row r="412" spans="2:46" ht="15.75" customHeight="1" x14ac:dyDescent="0.2">
      <c r="B412" s="2"/>
      <c r="C412" s="2"/>
      <c r="D412" s="2"/>
      <c r="E412" s="36"/>
      <c r="F412" s="36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</row>
    <row r="413" spans="2:46" ht="15.75" customHeight="1" x14ac:dyDescent="0.2">
      <c r="B413" s="2"/>
      <c r="C413" s="2"/>
      <c r="D413" s="2"/>
      <c r="E413" s="36"/>
      <c r="F413" s="3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</row>
    <row r="414" spans="2:46" ht="15.75" customHeight="1" x14ac:dyDescent="0.2">
      <c r="B414" s="2"/>
      <c r="C414" s="2"/>
      <c r="D414" s="2"/>
      <c r="E414" s="36"/>
      <c r="F414" s="36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</row>
    <row r="415" spans="2:46" ht="15.75" customHeight="1" x14ac:dyDescent="0.2">
      <c r="B415" s="2"/>
      <c r="C415" s="2"/>
      <c r="D415" s="2"/>
      <c r="E415" s="36"/>
      <c r="F415" s="36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</row>
    <row r="416" spans="2:46" ht="15.75" customHeight="1" x14ac:dyDescent="0.2">
      <c r="B416" s="2"/>
      <c r="C416" s="2"/>
      <c r="D416" s="2"/>
      <c r="E416" s="36"/>
      <c r="F416" s="36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</row>
    <row r="417" spans="2:46" ht="15.75" customHeight="1" x14ac:dyDescent="0.2">
      <c r="B417" s="2"/>
      <c r="C417" s="2"/>
      <c r="D417" s="2"/>
      <c r="E417" s="36"/>
      <c r="F417" s="36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</row>
    <row r="418" spans="2:46" ht="15.75" customHeight="1" x14ac:dyDescent="0.2">
      <c r="B418" s="2"/>
      <c r="C418" s="2"/>
      <c r="D418" s="2"/>
      <c r="E418" s="36"/>
      <c r="F418" s="36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</row>
    <row r="419" spans="2:46" ht="15.75" customHeight="1" x14ac:dyDescent="0.2">
      <c r="B419" s="2"/>
      <c r="C419" s="2"/>
      <c r="D419" s="2"/>
      <c r="E419" s="36"/>
      <c r="F419" s="36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</row>
    <row r="420" spans="2:46" ht="15.75" customHeight="1" x14ac:dyDescent="0.2">
      <c r="B420" s="2"/>
      <c r="C420" s="2"/>
      <c r="D420" s="2"/>
      <c r="E420" s="36"/>
      <c r="F420" s="3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</row>
    <row r="421" spans="2:46" ht="15.75" customHeight="1" x14ac:dyDescent="0.2">
      <c r="B421" s="2"/>
      <c r="C421" s="2"/>
      <c r="D421" s="2"/>
      <c r="E421" s="36"/>
      <c r="F421" s="36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</row>
    <row r="422" spans="2:46" ht="15.75" customHeight="1" x14ac:dyDescent="0.2">
      <c r="B422" s="2"/>
      <c r="C422" s="2"/>
      <c r="D422" s="2"/>
      <c r="E422" s="36"/>
      <c r="F422" s="3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</row>
    <row r="423" spans="2:46" ht="15.75" customHeight="1" x14ac:dyDescent="0.2">
      <c r="B423" s="2"/>
      <c r="C423" s="2"/>
      <c r="D423" s="2"/>
      <c r="E423" s="36"/>
      <c r="F423" s="36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</row>
    <row r="424" spans="2:46" ht="15.75" customHeight="1" x14ac:dyDescent="0.2">
      <c r="B424" s="2"/>
      <c r="C424" s="2"/>
      <c r="D424" s="2"/>
      <c r="E424" s="36"/>
      <c r="F424" s="36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</row>
    <row r="425" spans="2:46" ht="15.75" customHeight="1" x14ac:dyDescent="0.2">
      <c r="B425" s="2"/>
      <c r="C425" s="2"/>
      <c r="D425" s="2"/>
      <c r="E425" s="36"/>
      <c r="F425" s="36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</row>
    <row r="426" spans="2:46" ht="15.75" customHeight="1" x14ac:dyDescent="0.2">
      <c r="B426" s="2"/>
      <c r="C426" s="2"/>
      <c r="D426" s="2"/>
      <c r="E426" s="36"/>
      <c r="F426" s="36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</row>
    <row r="427" spans="2:46" ht="15.75" customHeight="1" x14ac:dyDescent="0.2">
      <c r="B427" s="2"/>
      <c r="C427" s="2"/>
      <c r="D427" s="2"/>
      <c r="E427" s="36"/>
      <c r="F427" s="36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</row>
    <row r="428" spans="2:46" ht="15.75" customHeight="1" x14ac:dyDescent="0.2">
      <c r="B428" s="2"/>
      <c r="C428" s="2"/>
      <c r="D428" s="2"/>
      <c r="E428" s="36"/>
      <c r="F428" s="36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</row>
    <row r="429" spans="2:46" ht="15.75" customHeight="1" x14ac:dyDescent="0.2">
      <c r="B429" s="2"/>
      <c r="C429" s="2"/>
      <c r="D429" s="2"/>
      <c r="E429" s="36"/>
      <c r="F429" s="3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</row>
    <row r="430" spans="2:46" ht="15.75" customHeight="1" x14ac:dyDescent="0.2">
      <c r="B430" s="2"/>
      <c r="C430" s="2"/>
      <c r="D430" s="2"/>
      <c r="E430" s="36"/>
      <c r="F430" s="36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</row>
    <row r="431" spans="2:46" ht="15.75" customHeight="1" x14ac:dyDescent="0.2">
      <c r="B431" s="2"/>
      <c r="C431" s="2"/>
      <c r="D431" s="2"/>
      <c r="E431" s="36"/>
      <c r="F431" s="3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</row>
    <row r="432" spans="2:46" ht="15.75" customHeight="1" x14ac:dyDescent="0.2">
      <c r="B432" s="2"/>
      <c r="C432" s="2"/>
      <c r="D432" s="2"/>
      <c r="E432" s="36"/>
      <c r="F432" s="36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</row>
    <row r="433" spans="2:46" ht="15.75" customHeight="1" x14ac:dyDescent="0.2">
      <c r="B433" s="2"/>
      <c r="C433" s="2"/>
      <c r="D433" s="2"/>
      <c r="E433" s="36"/>
      <c r="F433" s="36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</row>
    <row r="434" spans="2:46" ht="15.75" customHeight="1" x14ac:dyDescent="0.2">
      <c r="B434" s="2"/>
      <c r="C434" s="2"/>
      <c r="D434" s="2"/>
      <c r="E434" s="36"/>
      <c r="F434" s="36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</row>
    <row r="435" spans="2:46" ht="15.75" customHeight="1" x14ac:dyDescent="0.2">
      <c r="B435" s="2"/>
      <c r="C435" s="2"/>
      <c r="D435" s="2"/>
      <c r="E435" s="36"/>
      <c r="F435" s="36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</row>
    <row r="436" spans="2:46" ht="15.75" customHeight="1" x14ac:dyDescent="0.2">
      <c r="B436" s="2"/>
      <c r="C436" s="2"/>
      <c r="D436" s="2"/>
      <c r="E436" s="36"/>
      <c r="F436" s="36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</row>
    <row r="437" spans="2:46" ht="15.75" customHeight="1" x14ac:dyDescent="0.2">
      <c r="B437" s="2"/>
      <c r="C437" s="2"/>
      <c r="D437" s="2"/>
      <c r="E437" s="36"/>
      <c r="F437" s="36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</row>
    <row r="438" spans="2:46" ht="15.75" customHeight="1" x14ac:dyDescent="0.2">
      <c r="B438" s="2"/>
      <c r="C438" s="2"/>
      <c r="D438" s="2"/>
      <c r="E438" s="36"/>
      <c r="F438" s="3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</row>
    <row r="439" spans="2:46" ht="15.75" customHeight="1" x14ac:dyDescent="0.2">
      <c r="B439" s="2"/>
      <c r="C439" s="2"/>
      <c r="D439" s="2"/>
      <c r="E439" s="36"/>
      <c r="F439" s="36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</row>
    <row r="440" spans="2:46" ht="15.75" customHeight="1" x14ac:dyDescent="0.2">
      <c r="B440" s="2"/>
      <c r="C440" s="2"/>
      <c r="D440" s="2"/>
      <c r="E440" s="36"/>
      <c r="F440" s="3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</row>
    <row r="441" spans="2:46" ht="15.75" customHeight="1" x14ac:dyDescent="0.2">
      <c r="B441" s="2"/>
      <c r="C441" s="2"/>
      <c r="D441" s="2"/>
      <c r="E441" s="36"/>
      <c r="F441" s="36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</row>
    <row r="442" spans="2:46" ht="15.75" customHeight="1" x14ac:dyDescent="0.2">
      <c r="B442" s="2"/>
      <c r="C442" s="2"/>
      <c r="D442" s="2"/>
      <c r="E442" s="36"/>
      <c r="F442" s="36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</row>
    <row r="443" spans="2:46" ht="15.75" customHeight="1" x14ac:dyDescent="0.2">
      <c r="B443" s="2"/>
      <c r="C443" s="2"/>
      <c r="D443" s="2"/>
      <c r="E443" s="36"/>
      <c r="F443" s="36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</row>
    <row r="444" spans="2:46" ht="15.75" customHeight="1" x14ac:dyDescent="0.2">
      <c r="B444" s="2"/>
      <c r="C444" s="2"/>
      <c r="D444" s="2"/>
      <c r="E444" s="36"/>
      <c r="F444" s="36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</row>
    <row r="445" spans="2:46" ht="15.75" customHeight="1" x14ac:dyDescent="0.2">
      <c r="B445" s="2"/>
      <c r="C445" s="2"/>
      <c r="D445" s="2"/>
      <c r="E445" s="36"/>
      <c r="F445" s="36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</row>
    <row r="446" spans="2:46" ht="15.75" customHeight="1" x14ac:dyDescent="0.2">
      <c r="B446" s="2"/>
      <c r="C446" s="2"/>
      <c r="D446" s="2"/>
      <c r="E446" s="36"/>
      <c r="F446" s="36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</row>
    <row r="447" spans="2:46" ht="15.75" customHeight="1" x14ac:dyDescent="0.2">
      <c r="B447" s="2"/>
      <c r="C447" s="2"/>
      <c r="D447" s="2"/>
      <c r="E447" s="36"/>
      <c r="F447" s="3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</row>
    <row r="448" spans="2:46" ht="15.75" customHeight="1" x14ac:dyDescent="0.2">
      <c r="B448" s="2"/>
      <c r="C448" s="2"/>
      <c r="D448" s="2"/>
      <c r="E448" s="36"/>
      <c r="F448" s="36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</row>
    <row r="449" spans="2:46" ht="15.75" customHeight="1" x14ac:dyDescent="0.2">
      <c r="B449" s="2"/>
      <c r="C449" s="2"/>
      <c r="D449" s="2"/>
      <c r="E449" s="36"/>
      <c r="F449" s="3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</row>
    <row r="450" spans="2:46" ht="15.75" customHeight="1" x14ac:dyDescent="0.2">
      <c r="B450" s="2"/>
      <c r="C450" s="2"/>
      <c r="D450" s="2"/>
      <c r="E450" s="36"/>
      <c r="F450" s="36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</row>
    <row r="451" spans="2:46" ht="15.75" customHeight="1" x14ac:dyDescent="0.2">
      <c r="B451" s="2"/>
      <c r="C451" s="2"/>
      <c r="D451" s="2"/>
      <c r="E451" s="36"/>
      <c r="F451" s="36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</row>
    <row r="452" spans="2:46" ht="15.75" customHeight="1" x14ac:dyDescent="0.2">
      <c r="B452" s="2"/>
      <c r="C452" s="2"/>
      <c r="D452" s="2"/>
      <c r="E452" s="36"/>
      <c r="F452" s="36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</row>
    <row r="453" spans="2:46" ht="15.75" customHeight="1" x14ac:dyDescent="0.2">
      <c r="B453" s="2"/>
      <c r="C453" s="2"/>
      <c r="D453" s="2"/>
      <c r="E453" s="36"/>
      <c r="F453" s="36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</row>
    <row r="454" spans="2:46" ht="15.75" customHeight="1" x14ac:dyDescent="0.2">
      <c r="B454" s="2"/>
      <c r="C454" s="2"/>
      <c r="D454" s="2"/>
      <c r="E454" s="36"/>
      <c r="F454" s="36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</row>
    <row r="455" spans="2:46" ht="15.75" customHeight="1" x14ac:dyDescent="0.2">
      <c r="B455" s="2"/>
      <c r="C455" s="2"/>
      <c r="D455" s="2"/>
      <c r="E455" s="36"/>
      <c r="F455" s="36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</row>
    <row r="456" spans="2:46" ht="15.75" customHeight="1" x14ac:dyDescent="0.2">
      <c r="B456" s="2"/>
      <c r="C456" s="2"/>
      <c r="D456" s="2"/>
      <c r="E456" s="36"/>
      <c r="F456" s="3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</row>
    <row r="457" spans="2:46" ht="15.75" customHeight="1" x14ac:dyDescent="0.2">
      <c r="B457" s="2"/>
      <c r="C457" s="2"/>
      <c r="D457" s="2"/>
      <c r="E457" s="36"/>
      <c r="F457" s="36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</row>
    <row r="458" spans="2:46" ht="15.75" customHeight="1" x14ac:dyDescent="0.2">
      <c r="B458" s="2"/>
      <c r="C458" s="2"/>
      <c r="D458" s="2"/>
      <c r="E458" s="36"/>
      <c r="F458" s="3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</row>
    <row r="459" spans="2:46" ht="15.75" customHeight="1" x14ac:dyDescent="0.2">
      <c r="B459" s="2"/>
      <c r="C459" s="2"/>
      <c r="D459" s="2"/>
      <c r="E459" s="36"/>
      <c r="F459" s="36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2:46" ht="15.75" customHeight="1" x14ac:dyDescent="0.2">
      <c r="B460" s="2"/>
      <c r="C460" s="2"/>
      <c r="D460" s="2"/>
      <c r="E460" s="36"/>
      <c r="F460" s="36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2:46" ht="15.75" customHeight="1" x14ac:dyDescent="0.2">
      <c r="B461" s="2"/>
      <c r="C461" s="2"/>
      <c r="D461" s="2"/>
      <c r="E461" s="36"/>
      <c r="F461" s="36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</row>
    <row r="462" spans="2:46" ht="15.75" customHeight="1" x14ac:dyDescent="0.2">
      <c r="B462" s="2"/>
      <c r="C462" s="2"/>
      <c r="D462" s="2"/>
      <c r="E462" s="36"/>
      <c r="F462" s="36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</row>
    <row r="463" spans="2:46" ht="15.75" customHeight="1" x14ac:dyDescent="0.2">
      <c r="B463" s="2"/>
      <c r="C463" s="2"/>
      <c r="D463" s="2"/>
      <c r="E463" s="36"/>
      <c r="F463" s="36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</row>
    <row r="464" spans="2:46" ht="15.75" customHeight="1" x14ac:dyDescent="0.2">
      <c r="B464" s="2"/>
      <c r="C464" s="2"/>
      <c r="D464" s="2"/>
      <c r="E464" s="36"/>
      <c r="F464" s="36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</row>
    <row r="465" spans="2:46" ht="15.75" customHeight="1" x14ac:dyDescent="0.2">
      <c r="B465" s="2"/>
      <c r="C465" s="2"/>
      <c r="D465" s="2"/>
      <c r="E465" s="36"/>
      <c r="F465" s="3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</row>
    <row r="466" spans="2:46" ht="15.75" customHeight="1" x14ac:dyDescent="0.2">
      <c r="B466" s="2"/>
      <c r="C466" s="2"/>
      <c r="D466" s="2"/>
      <c r="E466" s="36"/>
      <c r="F466" s="36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</row>
    <row r="467" spans="2:46" ht="15.75" customHeight="1" x14ac:dyDescent="0.2">
      <c r="B467" s="2"/>
      <c r="C467" s="2"/>
      <c r="D467" s="2"/>
      <c r="E467" s="36"/>
      <c r="F467" s="3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</row>
    <row r="468" spans="2:46" ht="15.75" customHeight="1" x14ac:dyDescent="0.2">
      <c r="B468" s="2"/>
      <c r="C468" s="2"/>
      <c r="D468" s="2"/>
      <c r="E468" s="36"/>
      <c r="F468" s="36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</row>
    <row r="469" spans="2:46" ht="15.75" customHeight="1" x14ac:dyDescent="0.2">
      <c r="B469" s="2"/>
      <c r="C469" s="2"/>
      <c r="D469" s="2"/>
      <c r="E469" s="36"/>
      <c r="F469" s="36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</row>
    <row r="470" spans="2:46" ht="15.75" customHeight="1" x14ac:dyDescent="0.2">
      <c r="B470" s="2"/>
      <c r="C470" s="2"/>
      <c r="D470" s="2"/>
      <c r="E470" s="36"/>
      <c r="F470" s="36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</row>
    <row r="471" spans="2:46" ht="15.75" customHeight="1" x14ac:dyDescent="0.2">
      <c r="B471" s="2"/>
      <c r="C471" s="2"/>
      <c r="D471" s="2"/>
      <c r="E471" s="36"/>
      <c r="F471" s="36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</row>
    <row r="472" spans="2:46" ht="15.75" customHeight="1" x14ac:dyDescent="0.2">
      <c r="B472" s="2"/>
      <c r="C472" s="2"/>
      <c r="D472" s="2"/>
      <c r="E472" s="36"/>
      <c r="F472" s="36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</row>
    <row r="473" spans="2:46" ht="15.75" customHeight="1" x14ac:dyDescent="0.2">
      <c r="B473" s="2"/>
      <c r="C473" s="2"/>
      <c r="D473" s="2"/>
      <c r="E473" s="36"/>
      <c r="F473" s="3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</row>
    <row r="474" spans="2:46" ht="15.75" customHeight="1" x14ac:dyDescent="0.2">
      <c r="B474" s="2"/>
      <c r="C474" s="2"/>
      <c r="D474" s="2"/>
      <c r="E474" s="36"/>
      <c r="F474" s="36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</row>
    <row r="475" spans="2:46" ht="15.75" customHeight="1" x14ac:dyDescent="0.2">
      <c r="B475" s="2"/>
      <c r="C475" s="2"/>
      <c r="D475" s="2"/>
      <c r="E475" s="36"/>
      <c r="F475" s="3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</row>
    <row r="476" spans="2:46" ht="15.75" customHeight="1" x14ac:dyDescent="0.2">
      <c r="B476" s="2"/>
      <c r="C476" s="2"/>
      <c r="D476" s="2"/>
      <c r="E476" s="36"/>
      <c r="F476" s="36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</row>
    <row r="477" spans="2:46" ht="15.75" customHeight="1" x14ac:dyDescent="0.2">
      <c r="B477" s="2"/>
      <c r="C477" s="2"/>
      <c r="D477" s="2"/>
      <c r="E477" s="36"/>
      <c r="F477" s="36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</row>
    <row r="478" spans="2:46" ht="15.75" customHeight="1" x14ac:dyDescent="0.2">
      <c r="B478" s="2"/>
      <c r="C478" s="2"/>
      <c r="D478" s="2"/>
      <c r="E478" s="36"/>
      <c r="F478" s="36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</row>
    <row r="479" spans="2:46" ht="15.75" customHeight="1" x14ac:dyDescent="0.2">
      <c r="B479" s="2"/>
      <c r="C479" s="2"/>
      <c r="D479" s="2"/>
      <c r="E479" s="36"/>
      <c r="F479" s="36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</row>
    <row r="480" spans="2:46" ht="15.75" customHeight="1" x14ac:dyDescent="0.2">
      <c r="B480" s="2"/>
      <c r="C480" s="2"/>
      <c r="D480" s="2"/>
      <c r="E480" s="36"/>
      <c r="F480" s="36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</row>
    <row r="481" spans="2:46" ht="15.75" customHeight="1" x14ac:dyDescent="0.2">
      <c r="B481" s="2"/>
      <c r="C481" s="2"/>
      <c r="D481" s="2"/>
      <c r="E481" s="36"/>
      <c r="F481" s="36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</row>
    <row r="482" spans="2:46" ht="15.75" customHeight="1" x14ac:dyDescent="0.2">
      <c r="B482" s="2"/>
      <c r="C482" s="2"/>
      <c r="D482" s="2"/>
      <c r="E482" s="36"/>
      <c r="F482" s="36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</row>
    <row r="483" spans="2:46" ht="15.75" customHeight="1" x14ac:dyDescent="0.2">
      <c r="B483" s="2"/>
      <c r="C483" s="2"/>
      <c r="D483" s="2"/>
      <c r="E483" s="36"/>
      <c r="F483" s="36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</row>
    <row r="484" spans="2:46" ht="15.75" customHeight="1" x14ac:dyDescent="0.2">
      <c r="B484" s="2"/>
      <c r="C484" s="2"/>
      <c r="D484" s="2"/>
      <c r="E484" s="36"/>
      <c r="F484" s="36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</row>
    <row r="485" spans="2:46" ht="15.75" customHeight="1" x14ac:dyDescent="0.2">
      <c r="B485" s="2"/>
      <c r="C485" s="2"/>
      <c r="D485" s="2"/>
      <c r="E485" s="36"/>
      <c r="F485" s="36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</row>
    <row r="486" spans="2:46" ht="15.75" customHeight="1" x14ac:dyDescent="0.2">
      <c r="B486" s="2"/>
      <c r="C486" s="2"/>
      <c r="D486" s="2"/>
      <c r="E486" s="36"/>
      <c r="F486" s="36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</row>
    <row r="487" spans="2:46" ht="15.75" customHeight="1" x14ac:dyDescent="0.2">
      <c r="B487" s="2"/>
      <c r="C487" s="2"/>
      <c r="D487" s="2"/>
      <c r="E487" s="36"/>
      <c r="F487" s="36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</row>
    <row r="488" spans="2:46" ht="15.75" customHeight="1" x14ac:dyDescent="0.2">
      <c r="B488" s="2"/>
      <c r="C488" s="2"/>
      <c r="D488" s="2"/>
      <c r="E488" s="36"/>
      <c r="F488" s="36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</row>
    <row r="489" spans="2:46" ht="15.75" customHeight="1" x14ac:dyDescent="0.2">
      <c r="B489" s="2"/>
      <c r="C489" s="2"/>
      <c r="D489" s="2"/>
      <c r="E489" s="36"/>
      <c r="F489" s="36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</row>
    <row r="490" spans="2:46" ht="15.75" customHeight="1" x14ac:dyDescent="0.2">
      <c r="B490" s="2"/>
      <c r="C490" s="2"/>
      <c r="D490" s="2"/>
      <c r="E490" s="36"/>
      <c r="F490" s="36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</row>
    <row r="491" spans="2:46" ht="15.75" customHeight="1" x14ac:dyDescent="0.2">
      <c r="B491" s="2"/>
      <c r="C491" s="2"/>
      <c r="D491" s="2"/>
      <c r="E491" s="36"/>
      <c r="F491" s="36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</row>
    <row r="492" spans="2:46" ht="15.75" customHeight="1" x14ac:dyDescent="0.2">
      <c r="B492" s="2"/>
      <c r="C492" s="2"/>
      <c r="D492" s="2"/>
      <c r="E492" s="36"/>
      <c r="F492" s="36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</row>
    <row r="493" spans="2:46" ht="15.75" customHeight="1" x14ac:dyDescent="0.2">
      <c r="B493" s="2"/>
      <c r="C493" s="2"/>
      <c r="D493" s="2"/>
      <c r="E493" s="36"/>
      <c r="F493" s="36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</row>
    <row r="494" spans="2:46" ht="15.75" customHeight="1" x14ac:dyDescent="0.2">
      <c r="B494" s="2"/>
      <c r="C494" s="2"/>
      <c r="D494" s="2"/>
      <c r="E494" s="36"/>
      <c r="F494" s="36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</row>
    <row r="495" spans="2:46" ht="15.75" customHeight="1" x14ac:dyDescent="0.2">
      <c r="B495" s="2"/>
      <c r="C495" s="2"/>
      <c r="D495" s="2"/>
      <c r="E495" s="36"/>
      <c r="F495" s="36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</row>
    <row r="496" spans="2:46" ht="15.75" customHeight="1" x14ac:dyDescent="0.2">
      <c r="B496" s="2"/>
      <c r="C496" s="2"/>
      <c r="D496" s="2"/>
      <c r="E496" s="36"/>
      <c r="F496" s="36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</row>
    <row r="497" spans="2:46" ht="15.75" customHeight="1" x14ac:dyDescent="0.2">
      <c r="B497" s="2"/>
      <c r="C497" s="2"/>
      <c r="D497" s="2"/>
      <c r="E497" s="36"/>
      <c r="F497" s="36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</row>
    <row r="498" spans="2:46" ht="15.75" customHeight="1" x14ac:dyDescent="0.2">
      <c r="B498" s="2"/>
      <c r="C498" s="2"/>
      <c r="D498" s="2"/>
      <c r="E498" s="36"/>
      <c r="F498" s="36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</row>
    <row r="499" spans="2:46" ht="15.75" customHeight="1" x14ac:dyDescent="0.2">
      <c r="B499" s="2"/>
      <c r="C499" s="2"/>
      <c r="D499" s="2"/>
      <c r="E499" s="36"/>
      <c r="F499" s="36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</row>
    <row r="500" spans="2:46" ht="15.75" customHeight="1" x14ac:dyDescent="0.2">
      <c r="B500" s="2"/>
      <c r="C500" s="2"/>
      <c r="D500" s="2"/>
      <c r="E500" s="36"/>
      <c r="F500" s="36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</row>
    <row r="501" spans="2:46" ht="15.75" customHeight="1" x14ac:dyDescent="0.2">
      <c r="B501" s="2"/>
      <c r="C501" s="2"/>
      <c r="D501" s="2"/>
      <c r="E501" s="36"/>
      <c r="F501" s="36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</row>
    <row r="502" spans="2:46" ht="15.75" customHeight="1" x14ac:dyDescent="0.2">
      <c r="B502" s="2"/>
      <c r="C502" s="2"/>
      <c r="D502" s="2"/>
      <c r="E502" s="36"/>
      <c r="F502" s="36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</row>
    <row r="503" spans="2:46" ht="15.75" customHeight="1" x14ac:dyDescent="0.2">
      <c r="B503" s="2"/>
      <c r="C503" s="2"/>
      <c r="D503" s="2"/>
      <c r="E503" s="36"/>
      <c r="F503" s="36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</row>
    <row r="504" spans="2:46" ht="15.75" customHeight="1" x14ac:dyDescent="0.2">
      <c r="B504" s="2"/>
      <c r="C504" s="2"/>
      <c r="D504" s="2"/>
      <c r="E504" s="36"/>
      <c r="F504" s="36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</row>
    <row r="505" spans="2:46" ht="15.75" customHeight="1" x14ac:dyDescent="0.2">
      <c r="B505" s="2"/>
      <c r="C505" s="2"/>
      <c r="D505" s="2"/>
      <c r="E505" s="36"/>
      <c r="F505" s="36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</row>
    <row r="506" spans="2:46" ht="15.75" customHeight="1" x14ac:dyDescent="0.2">
      <c r="B506" s="2"/>
      <c r="C506" s="2"/>
      <c r="D506" s="2"/>
      <c r="E506" s="36"/>
      <c r="F506" s="36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</row>
    <row r="507" spans="2:46" ht="15.75" customHeight="1" x14ac:dyDescent="0.2">
      <c r="B507" s="2"/>
      <c r="C507" s="2"/>
      <c r="D507" s="2"/>
      <c r="E507" s="36"/>
      <c r="F507" s="36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</row>
    <row r="508" spans="2:46" ht="15.75" customHeight="1" x14ac:dyDescent="0.2">
      <c r="B508" s="2"/>
      <c r="C508" s="2"/>
      <c r="D508" s="2"/>
      <c r="E508" s="36"/>
      <c r="F508" s="36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</row>
    <row r="509" spans="2:46" ht="15.75" customHeight="1" x14ac:dyDescent="0.2">
      <c r="B509" s="2"/>
      <c r="C509" s="2"/>
      <c r="D509" s="2"/>
      <c r="E509" s="36"/>
      <c r="F509" s="36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</row>
    <row r="510" spans="2:46" ht="15.75" customHeight="1" x14ac:dyDescent="0.2">
      <c r="B510" s="2"/>
      <c r="C510" s="2"/>
      <c r="D510" s="2"/>
      <c r="E510" s="36"/>
      <c r="F510" s="36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</row>
    <row r="511" spans="2:46" ht="15.75" customHeight="1" x14ac:dyDescent="0.2">
      <c r="B511" s="2"/>
      <c r="C511" s="2"/>
      <c r="D511" s="2"/>
      <c r="E511" s="36"/>
      <c r="F511" s="36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</row>
    <row r="512" spans="2:46" ht="15.75" customHeight="1" x14ac:dyDescent="0.2">
      <c r="B512" s="2"/>
      <c r="C512" s="2"/>
      <c r="D512" s="2"/>
      <c r="E512" s="36"/>
      <c r="F512" s="36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</row>
    <row r="513" spans="2:46" ht="15.75" customHeight="1" x14ac:dyDescent="0.2">
      <c r="B513" s="2"/>
      <c r="C513" s="2"/>
      <c r="D513" s="2"/>
      <c r="E513" s="36"/>
      <c r="F513" s="36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</row>
    <row r="514" spans="2:46" ht="15.75" customHeight="1" x14ac:dyDescent="0.2">
      <c r="B514" s="2"/>
      <c r="C514" s="2"/>
      <c r="D514" s="2"/>
      <c r="E514" s="36"/>
      <c r="F514" s="36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</row>
    <row r="515" spans="2:46" ht="15.75" customHeight="1" x14ac:dyDescent="0.2">
      <c r="B515" s="2"/>
      <c r="C515" s="2"/>
      <c r="D515" s="2"/>
      <c r="E515" s="36"/>
      <c r="F515" s="36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</row>
    <row r="516" spans="2:46" ht="15.75" customHeight="1" x14ac:dyDescent="0.2">
      <c r="B516" s="2"/>
      <c r="C516" s="2"/>
      <c r="D516" s="2"/>
      <c r="E516" s="36"/>
      <c r="F516" s="36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</row>
    <row r="517" spans="2:46" ht="15.75" customHeight="1" x14ac:dyDescent="0.2">
      <c r="B517" s="2"/>
      <c r="C517" s="2"/>
      <c r="D517" s="2"/>
      <c r="E517" s="36"/>
      <c r="F517" s="36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</row>
    <row r="518" spans="2:46" ht="15.75" customHeight="1" x14ac:dyDescent="0.2">
      <c r="B518" s="2"/>
      <c r="C518" s="2"/>
      <c r="D518" s="2"/>
      <c r="E518" s="36"/>
      <c r="F518" s="36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</row>
    <row r="519" spans="2:46" ht="15.75" customHeight="1" x14ac:dyDescent="0.2">
      <c r="B519" s="2"/>
      <c r="C519" s="2"/>
      <c r="D519" s="2"/>
      <c r="E519" s="36"/>
      <c r="F519" s="36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</row>
    <row r="520" spans="2:46" ht="15.75" customHeight="1" x14ac:dyDescent="0.2">
      <c r="B520" s="2"/>
      <c r="C520" s="2"/>
      <c r="D520" s="2"/>
      <c r="E520" s="36"/>
      <c r="F520" s="36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</row>
    <row r="521" spans="2:46" ht="15.75" customHeight="1" x14ac:dyDescent="0.2">
      <c r="B521" s="2"/>
      <c r="C521" s="2"/>
      <c r="D521" s="2"/>
      <c r="E521" s="36"/>
      <c r="F521" s="36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</row>
    <row r="522" spans="2:46" ht="15.75" customHeight="1" x14ac:dyDescent="0.2">
      <c r="B522" s="2"/>
      <c r="C522" s="2"/>
      <c r="D522" s="2"/>
      <c r="E522" s="36"/>
      <c r="F522" s="36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</row>
    <row r="523" spans="2:46" ht="15.75" customHeight="1" x14ac:dyDescent="0.2">
      <c r="B523" s="2"/>
      <c r="C523" s="2"/>
      <c r="D523" s="2"/>
      <c r="E523" s="36"/>
      <c r="F523" s="36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</row>
    <row r="524" spans="2:46" ht="15.75" customHeight="1" x14ac:dyDescent="0.2">
      <c r="B524" s="2"/>
      <c r="C524" s="2"/>
      <c r="D524" s="2"/>
      <c r="E524" s="36"/>
      <c r="F524" s="36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</row>
    <row r="525" spans="2:46" ht="15.75" customHeight="1" x14ac:dyDescent="0.2">
      <c r="B525" s="2"/>
      <c r="C525" s="2"/>
      <c r="D525" s="2"/>
      <c r="E525" s="36"/>
      <c r="F525" s="36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</row>
    <row r="526" spans="2:46" ht="15.75" customHeight="1" x14ac:dyDescent="0.2">
      <c r="B526" s="2"/>
      <c r="C526" s="2"/>
      <c r="D526" s="2"/>
      <c r="E526" s="36"/>
      <c r="F526" s="36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</row>
    <row r="527" spans="2:46" ht="15.75" customHeight="1" x14ac:dyDescent="0.2">
      <c r="B527" s="2"/>
      <c r="C527" s="2"/>
      <c r="D527" s="2"/>
      <c r="E527" s="36"/>
      <c r="F527" s="36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</row>
    <row r="528" spans="2:46" ht="15.75" customHeight="1" x14ac:dyDescent="0.2">
      <c r="B528" s="2"/>
      <c r="C528" s="2"/>
      <c r="D528" s="2"/>
      <c r="E528" s="36"/>
      <c r="F528" s="36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</row>
    <row r="529" spans="2:46" ht="15.75" customHeight="1" x14ac:dyDescent="0.2">
      <c r="B529" s="2"/>
      <c r="C529" s="2"/>
      <c r="D529" s="2"/>
      <c r="E529" s="36"/>
      <c r="F529" s="36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</row>
    <row r="530" spans="2:46" ht="15.75" customHeight="1" x14ac:dyDescent="0.2">
      <c r="B530" s="2"/>
      <c r="C530" s="2"/>
      <c r="D530" s="2"/>
      <c r="E530" s="36"/>
      <c r="F530" s="36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</row>
    <row r="531" spans="2:46" ht="15.75" customHeight="1" x14ac:dyDescent="0.2">
      <c r="B531" s="2"/>
      <c r="C531" s="2"/>
      <c r="D531" s="2"/>
      <c r="E531" s="36"/>
      <c r="F531" s="36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</row>
    <row r="532" spans="2:46" ht="15.75" customHeight="1" x14ac:dyDescent="0.2">
      <c r="B532" s="2"/>
      <c r="C532" s="2"/>
      <c r="D532" s="2"/>
      <c r="E532" s="36"/>
      <c r="F532" s="36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</row>
    <row r="533" spans="2:46" ht="15.75" customHeight="1" x14ac:dyDescent="0.2">
      <c r="B533" s="2"/>
      <c r="C533" s="2"/>
      <c r="D533" s="2"/>
      <c r="E533" s="36"/>
      <c r="F533" s="36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</row>
    <row r="534" spans="2:46" ht="15.75" customHeight="1" x14ac:dyDescent="0.2">
      <c r="B534" s="2"/>
      <c r="C534" s="2"/>
      <c r="D534" s="2"/>
      <c r="E534" s="36"/>
      <c r="F534" s="36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</row>
    <row r="535" spans="2:46" ht="15.75" customHeight="1" x14ac:dyDescent="0.2">
      <c r="B535" s="2"/>
      <c r="C535" s="2"/>
      <c r="D535" s="2"/>
      <c r="E535" s="36"/>
      <c r="F535" s="36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</row>
    <row r="536" spans="2:46" ht="15.75" customHeight="1" x14ac:dyDescent="0.2">
      <c r="B536" s="2"/>
      <c r="C536" s="2"/>
      <c r="D536" s="2"/>
      <c r="E536" s="36"/>
      <c r="F536" s="36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</row>
    <row r="537" spans="2:46" ht="15.75" customHeight="1" x14ac:dyDescent="0.2">
      <c r="B537" s="2"/>
      <c r="C537" s="2"/>
      <c r="D537" s="2"/>
      <c r="E537" s="36"/>
      <c r="F537" s="36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</row>
    <row r="538" spans="2:46" ht="15.75" customHeight="1" x14ac:dyDescent="0.2">
      <c r="B538" s="2"/>
      <c r="C538" s="2"/>
      <c r="D538" s="2"/>
      <c r="E538" s="36"/>
      <c r="F538" s="36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</row>
    <row r="539" spans="2:46" ht="15.75" customHeight="1" x14ac:dyDescent="0.2">
      <c r="B539" s="2"/>
      <c r="C539" s="2"/>
      <c r="D539" s="2"/>
      <c r="E539" s="36"/>
      <c r="F539" s="36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</row>
    <row r="540" spans="2:46" ht="15.75" customHeight="1" x14ac:dyDescent="0.2">
      <c r="B540" s="2"/>
      <c r="C540" s="2"/>
      <c r="D540" s="2"/>
      <c r="E540" s="36"/>
      <c r="F540" s="36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</row>
    <row r="541" spans="2:46" ht="15.75" customHeight="1" x14ac:dyDescent="0.2">
      <c r="B541" s="2"/>
      <c r="C541" s="2"/>
      <c r="D541" s="2"/>
      <c r="E541" s="36"/>
      <c r="F541" s="36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</row>
    <row r="542" spans="2:46" ht="15.75" customHeight="1" x14ac:dyDescent="0.2">
      <c r="B542" s="2"/>
      <c r="C542" s="2"/>
      <c r="D542" s="2"/>
      <c r="E542" s="36"/>
      <c r="F542" s="36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</row>
    <row r="543" spans="2:46" ht="15.75" customHeight="1" x14ac:dyDescent="0.2">
      <c r="B543" s="2"/>
      <c r="C543" s="2"/>
      <c r="D543" s="2"/>
      <c r="E543" s="36"/>
      <c r="F543" s="36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</row>
    <row r="544" spans="2:46" ht="15.75" customHeight="1" x14ac:dyDescent="0.2">
      <c r="B544" s="2"/>
      <c r="C544" s="2"/>
      <c r="D544" s="2"/>
      <c r="E544" s="36"/>
      <c r="F544" s="36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</row>
    <row r="545" spans="2:46" ht="15.75" customHeight="1" x14ac:dyDescent="0.2">
      <c r="B545" s="2"/>
      <c r="C545" s="2"/>
      <c r="D545" s="2"/>
      <c r="E545" s="36"/>
      <c r="F545" s="36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</row>
    <row r="546" spans="2:46" ht="15.75" customHeight="1" x14ac:dyDescent="0.2">
      <c r="B546" s="2"/>
      <c r="C546" s="2"/>
      <c r="D546" s="2"/>
      <c r="E546" s="36"/>
      <c r="F546" s="36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</row>
    <row r="547" spans="2:46" ht="15.75" customHeight="1" x14ac:dyDescent="0.2">
      <c r="B547" s="2"/>
      <c r="C547" s="2"/>
      <c r="D547" s="2"/>
      <c r="E547" s="36"/>
      <c r="F547" s="36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</row>
    <row r="548" spans="2:46" ht="15.75" customHeight="1" x14ac:dyDescent="0.2">
      <c r="B548" s="2"/>
      <c r="C548" s="2"/>
      <c r="D548" s="2"/>
      <c r="E548" s="36"/>
      <c r="F548" s="36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</row>
    <row r="549" spans="2:46" ht="15.75" customHeight="1" x14ac:dyDescent="0.2">
      <c r="B549" s="2"/>
      <c r="C549" s="2"/>
      <c r="D549" s="2"/>
      <c r="E549" s="36"/>
      <c r="F549" s="36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</row>
    <row r="550" spans="2:46" ht="15.75" customHeight="1" x14ac:dyDescent="0.2">
      <c r="B550" s="2"/>
      <c r="C550" s="2"/>
      <c r="D550" s="2"/>
      <c r="E550" s="36"/>
      <c r="F550" s="36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</row>
    <row r="551" spans="2:46" ht="15.75" customHeight="1" x14ac:dyDescent="0.2">
      <c r="B551" s="2"/>
      <c r="C551" s="2"/>
      <c r="D551" s="2"/>
      <c r="E551" s="36"/>
      <c r="F551" s="36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</row>
    <row r="552" spans="2:46" ht="15.75" customHeight="1" x14ac:dyDescent="0.2">
      <c r="B552" s="2"/>
      <c r="C552" s="2"/>
      <c r="D552" s="2"/>
      <c r="E552" s="36"/>
      <c r="F552" s="36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</row>
    <row r="553" spans="2:46" ht="15.75" customHeight="1" x14ac:dyDescent="0.2">
      <c r="B553" s="2"/>
      <c r="C553" s="2"/>
      <c r="D553" s="2"/>
      <c r="E553" s="36"/>
      <c r="F553" s="36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</row>
    <row r="554" spans="2:46" ht="15.75" customHeight="1" x14ac:dyDescent="0.2">
      <c r="B554" s="2"/>
      <c r="C554" s="2"/>
      <c r="D554" s="2"/>
      <c r="E554" s="36"/>
      <c r="F554" s="36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</row>
    <row r="555" spans="2:46" ht="15.75" customHeight="1" x14ac:dyDescent="0.2">
      <c r="B555" s="2"/>
      <c r="C555" s="2"/>
      <c r="D555" s="2"/>
      <c r="E555" s="36"/>
      <c r="F555" s="36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</row>
    <row r="556" spans="2:46" ht="15.75" customHeight="1" x14ac:dyDescent="0.2">
      <c r="B556" s="2"/>
      <c r="C556" s="2"/>
      <c r="D556" s="2"/>
      <c r="E556" s="36"/>
      <c r="F556" s="36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</row>
    <row r="557" spans="2:46" ht="15.75" customHeight="1" x14ac:dyDescent="0.2">
      <c r="B557" s="2"/>
      <c r="C557" s="2"/>
      <c r="D557" s="2"/>
      <c r="E557" s="36"/>
      <c r="F557" s="36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</row>
    <row r="558" spans="2:46" ht="15.75" customHeight="1" x14ac:dyDescent="0.2">
      <c r="B558" s="2"/>
      <c r="C558" s="2"/>
      <c r="D558" s="2"/>
      <c r="E558" s="36"/>
      <c r="F558" s="36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</row>
    <row r="559" spans="2:46" ht="15.75" customHeight="1" x14ac:dyDescent="0.2">
      <c r="B559" s="2"/>
      <c r="C559" s="2"/>
      <c r="D559" s="2"/>
      <c r="E559" s="36"/>
      <c r="F559" s="36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</row>
    <row r="560" spans="2:46" ht="15.75" customHeight="1" x14ac:dyDescent="0.2">
      <c r="B560" s="2"/>
      <c r="C560" s="2"/>
      <c r="D560" s="2"/>
      <c r="E560" s="36"/>
      <c r="F560" s="36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</row>
    <row r="561" spans="2:46" ht="15.75" customHeight="1" x14ac:dyDescent="0.2">
      <c r="B561" s="2"/>
      <c r="C561" s="2"/>
      <c r="D561" s="2"/>
      <c r="E561" s="36"/>
      <c r="F561" s="36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</row>
    <row r="562" spans="2:46" ht="15.75" customHeight="1" x14ac:dyDescent="0.2">
      <c r="B562" s="2"/>
      <c r="C562" s="2"/>
      <c r="D562" s="2"/>
      <c r="E562" s="36"/>
      <c r="F562" s="36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</row>
    <row r="563" spans="2:46" ht="15.75" customHeight="1" x14ac:dyDescent="0.2">
      <c r="B563" s="2"/>
      <c r="C563" s="2"/>
      <c r="D563" s="2"/>
      <c r="E563" s="36"/>
      <c r="F563" s="36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</row>
    <row r="564" spans="2:46" ht="15.75" customHeight="1" x14ac:dyDescent="0.2">
      <c r="B564" s="2"/>
      <c r="C564" s="2"/>
      <c r="D564" s="2"/>
      <c r="E564" s="36"/>
      <c r="F564" s="36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</row>
    <row r="565" spans="2:46" ht="15.75" customHeight="1" x14ac:dyDescent="0.2">
      <c r="B565" s="2"/>
      <c r="C565" s="2"/>
      <c r="D565" s="2"/>
      <c r="E565" s="36"/>
      <c r="F565" s="36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</row>
    <row r="566" spans="2:46" ht="15.75" customHeight="1" x14ac:dyDescent="0.2">
      <c r="B566" s="2"/>
      <c r="C566" s="2"/>
      <c r="D566" s="2"/>
      <c r="E566" s="36"/>
      <c r="F566" s="36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</row>
    <row r="567" spans="2:46" ht="15.75" customHeight="1" x14ac:dyDescent="0.2">
      <c r="B567" s="2"/>
      <c r="C567" s="2"/>
      <c r="D567" s="2"/>
      <c r="E567" s="36"/>
      <c r="F567" s="36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</row>
    <row r="568" spans="2:46" ht="15.75" customHeight="1" x14ac:dyDescent="0.2">
      <c r="B568" s="2"/>
      <c r="C568" s="2"/>
      <c r="D568" s="2"/>
      <c r="E568" s="36"/>
      <c r="F568" s="36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</row>
    <row r="569" spans="2:46" ht="15.75" customHeight="1" x14ac:dyDescent="0.2">
      <c r="B569" s="2"/>
      <c r="C569" s="2"/>
      <c r="D569" s="2"/>
      <c r="E569" s="36"/>
      <c r="F569" s="36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</row>
    <row r="570" spans="2:46" ht="15.75" customHeight="1" x14ac:dyDescent="0.2">
      <c r="B570" s="2"/>
      <c r="C570" s="2"/>
      <c r="D570" s="2"/>
      <c r="E570" s="36"/>
      <c r="F570" s="36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</row>
    <row r="571" spans="2:46" ht="15.75" customHeight="1" x14ac:dyDescent="0.2">
      <c r="B571" s="2"/>
      <c r="C571" s="2"/>
      <c r="D571" s="2"/>
      <c r="E571" s="36"/>
      <c r="F571" s="36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</row>
    <row r="572" spans="2:46" ht="15.75" customHeight="1" x14ac:dyDescent="0.2">
      <c r="B572" s="2"/>
      <c r="C572" s="2"/>
      <c r="D572" s="2"/>
      <c r="E572" s="36"/>
      <c r="F572" s="36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</row>
    <row r="573" spans="2:46" ht="15.75" customHeight="1" x14ac:dyDescent="0.2">
      <c r="B573" s="2"/>
      <c r="C573" s="2"/>
      <c r="D573" s="2"/>
      <c r="E573" s="36"/>
      <c r="F573" s="36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</row>
    <row r="574" spans="2:46" ht="15.75" customHeight="1" x14ac:dyDescent="0.2">
      <c r="B574" s="2"/>
      <c r="C574" s="2"/>
      <c r="D574" s="2"/>
      <c r="E574" s="36"/>
      <c r="F574" s="36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</row>
    <row r="575" spans="2:46" ht="15.75" customHeight="1" x14ac:dyDescent="0.2">
      <c r="B575" s="2"/>
      <c r="C575" s="2"/>
      <c r="D575" s="2"/>
      <c r="E575" s="36"/>
      <c r="F575" s="36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</row>
    <row r="576" spans="2:46" ht="15.75" customHeight="1" x14ac:dyDescent="0.2">
      <c r="B576" s="2"/>
      <c r="C576" s="2"/>
      <c r="D576" s="2"/>
      <c r="E576" s="36"/>
      <c r="F576" s="36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</row>
    <row r="577" spans="2:46" ht="15.75" customHeight="1" x14ac:dyDescent="0.2">
      <c r="B577" s="2"/>
      <c r="C577" s="2"/>
      <c r="D577" s="2"/>
      <c r="E577" s="36"/>
      <c r="F577" s="36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</row>
    <row r="578" spans="2:46" ht="15.75" customHeight="1" x14ac:dyDescent="0.2">
      <c r="B578" s="2"/>
      <c r="C578" s="2"/>
      <c r="D578" s="2"/>
      <c r="E578" s="36"/>
      <c r="F578" s="36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</row>
    <row r="579" spans="2:46" ht="15.75" customHeight="1" x14ac:dyDescent="0.2">
      <c r="B579" s="2"/>
      <c r="C579" s="2"/>
      <c r="D579" s="2"/>
      <c r="E579" s="36"/>
      <c r="F579" s="36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</row>
    <row r="580" spans="2:46" ht="15.75" customHeight="1" x14ac:dyDescent="0.2">
      <c r="B580" s="2"/>
      <c r="C580" s="2"/>
      <c r="D580" s="2"/>
      <c r="E580" s="36"/>
      <c r="F580" s="36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</row>
    <row r="581" spans="2:46" ht="15.75" customHeight="1" x14ac:dyDescent="0.2">
      <c r="B581" s="2"/>
      <c r="C581" s="2"/>
      <c r="D581" s="2"/>
      <c r="E581" s="36"/>
      <c r="F581" s="36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</row>
    <row r="582" spans="2:46" ht="15.75" customHeight="1" x14ac:dyDescent="0.2">
      <c r="B582" s="2"/>
      <c r="C582" s="2"/>
      <c r="D582" s="2"/>
      <c r="E582" s="36"/>
      <c r="F582" s="36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</row>
    <row r="583" spans="2:46" ht="15.75" customHeight="1" x14ac:dyDescent="0.2">
      <c r="B583" s="2"/>
      <c r="C583" s="2"/>
      <c r="D583" s="2"/>
      <c r="E583" s="36"/>
      <c r="F583" s="36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</row>
    <row r="584" spans="2:46" ht="15.75" customHeight="1" x14ac:dyDescent="0.2">
      <c r="B584" s="2"/>
      <c r="C584" s="2"/>
      <c r="D584" s="2"/>
      <c r="E584" s="36"/>
      <c r="F584" s="36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</row>
    <row r="585" spans="2:46" ht="15.75" customHeight="1" x14ac:dyDescent="0.2">
      <c r="B585" s="2"/>
      <c r="C585" s="2"/>
      <c r="D585" s="2"/>
      <c r="E585" s="36"/>
      <c r="F585" s="36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</row>
    <row r="586" spans="2:46" ht="15.75" customHeight="1" x14ac:dyDescent="0.2">
      <c r="B586" s="2"/>
      <c r="C586" s="2"/>
      <c r="D586" s="2"/>
      <c r="E586" s="36"/>
      <c r="F586" s="36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</row>
    <row r="587" spans="2:46" ht="15.75" customHeight="1" x14ac:dyDescent="0.2">
      <c r="B587" s="2"/>
      <c r="C587" s="2"/>
      <c r="D587" s="2"/>
      <c r="E587" s="36"/>
      <c r="F587" s="36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</row>
    <row r="588" spans="2:46" ht="15.75" customHeight="1" x14ac:dyDescent="0.2">
      <c r="B588" s="2"/>
      <c r="C588" s="2"/>
      <c r="D588" s="2"/>
      <c r="E588" s="36"/>
      <c r="F588" s="36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</row>
    <row r="589" spans="2:46" ht="15.75" customHeight="1" x14ac:dyDescent="0.2">
      <c r="B589" s="2"/>
      <c r="C589" s="2"/>
      <c r="D589" s="2"/>
      <c r="E589" s="36"/>
      <c r="F589" s="36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</row>
    <row r="590" spans="2:46" ht="15.75" customHeight="1" x14ac:dyDescent="0.2">
      <c r="B590" s="2"/>
      <c r="C590" s="2"/>
      <c r="D590" s="2"/>
      <c r="E590" s="36"/>
      <c r="F590" s="36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</row>
    <row r="591" spans="2:46" ht="15.75" customHeight="1" x14ac:dyDescent="0.2">
      <c r="B591" s="2"/>
      <c r="C591" s="2"/>
      <c r="D591" s="2"/>
      <c r="E591" s="36"/>
      <c r="F591" s="36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</row>
    <row r="592" spans="2:46" ht="15.75" customHeight="1" x14ac:dyDescent="0.2">
      <c r="G592" s="2"/>
    </row>
    <row r="593" spans="7:7" ht="15.75" customHeight="1" x14ac:dyDescent="0.2">
      <c r="G593" s="2"/>
    </row>
    <row r="594" spans="7:7" ht="15.75" customHeight="1" x14ac:dyDescent="0.2">
      <c r="G594" s="2"/>
    </row>
    <row r="595" spans="7:7" ht="15.75" customHeight="1" x14ac:dyDescent="0.2">
      <c r="G595" s="2"/>
    </row>
    <row r="596" spans="7:7" ht="15.75" customHeight="1" x14ac:dyDescent="0.2">
      <c r="G596" s="2"/>
    </row>
    <row r="597" spans="7:7" ht="15.75" customHeight="1" x14ac:dyDescent="0.2">
      <c r="G597" s="2"/>
    </row>
    <row r="598" spans="7:7" ht="15.75" customHeight="1" x14ac:dyDescent="0.2">
      <c r="G598" s="2"/>
    </row>
    <row r="599" spans="7:7" ht="15.75" customHeight="1" x14ac:dyDescent="0.2">
      <c r="G599" s="2"/>
    </row>
    <row r="600" spans="7:7" ht="15.75" customHeight="1" x14ac:dyDescent="0.2">
      <c r="G600" s="2"/>
    </row>
    <row r="601" spans="7:7" ht="15.75" customHeight="1" x14ac:dyDescent="0.2">
      <c r="G601" s="2"/>
    </row>
    <row r="602" spans="7:7" ht="15.75" customHeight="1" x14ac:dyDescent="0.2">
      <c r="G602" s="2"/>
    </row>
    <row r="603" spans="7:7" ht="15.75" customHeight="1" x14ac:dyDescent="0.2">
      <c r="G603" s="2"/>
    </row>
    <row r="604" spans="7:7" ht="15.75" customHeight="1" x14ac:dyDescent="0.2">
      <c r="G604" s="2"/>
    </row>
    <row r="605" spans="7:7" ht="15.75" customHeight="1" x14ac:dyDescent="0.2">
      <c r="G605" s="2"/>
    </row>
    <row r="606" spans="7:7" ht="15.75" customHeight="1" x14ac:dyDescent="0.2">
      <c r="G606" s="2"/>
    </row>
    <row r="607" spans="7:7" ht="15.75" customHeight="1" x14ac:dyDescent="0.2">
      <c r="G607" s="2"/>
    </row>
    <row r="608" spans="7:7" ht="15.75" customHeight="1" x14ac:dyDescent="0.2">
      <c r="G608" s="2"/>
    </row>
    <row r="609" spans="7:7" ht="15.75" customHeight="1" x14ac:dyDescent="0.2">
      <c r="G609" s="2"/>
    </row>
    <row r="610" spans="7:7" ht="15.75" customHeight="1" x14ac:dyDescent="0.2">
      <c r="G610" s="2"/>
    </row>
    <row r="611" spans="7:7" ht="15.75" customHeight="1" x14ac:dyDescent="0.2">
      <c r="G611" s="2"/>
    </row>
    <row r="612" spans="7:7" ht="15.75" customHeight="1" x14ac:dyDescent="0.2">
      <c r="G612" s="2"/>
    </row>
    <row r="613" spans="7:7" ht="15.75" customHeight="1" x14ac:dyDescent="0.2">
      <c r="G613" s="2"/>
    </row>
    <row r="614" spans="7:7" ht="15.75" customHeight="1" x14ac:dyDescent="0.2">
      <c r="G614" s="2"/>
    </row>
    <row r="615" spans="7:7" ht="15.75" customHeight="1" x14ac:dyDescent="0.2">
      <c r="G615" s="2"/>
    </row>
    <row r="616" spans="7:7" ht="15.75" customHeight="1" x14ac:dyDescent="0.2">
      <c r="G616" s="2"/>
    </row>
    <row r="617" spans="7:7" ht="15.75" customHeight="1" x14ac:dyDescent="0.2">
      <c r="G617" s="2"/>
    </row>
    <row r="618" spans="7:7" ht="15.75" customHeight="1" x14ac:dyDescent="0.2">
      <c r="G618" s="2"/>
    </row>
    <row r="619" spans="7:7" ht="15.75" customHeight="1" x14ac:dyDescent="0.2">
      <c r="G619" s="2"/>
    </row>
    <row r="620" spans="7:7" ht="15.75" customHeight="1" x14ac:dyDescent="0.2">
      <c r="G620" s="2"/>
    </row>
    <row r="621" spans="7:7" ht="15.75" customHeight="1" x14ac:dyDescent="0.2">
      <c r="G621" s="2"/>
    </row>
    <row r="622" spans="7:7" ht="15.75" customHeight="1" x14ac:dyDescent="0.2">
      <c r="G622" s="2"/>
    </row>
    <row r="623" spans="7:7" ht="15.75" customHeight="1" x14ac:dyDescent="0.2">
      <c r="G623" s="2"/>
    </row>
    <row r="624" spans="7:7" ht="15.75" customHeight="1" x14ac:dyDescent="0.2">
      <c r="G624" s="2"/>
    </row>
    <row r="625" spans="7:7" ht="15.75" customHeight="1" x14ac:dyDescent="0.2">
      <c r="G625" s="2"/>
    </row>
    <row r="626" spans="7:7" ht="15.75" customHeight="1" x14ac:dyDescent="0.2">
      <c r="G626" s="2"/>
    </row>
    <row r="627" spans="7:7" ht="15.75" customHeight="1" x14ac:dyDescent="0.2">
      <c r="G627" s="2"/>
    </row>
    <row r="628" spans="7:7" ht="15.75" customHeight="1" x14ac:dyDescent="0.2">
      <c r="G628" s="2"/>
    </row>
    <row r="629" spans="7:7" ht="15.75" customHeight="1" x14ac:dyDescent="0.2">
      <c r="G629" s="2"/>
    </row>
    <row r="630" spans="7:7" ht="15.75" customHeight="1" x14ac:dyDescent="0.2">
      <c r="G630" s="2"/>
    </row>
    <row r="631" spans="7:7" ht="15.75" customHeight="1" x14ac:dyDescent="0.2">
      <c r="G631" s="2"/>
    </row>
    <row r="632" spans="7:7" ht="15.75" customHeight="1" x14ac:dyDescent="0.2">
      <c r="G632" s="2"/>
    </row>
    <row r="633" spans="7:7" ht="15.75" customHeight="1" x14ac:dyDescent="0.2">
      <c r="G633" s="2"/>
    </row>
    <row r="634" spans="7:7" ht="15.75" customHeight="1" x14ac:dyDescent="0.2">
      <c r="G634" s="2"/>
    </row>
    <row r="635" spans="7:7" ht="15.75" customHeight="1" x14ac:dyDescent="0.2">
      <c r="G635" s="2"/>
    </row>
    <row r="636" spans="7:7" ht="15.75" customHeight="1" x14ac:dyDescent="0.2">
      <c r="G636" s="2"/>
    </row>
    <row r="637" spans="7:7" ht="15.75" customHeight="1" x14ac:dyDescent="0.2">
      <c r="G637" s="2"/>
    </row>
    <row r="638" spans="7:7" ht="15.75" customHeight="1" x14ac:dyDescent="0.2">
      <c r="G638" s="2"/>
    </row>
    <row r="639" spans="7:7" ht="15.75" customHeight="1" x14ac:dyDescent="0.2">
      <c r="G639" s="2"/>
    </row>
    <row r="640" spans="7:7" ht="15.75" customHeight="1" x14ac:dyDescent="0.2">
      <c r="G640" s="2"/>
    </row>
    <row r="641" spans="7:7" ht="15.75" customHeight="1" x14ac:dyDescent="0.2">
      <c r="G641" s="2"/>
    </row>
    <row r="642" spans="7:7" ht="15.75" customHeight="1" x14ac:dyDescent="0.2">
      <c r="G642" s="2"/>
    </row>
    <row r="643" spans="7:7" ht="15.75" customHeight="1" x14ac:dyDescent="0.2">
      <c r="G643" s="2"/>
    </row>
    <row r="644" spans="7:7" ht="15.75" customHeight="1" x14ac:dyDescent="0.2">
      <c r="G644" s="2"/>
    </row>
    <row r="645" spans="7:7" ht="15.75" customHeight="1" x14ac:dyDescent="0.2">
      <c r="G645" s="2"/>
    </row>
    <row r="646" spans="7:7" ht="15.75" customHeight="1" x14ac:dyDescent="0.2">
      <c r="G646" s="2"/>
    </row>
    <row r="647" spans="7:7" ht="15.75" customHeight="1" x14ac:dyDescent="0.2">
      <c r="G647" s="2"/>
    </row>
    <row r="648" spans="7:7" ht="15.75" customHeight="1" x14ac:dyDescent="0.2">
      <c r="G648" s="2"/>
    </row>
    <row r="649" spans="7:7" ht="15.75" customHeight="1" x14ac:dyDescent="0.2">
      <c r="G649" s="2"/>
    </row>
    <row r="650" spans="7:7" ht="15.75" customHeight="1" x14ac:dyDescent="0.2">
      <c r="G650" s="2"/>
    </row>
    <row r="651" spans="7:7" ht="15.75" customHeight="1" x14ac:dyDescent="0.2">
      <c r="G651" s="2"/>
    </row>
    <row r="652" spans="7:7" ht="15.75" customHeight="1" x14ac:dyDescent="0.2">
      <c r="G652" s="2"/>
    </row>
    <row r="653" spans="7:7" ht="15.75" customHeight="1" x14ac:dyDescent="0.2">
      <c r="G653" s="2"/>
    </row>
    <row r="654" spans="7:7" ht="15.75" customHeight="1" x14ac:dyDescent="0.2">
      <c r="G654" s="2"/>
    </row>
    <row r="655" spans="7:7" ht="15.75" customHeight="1" x14ac:dyDescent="0.2">
      <c r="G655" s="2"/>
    </row>
    <row r="656" spans="7:7" ht="15.75" customHeight="1" x14ac:dyDescent="0.2">
      <c r="G656" s="2"/>
    </row>
    <row r="657" spans="7:7" ht="15.75" customHeight="1" x14ac:dyDescent="0.2">
      <c r="G657" s="2"/>
    </row>
    <row r="658" spans="7:7" ht="15.75" customHeight="1" x14ac:dyDescent="0.2">
      <c r="G658" s="2"/>
    </row>
    <row r="659" spans="7:7" ht="15.75" customHeight="1" x14ac:dyDescent="0.2">
      <c r="G659" s="2"/>
    </row>
    <row r="660" spans="7:7" ht="15.75" customHeight="1" x14ac:dyDescent="0.2">
      <c r="G660" s="2"/>
    </row>
    <row r="661" spans="7:7" ht="15.75" customHeight="1" x14ac:dyDescent="0.2"/>
    <row r="662" spans="7:7" ht="15.75" customHeight="1" x14ac:dyDescent="0.2"/>
    <row r="663" spans="7:7" ht="15.75" customHeight="1" x14ac:dyDescent="0.2"/>
    <row r="664" spans="7:7" ht="15.75" customHeight="1" x14ac:dyDescent="0.2"/>
    <row r="665" spans="7:7" ht="15.75" customHeight="1" x14ac:dyDescent="0.2"/>
    <row r="666" spans="7:7" ht="15.75" customHeight="1" x14ac:dyDescent="0.2"/>
    <row r="667" spans="7:7" ht="15.75" customHeight="1" x14ac:dyDescent="0.2"/>
    <row r="668" spans="7:7" ht="15.75" customHeight="1" x14ac:dyDescent="0.2"/>
    <row r="669" spans="7:7" ht="15.75" customHeight="1" x14ac:dyDescent="0.2"/>
    <row r="670" spans="7:7" ht="15.75" customHeight="1" x14ac:dyDescent="0.2"/>
    <row r="671" spans="7:7" ht="15.75" customHeight="1" x14ac:dyDescent="0.2"/>
    <row r="672" spans="7:7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</sheetData>
  <mergeCells count="2">
    <mergeCell ref="B3:E3"/>
    <mergeCell ref="B4:E4"/>
  </mergeCells>
  <pageMargins left="0.74803149606299213" right="0.15748031496062992" top="0.15748031496062992" bottom="0.15748031496062992" header="0.15748031496062992" footer="0.15748031496062992"/>
  <pageSetup paperSize="9" scale="81" orientation="portrait" r:id="rId1"/>
  <headerFooter alignWithMargins="0"/>
  <rowBreaks count="1" manualBreakCount="1">
    <brk id="57" min="1" max="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"/>
  <sheetViews>
    <sheetView zoomScale="160" zoomScaleNormal="160" workbookViewId="0">
      <selection activeCell="B6" sqref="B6"/>
    </sheetView>
  </sheetViews>
  <sheetFormatPr defaultColWidth="0" defaultRowHeight="12.75" x14ac:dyDescent="0.2"/>
  <cols>
    <col min="1" max="1" width="0.7109375" customWidth="1"/>
    <col min="2" max="2" width="82.42578125" customWidth="1"/>
    <col min="3" max="3" width="12.5703125" bestFit="1" customWidth="1"/>
    <col min="4" max="4" width="14.140625" hidden="1" customWidth="1"/>
    <col min="5" max="5" width="11.7109375" customWidth="1"/>
    <col min="6" max="6" width="12" customWidth="1"/>
    <col min="7" max="7" width="6.7109375" style="343" customWidth="1"/>
    <col min="8" max="8" width="10.5703125" style="343" customWidth="1"/>
    <col min="9" max="12" width="9.140625" style="343" customWidth="1"/>
    <col min="13" max="224" width="9.140625" customWidth="1"/>
  </cols>
  <sheetData>
    <row r="1" spans="2:12" ht="15.75" customHeight="1" x14ac:dyDescent="0.2">
      <c r="B1" s="20"/>
      <c r="F1" s="60" t="s">
        <v>593</v>
      </c>
    </row>
    <row r="2" spans="2:12" ht="15.75" customHeight="1" x14ac:dyDescent="0.2">
      <c r="B2" s="20"/>
      <c r="F2" s="60" t="str">
        <f>'1.Bev-kiad.'!F2</f>
        <v>a 3/2021.(V.28.) önkormányzati rendelethez</v>
      </c>
    </row>
    <row r="3" spans="2:12" ht="39" customHeight="1" x14ac:dyDescent="0.2">
      <c r="B3" s="628" t="s">
        <v>986</v>
      </c>
      <c r="C3" s="628"/>
      <c r="D3" s="628"/>
      <c r="E3" s="628"/>
      <c r="F3" s="628"/>
    </row>
    <row r="4" spans="2:12" x14ac:dyDescent="0.2">
      <c r="B4" s="57"/>
      <c r="C4" s="57"/>
      <c r="D4" s="57"/>
      <c r="F4" s="58"/>
    </row>
    <row r="5" spans="2:12" ht="13.5" thickBot="1" x14ac:dyDescent="0.25">
      <c r="B5" s="57"/>
      <c r="F5" s="218" t="s">
        <v>0</v>
      </c>
    </row>
    <row r="6" spans="2:12" s="6" customFormat="1" ht="54.75" customHeight="1" thickBot="1" x14ac:dyDescent="0.3">
      <c r="B6" s="55" t="s">
        <v>13</v>
      </c>
      <c r="C6" s="308" t="s">
        <v>410</v>
      </c>
      <c r="D6" s="308" t="str">
        <f>'1.Bev-kiad.'!D6</f>
        <v>Módosított előirányzat 2020.09.havi</v>
      </c>
      <c r="E6" s="308" t="str">
        <f>'1.Bev-kiad.'!E6</f>
        <v>Módosított előirányzat 2020.12.31</v>
      </c>
      <c r="F6" s="280" t="str">
        <f>'1.Bev-kiad.'!F6</f>
        <v>Teljesítés 2020.12.31</v>
      </c>
      <c r="G6" s="493" t="s">
        <v>736</v>
      </c>
      <c r="H6" s="343"/>
      <c r="I6" s="343"/>
      <c r="J6" s="343"/>
      <c r="K6" s="343"/>
      <c r="L6" s="343"/>
    </row>
    <row r="7" spans="2:12" s="6" customFormat="1" ht="18" customHeight="1" thickBot="1" x14ac:dyDescent="0.3">
      <c r="B7" s="34" t="s">
        <v>14</v>
      </c>
      <c r="C7" s="284">
        <f>SUM(C8+C36+C38)</f>
        <v>13945</v>
      </c>
      <c r="D7" s="284">
        <f>SUM(D8+D36+D38)</f>
        <v>12332</v>
      </c>
      <c r="E7" s="284">
        <f>SUM(E8+E36+E38)</f>
        <v>9140</v>
      </c>
      <c r="F7" s="284">
        <f>SUM(F8+F36+F38)</f>
        <v>6100</v>
      </c>
      <c r="G7" s="494">
        <f>(F7/E7)*100</f>
        <v>66.739606126914666</v>
      </c>
      <c r="H7" s="343"/>
      <c r="I7" s="343"/>
      <c r="J7" s="343"/>
      <c r="K7" s="343"/>
      <c r="L7" s="343"/>
    </row>
    <row r="8" spans="2:12" s="6" customFormat="1" ht="25.5" customHeight="1" thickBot="1" x14ac:dyDescent="0.3">
      <c r="B8" s="403" t="s">
        <v>706</v>
      </c>
      <c r="C8" s="402">
        <f>SUM(C9+C20+C28+C29+C31+C32+C33+C34+C35+C18)</f>
        <v>13945</v>
      </c>
      <c r="D8" s="402">
        <f>SUM(D9+D20+D28+D29+D31+D32+D33+D34+D35+D18)</f>
        <v>12232</v>
      </c>
      <c r="E8" s="402">
        <f>SUM(E9+E20+E28+E29+E31+E32+E33+E34+E35+E18)</f>
        <v>8980</v>
      </c>
      <c r="F8" s="402">
        <f>SUM(F9+F20+F28+F29+F31+F32+F33+F34+F35+F18)</f>
        <v>5990</v>
      </c>
      <c r="G8" s="494">
        <f>(F8/E8)*100</f>
        <v>66.70378619153675</v>
      </c>
      <c r="H8" s="343"/>
      <c r="I8" s="343"/>
      <c r="J8" s="343"/>
      <c r="K8" s="343"/>
      <c r="L8" s="343"/>
    </row>
    <row r="9" spans="2:12" s="6" customFormat="1" ht="14.25" customHeight="1" x14ac:dyDescent="0.25">
      <c r="B9" s="399" t="s">
        <v>15</v>
      </c>
      <c r="C9" s="625">
        <v>1513</v>
      </c>
      <c r="D9" s="625">
        <v>1513</v>
      </c>
      <c r="E9" s="625">
        <f>1513+149</f>
        <v>1662</v>
      </c>
      <c r="F9" s="625">
        <v>1662</v>
      </c>
      <c r="G9" s="494"/>
      <c r="H9" s="343"/>
      <c r="I9" s="343"/>
      <c r="J9" s="343"/>
      <c r="K9" s="343"/>
      <c r="L9" s="343"/>
    </row>
    <row r="10" spans="2:12" s="6" customFormat="1" ht="14.25" customHeight="1" x14ac:dyDescent="0.25">
      <c r="B10" s="399" t="s">
        <v>16</v>
      </c>
      <c r="C10" s="626"/>
      <c r="D10" s="626"/>
      <c r="E10" s="626"/>
      <c r="F10" s="626"/>
      <c r="G10" s="494"/>
      <c r="H10" s="343"/>
      <c r="I10" s="343"/>
      <c r="J10" s="343"/>
      <c r="K10" s="343"/>
      <c r="L10" s="343"/>
    </row>
    <row r="11" spans="2:12" s="6" customFormat="1" ht="14.25" hidden="1" customHeight="1" x14ac:dyDescent="0.25">
      <c r="B11" s="400" t="s">
        <v>17</v>
      </c>
      <c r="C11" s="626"/>
      <c r="D11" s="626"/>
      <c r="E11" s="626"/>
      <c r="F11" s="626"/>
      <c r="G11" s="494"/>
      <c r="H11" s="343"/>
      <c r="I11" s="343"/>
      <c r="J11" s="343"/>
      <c r="K11" s="343"/>
      <c r="L11" s="343"/>
    </row>
    <row r="12" spans="2:12" s="6" customFormat="1" ht="14.25" customHeight="1" x14ac:dyDescent="0.25">
      <c r="B12" s="399" t="s">
        <v>18</v>
      </c>
      <c r="C12" s="626"/>
      <c r="D12" s="626"/>
      <c r="E12" s="626"/>
      <c r="F12" s="626"/>
      <c r="G12" s="494"/>
      <c r="H12" s="343"/>
      <c r="I12" s="343"/>
      <c r="J12" s="343"/>
      <c r="K12" s="343"/>
      <c r="L12" s="343"/>
    </row>
    <row r="13" spans="2:12" s="6" customFormat="1" ht="14.25" customHeight="1" x14ac:dyDescent="0.25">
      <c r="B13" s="399" t="s">
        <v>77</v>
      </c>
      <c r="C13" s="626"/>
      <c r="D13" s="626"/>
      <c r="E13" s="626"/>
      <c r="F13" s="626"/>
      <c r="G13" s="494"/>
      <c r="H13" s="343"/>
      <c r="I13" s="343"/>
      <c r="J13" s="343"/>
      <c r="K13" s="343"/>
      <c r="L13" s="343"/>
    </row>
    <row r="14" spans="2:12" s="6" customFormat="1" ht="14.25" customHeight="1" x14ac:dyDescent="0.25">
      <c r="B14" s="399" t="s">
        <v>19</v>
      </c>
      <c r="C14" s="626"/>
      <c r="D14" s="626"/>
      <c r="E14" s="626"/>
      <c r="F14" s="626"/>
      <c r="G14" s="494"/>
      <c r="H14" s="343"/>
      <c r="I14" s="343"/>
      <c r="J14" s="343"/>
      <c r="K14" s="343"/>
      <c r="L14" s="343"/>
    </row>
    <row r="15" spans="2:12" s="6" customFormat="1" ht="14.25" customHeight="1" x14ac:dyDescent="0.25">
      <c r="B15" s="399" t="s">
        <v>20</v>
      </c>
      <c r="C15" s="626"/>
      <c r="D15" s="626"/>
      <c r="E15" s="626"/>
      <c r="F15" s="626"/>
      <c r="G15" s="494"/>
      <c r="H15" s="343"/>
      <c r="I15" s="343"/>
      <c r="J15" s="343"/>
      <c r="K15" s="343"/>
      <c r="L15" s="343"/>
    </row>
    <row r="16" spans="2:12" s="6" customFormat="1" ht="14.25" customHeight="1" x14ac:dyDescent="0.25">
      <c r="B16" s="401" t="s">
        <v>21</v>
      </c>
      <c r="C16" s="626"/>
      <c r="D16" s="626"/>
      <c r="E16" s="626"/>
      <c r="F16" s="626"/>
      <c r="G16" s="494"/>
      <c r="H16" s="343"/>
      <c r="I16" s="343"/>
      <c r="J16" s="343"/>
      <c r="K16" s="343"/>
      <c r="L16" s="343"/>
    </row>
    <row r="17" spans="2:12" s="6" customFormat="1" ht="14.25" customHeight="1" thickBot="1" x14ac:dyDescent="0.3">
      <c r="B17" s="399" t="s">
        <v>22</v>
      </c>
      <c r="C17" s="627"/>
      <c r="D17" s="627"/>
      <c r="E17" s="627"/>
      <c r="F17" s="627"/>
      <c r="G17" s="494"/>
      <c r="H17" s="343"/>
      <c r="I17" s="343"/>
      <c r="J17" s="343"/>
      <c r="K17" s="343"/>
      <c r="L17" s="343"/>
    </row>
    <row r="18" spans="2:12" s="6" customFormat="1" ht="14.25" customHeight="1" x14ac:dyDescent="0.25">
      <c r="B18" s="399" t="s">
        <v>634</v>
      </c>
      <c r="C18" s="263">
        <v>719</v>
      </c>
      <c r="D18" s="263">
        <f>719+11+330</f>
        <v>1060</v>
      </c>
      <c r="E18" s="263">
        <f>719+11+330-179</f>
        <v>881</v>
      </c>
      <c r="F18" s="263">
        <v>678</v>
      </c>
      <c r="G18" s="494">
        <f>(F18/E18)*100</f>
        <v>76.95800227014756</v>
      </c>
      <c r="H18" s="343"/>
      <c r="I18" s="343"/>
      <c r="J18" s="343"/>
      <c r="K18" s="343"/>
      <c r="L18" s="343"/>
    </row>
    <row r="19" spans="2:12" s="6" customFormat="1" ht="14.25" hidden="1" customHeight="1" x14ac:dyDescent="0.25">
      <c r="B19" s="482"/>
      <c r="C19" s="263"/>
      <c r="D19" s="263"/>
      <c r="E19" s="263"/>
      <c r="F19" s="263"/>
      <c r="G19" s="494" t="e">
        <f>(F19/E19)*100</f>
        <v>#DIV/0!</v>
      </c>
      <c r="H19" s="343"/>
      <c r="I19" s="343"/>
      <c r="J19" s="343"/>
      <c r="K19" s="343"/>
      <c r="L19" s="343"/>
    </row>
    <row r="20" spans="2:12" s="6" customFormat="1" ht="14.25" hidden="1" customHeight="1" x14ac:dyDescent="0.25">
      <c r="B20" s="21" t="s">
        <v>606</v>
      </c>
      <c r="C20" s="404">
        <f>SUM(C21:C27)</f>
        <v>3970</v>
      </c>
      <c r="D20" s="404">
        <f>SUM(D21:D27)</f>
        <v>3970</v>
      </c>
      <c r="E20" s="404">
        <f>SUM(E21:E27)</f>
        <v>1949</v>
      </c>
      <c r="F20" s="404">
        <f>SUM(F22:F27)</f>
        <v>554</v>
      </c>
      <c r="G20" s="494">
        <f>(F20/E20)*100</f>
        <v>28.424833247819393</v>
      </c>
      <c r="H20" s="343"/>
      <c r="I20" s="343"/>
      <c r="J20" s="343"/>
      <c r="K20" s="343"/>
      <c r="L20" s="343"/>
    </row>
    <row r="21" spans="2:12" s="6" customFormat="1" ht="14.25" customHeight="1" x14ac:dyDescent="0.25">
      <c r="B21" s="21" t="s">
        <v>608</v>
      </c>
      <c r="C21" s="263">
        <v>1345</v>
      </c>
      <c r="D21" s="263">
        <v>1345</v>
      </c>
      <c r="E21" s="263">
        <v>1345</v>
      </c>
      <c r="F21" s="263">
        <v>1345</v>
      </c>
      <c r="G21" s="494">
        <f>(F21/E21)*100</f>
        <v>100</v>
      </c>
      <c r="H21" s="343"/>
      <c r="I21" s="343"/>
      <c r="J21" s="343"/>
      <c r="K21" s="343"/>
      <c r="L21" s="343"/>
    </row>
    <row r="22" spans="2:12" s="6" customFormat="1" ht="13.5" customHeight="1" x14ac:dyDescent="0.25">
      <c r="B22" s="232" t="s">
        <v>626</v>
      </c>
      <c r="C22" s="263">
        <v>131</v>
      </c>
      <c r="D22" s="263">
        <v>131</v>
      </c>
      <c r="E22" s="263">
        <v>131</v>
      </c>
      <c r="F22" s="263">
        <v>131</v>
      </c>
      <c r="G22" s="494">
        <f>(F22/E22)*100</f>
        <v>100</v>
      </c>
      <c r="H22" s="343"/>
      <c r="I22" s="343"/>
      <c r="J22" s="343"/>
      <c r="K22" s="343"/>
      <c r="L22" s="343"/>
    </row>
    <row r="23" spans="2:12" s="6" customFormat="1" ht="14.25" customHeight="1" x14ac:dyDescent="0.25">
      <c r="B23" s="21" t="s">
        <v>609</v>
      </c>
      <c r="C23" s="386">
        <v>1401</v>
      </c>
      <c r="D23" s="386">
        <v>1401</v>
      </c>
      <c r="E23" s="386">
        <f>1401-1401</f>
        <v>0</v>
      </c>
      <c r="F23" s="386">
        <v>0</v>
      </c>
      <c r="G23" s="494"/>
    </row>
    <row r="24" spans="2:12" s="6" customFormat="1" ht="14.25" customHeight="1" x14ac:dyDescent="0.25">
      <c r="B24" s="21" t="s">
        <v>616</v>
      </c>
      <c r="C24" s="263">
        <v>620</v>
      </c>
      <c r="D24" s="263">
        <v>620</v>
      </c>
      <c r="E24" s="263">
        <f>620-620</f>
        <v>0</v>
      </c>
      <c r="F24" s="263">
        <v>0</v>
      </c>
      <c r="G24" s="494"/>
      <c r="H24" s="343"/>
      <c r="I24" s="343"/>
      <c r="J24" s="343"/>
      <c r="K24" s="343"/>
      <c r="L24" s="343"/>
    </row>
    <row r="25" spans="2:12" s="6" customFormat="1" ht="14.25" customHeight="1" x14ac:dyDescent="0.25">
      <c r="B25" s="229" t="s">
        <v>610</v>
      </c>
      <c r="C25" s="275">
        <v>185</v>
      </c>
      <c r="D25" s="275">
        <v>185</v>
      </c>
      <c r="E25" s="275">
        <v>185</v>
      </c>
      <c r="F25" s="275">
        <v>135</v>
      </c>
      <c r="G25" s="494">
        <f t="shared" ref="G25:G42" si="0">(F25/E25)*100</f>
        <v>72.972972972972968</v>
      </c>
      <c r="H25" s="343"/>
      <c r="I25" s="343"/>
      <c r="J25" s="343"/>
      <c r="K25" s="343"/>
      <c r="L25" s="343"/>
    </row>
    <row r="26" spans="2:12" s="6" customFormat="1" ht="14.25" customHeight="1" x14ac:dyDescent="0.25">
      <c r="B26" s="229" t="s">
        <v>611</v>
      </c>
      <c r="C26" s="275">
        <v>93</v>
      </c>
      <c r="D26" s="275">
        <v>93</v>
      </c>
      <c r="E26" s="275">
        <v>93</v>
      </c>
      <c r="F26" s="275">
        <v>93</v>
      </c>
      <c r="G26" s="494">
        <f t="shared" si="0"/>
        <v>100</v>
      </c>
      <c r="H26" s="343"/>
      <c r="I26" s="343"/>
      <c r="J26" s="343"/>
      <c r="K26" s="343"/>
      <c r="L26" s="343"/>
    </row>
    <row r="27" spans="2:12" s="6" customFormat="1" ht="14.25" customHeight="1" x14ac:dyDescent="0.25">
      <c r="B27" s="229" t="s">
        <v>612</v>
      </c>
      <c r="C27" s="275">
        <v>195</v>
      </c>
      <c r="D27" s="275">
        <v>195</v>
      </c>
      <c r="E27" s="275">
        <v>195</v>
      </c>
      <c r="F27" s="275">
        <v>195</v>
      </c>
      <c r="G27" s="494">
        <f t="shared" si="0"/>
        <v>100</v>
      </c>
      <c r="H27" s="343"/>
      <c r="I27" s="343"/>
      <c r="J27" s="343"/>
      <c r="K27" s="343"/>
      <c r="L27" s="343"/>
    </row>
    <row r="28" spans="2:12" s="6" customFormat="1" ht="14.25" customHeight="1" x14ac:dyDescent="0.25">
      <c r="B28" s="229" t="s">
        <v>614</v>
      </c>
      <c r="C28" s="275">
        <v>2500</v>
      </c>
      <c r="D28" s="275">
        <v>2500</v>
      </c>
      <c r="E28" s="275">
        <v>2500</v>
      </c>
      <c r="F28" s="275">
        <v>2500</v>
      </c>
      <c r="G28" s="494">
        <f t="shared" si="0"/>
        <v>100</v>
      </c>
      <c r="H28" s="343"/>
      <c r="I28" s="343"/>
      <c r="J28" s="343"/>
      <c r="K28" s="343"/>
      <c r="L28" s="343"/>
    </row>
    <row r="29" spans="2:12" s="6" customFormat="1" ht="14.25" customHeight="1" x14ac:dyDescent="0.25">
      <c r="B29" s="229" t="s">
        <v>615</v>
      </c>
      <c r="C29" s="275">
        <v>2300</v>
      </c>
      <c r="D29" s="275">
        <f>2300-1300</f>
        <v>1000</v>
      </c>
      <c r="E29" s="275">
        <f>2300-1300</f>
        <v>1000</v>
      </c>
      <c r="F29" s="275">
        <v>328</v>
      </c>
      <c r="G29" s="494">
        <f t="shared" si="0"/>
        <v>32.800000000000004</v>
      </c>
      <c r="H29" s="343"/>
      <c r="I29" s="343"/>
      <c r="J29" s="343"/>
      <c r="K29" s="343"/>
      <c r="L29" s="343"/>
    </row>
    <row r="30" spans="2:12" s="6" customFormat="1" ht="14.25" customHeight="1" x14ac:dyDescent="0.25">
      <c r="B30" s="229" t="s">
        <v>618</v>
      </c>
      <c r="C30" s="275">
        <v>0</v>
      </c>
      <c r="D30" s="275">
        <v>0</v>
      </c>
      <c r="E30" s="275">
        <v>0</v>
      </c>
      <c r="F30" s="275">
        <v>0</v>
      </c>
      <c r="G30" s="494"/>
      <c r="H30" s="343"/>
      <c r="I30" s="343"/>
      <c r="J30" s="343"/>
      <c r="K30" s="343"/>
      <c r="L30" s="343"/>
    </row>
    <row r="31" spans="2:12" s="6" customFormat="1" ht="14.25" customHeight="1" x14ac:dyDescent="0.25">
      <c r="B31" s="229" t="s">
        <v>624</v>
      </c>
      <c r="C31" s="275">
        <v>2673</v>
      </c>
      <c r="D31" s="275">
        <f>2673-359-65-330</f>
        <v>1919</v>
      </c>
      <c r="E31" s="275">
        <f>(2673-359-65-330)-1201</f>
        <v>718</v>
      </c>
      <c r="F31" s="275">
        <v>0</v>
      </c>
      <c r="G31" s="494">
        <f t="shared" si="0"/>
        <v>0</v>
      </c>
      <c r="H31" s="343"/>
      <c r="I31" s="343"/>
      <c r="J31" s="343"/>
      <c r="K31" s="343"/>
      <c r="L31" s="343"/>
    </row>
    <row r="32" spans="2:12" s="6" customFormat="1" ht="14.25" customHeight="1" x14ac:dyDescent="0.25">
      <c r="B32" s="229" t="s">
        <v>409</v>
      </c>
      <c r="C32" s="275">
        <v>88</v>
      </c>
      <c r="D32" s="275">
        <v>88</v>
      </c>
      <c r="E32" s="275">
        <v>88</v>
      </c>
      <c r="F32" s="275">
        <v>88</v>
      </c>
      <c r="G32" s="494">
        <f t="shared" si="0"/>
        <v>100</v>
      </c>
      <c r="H32" s="343"/>
      <c r="I32" s="343"/>
      <c r="J32" s="343"/>
      <c r="K32" s="343"/>
      <c r="L32" s="343"/>
    </row>
    <row r="33" spans="2:12" s="6" customFormat="1" ht="14.25" customHeight="1" x14ac:dyDescent="0.25">
      <c r="B33" s="229" t="s">
        <v>613</v>
      </c>
      <c r="C33" s="275">
        <v>65</v>
      </c>
      <c r="D33" s="275">
        <v>65</v>
      </c>
      <c r="E33" s="275">
        <v>65</v>
      </c>
      <c r="F33" s="275">
        <v>63</v>
      </c>
      <c r="G33" s="494">
        <f t="shared" si="0"/>
        <v>96.92307692307692</v>
      </c>
      <c r="H33" s="343"/>
      <c r="I33" s="343"/>
      <c r="J33" s="343"/>
      <c r="K33" s="343"/>
      <c r="L33" s="343"/>
    </row>
    <row r="34" spans="2:12" s="6" customFormat="1" ht="14.25" customHeight="1" x14ac:dyDescent="0.25">
      <c r="B34" s="232" t="s">
        <v>617</v>
      </c>
      <c r="C34" s="386">
        <v>47</v>
      </c>
      <c r="D34" s="386">
        <v>47</v>
      </c>
      <c r="E34" s="386">
        <v>47</v>
      </c>
      <c r="F34" s="386">
        <v>47</v>
      </c>
      <c r="G34" s="494">
        <f t="shared" si="0"/>
        <v>100</v>
      </c>
      <c r="H34" s="343"/>
      <c r="I34" s="343"/>
      <c r="J34" s="343"/>
      <c r="K34" s="343"/>
      <c r="L34" s="343"/>
    </row>
    <row r="35" spans="2:12" s="6" customFormat="1" ht="14.25" customHeight="1" x14ac:dyDescent="0.25">
      <c r="B35" s="229" t="s">
        <v>607</v>
      </c>
      <c r="C35" s="275">
        <f>57+13</f>
        <v>70</v>
      </c>
      <c r="D35" s="275">
        <f>57+13</f>
        <v>70</v>
      </c>
      <c r="E35" s="275">
        <f>57+13</f>
        <v>70</v>
      </c>
      <c r="F35" s="275">
        <v>70</v>
      </c>
      <c r="G35" s="494">
        <f t="shared" si="0"/>
        <v>100</v>
      </c>
      <c r="H35" s="343"/>
      <c r="I35" s="343"/>
      <c r="J35" s="343"/>
      <c r="K35" s="343"/>
      <c r="L35" s="343"/>
    </row>
    <row r="36" spans="2:12" s="6" customFormat="1" ht="14.25" customHeight="1" x14ac:dyDescent="0.25">
      <c r="B36" s="23" t="s">
        <v>707</v>
      </c>
      <c r="C36" s="483">
        <v>0</v>
      </c>
      <c r="D36" s="483">
        <f>SUM(D37)</f>
        <v>100</v>
      </c>
      <c r="E36" s="483">
        <f>SUM(E37)</f>
        <v>100</v>
      </c>
      <c r="F36" s="483">
        <f>SUM(F37)</f>
        <v>50</v>
      </c>
      <c r="G36" s="494">
        <f t="shared" si="0"/>
        <v>50</v>
      </c>
      <c r="H36" s="343"/>
      <c r="I36" s="343"/>
      <c r="J36" s="343"/>
      <c r="K36" s="343"/>
      <c r="L36" s="343"/>
    </row>
    <row r="37" spans="2:12" s="6" customFormat="1" ht="14.25" customHeight="1" x14ac:dyDescent="0.25">
      <c r="B37" s="229" t="s">
        <v>658</v>
      </c>
      <c r="C37" s="275">
        <v>0</v>
      </c>
      <c r="D37" s="275">
        <v>100</v>
      </c>
      <c r="E37" s="275">
        <v>100</v>
      </c>
      <c r="F37" s="275">
        <v>50</v>
      </c>
      <c r="G37" s="494">
        <f t="shared" si="0"/>
        <v>50</v>
      </c>
      <c r="H37" s="343"/>
      <c r="I37" s="343"/>
      <c r="J37" s="343"/>
      <c r="K37" s="343"/>
      <c r="L37" s="343"/>
    </row>
    <row r="38" spans="2:12" s="6" customFormat="1" ht="14.25" customHeight="1" x14ac:dyDescent="0.25">
      <c r="B38" s="23" t="s">
        <v>708</v>
      </c>
      <c r="C38" s="483">
        <v>0</v>
      </c>
      <c r="D38" s="483">
        <f>SUM(D39)</f>
        <v>0</v>
      </c>
      <c r="E38" s="483">
        <f>SUM(E39)</f>
        <v>60</v>
      </c>
      <c r="F38" s="483">
        <f>SUM(F39)</f>
        <v>60</v>
      </c>
      <c r="G38" s="494">
        <f t="shared" si="0"/>
        <v>100</v>
      </c>
      <c r="H38" s="343"/>
      <c r="I38" s="343"/>
      <c r="J38" s="343"/>
      <c r="K38" s="343"/>
      <c r="L38" s="343"/>
    </row>
    <row r="39" spans="2:12" s="6" customFormat="1" ht="14.25" customHeight="1" thickBot="1" x14ac:dyDescent="0.3">
      <c r="B39" s="229" t="s">
        <v>710</v>
      </c>
      <c r="C39" s="275">
        <v>0</v>
      </c>
      <c r="D39" s="275">
        <v>0</v>
      </c>
      <c r="E39" s="275">
        <v>60</v>
      </c>
      <c r="F39" s="275">
        <v>60</v>
      </c>
      <c r="G39" s="494">
        <f t="shared" si="0"/>
        <v>100</v>
      </c>
      <c r="H39" s="343"/>
      <c r="I39" s="343"/>
      <c r="J39" s="343"/>
      <c r="K39" s="343"/>
      <c r="L39" s="343"/>
    </row>
    <row r="40" spans="2:12" s="6" customFormat="1" ht="16.5" customHeight="1" thickBot="1" x14ac:dyDescent="0.3">
      <c r="B40" s="34" t="s">
        <v>704</v>
      </c>
      <c r="C40" s="285">
        <f>SUM(C41:C42)+C45</f>
        <v>215</v>
      </c>
      <c r="D40" s="285">
        <f>SUM(D41:D42)+D45</f>
        <v>215</v>
      </c>
      <c r="E40" s="285">
        <f>SUM(E41:E42)+E45</f>
        <v>871</v>
      </c>
      <c r="F40" s="285">
        <f>SUM(F41:F42)+F45</f>
        <v>670</v>
      </c>
      <c r="G40" s="494">
        <f t="shared" si="0"/>
        <v>76.923076923076934</v>
      </c>
      <c r="H40" s="343"/>
      <c r="I40" s="343"/>
      <c r="J40" s="343"/>
      <c r="K40" s="343"/>
      <c r="L40" s="343"/>
    </row>
    <row r="41" spans="2:12" s="6" customFormat="1" ht="14.25" customHeight="1" x14ac:dyDescent="0.25">
      <c r="B41" s="23" t="s">
        <v>383</v>
      </c>
      <c r="C41" s="281">
        <v>0</v>
      </c>
      <c r="D41" s="281">
        <v>0</v>
      </c>
      <c r="E41" s="281">
        <v>0</v>
      </c>
      <c r="F41" s="281">
        <v>0</v>
      </c>
      <c r="G41" s="494"/>
      <c r="H41" s="490"/>
      <c r="I41" s="343"/>
      <c r="J41" s="343"/>
      <c r="K41" s="343"/>
      <c r="L41" s="343"/>
    </row>
    <row r="42" spans="2:12" x14ac:dyDescent="0.2">
      <c r="B42" s="23" t="s">
        <v>367</v>
      </c>
      <c r="C42" s="281">
        <f>SUM(C43:C44)</f>
        <v>215</v>
      </c>
      <c r="D42" s="281">
        <f>SUM(D43:D44)</f>
        <v>215</v>
      </c>
      <c r="E42" s="281">
        <f>SUM(E43:E44)</f>
        <v>215</v>
      </c>
      <c r="F42" s="281">
        <f>SUM(F43:F44)</f>
        <v>15</v>
      </c>
      <c r="G42" s="494">
        <f t="shared" si="0"/>
        <v>6.9767441860465116</v>
      </c>
    </row>
    <row r="43" spans="2:12" x14ac:dyDescent="0.2">
      <c r="B43" s="10" t="s">
        <v>480</v>
      </c>
      <c r="C43" s="282">
        <v>200</v>
      </c>
      <c r="D43" s="282">
        <v>200</v>
      </c>
      <c r="E43" s="282">
        <v>200</v>
      </c>
      <c r="F43" s="282">
        <v>0</v>
      </c>
      <c r="G43" s="494">
        <f t="shared" ref="G43:G48" si="1">(F43/E43)*100</f>
        <v>0</v>
      </c>
    </row>
    <row r="44" spans="2:12" x14ac:dyDescent="0.2">
      <c r="B44" s="10" t="s">
        <v>481</v>
      </c>
      <c r="C44" s="282">
        <v>15</v>
      </c>
      <c r="D44" s="282">
        <v>15</v>
      </c>
      <c r="E44" s="282">
        <v>15</v>
      </c>
      <c r="F44" s="282">
        <v>15</v>
      </c>
      <c r="G44" s="494">
        <f t="shared" si="1"/>
        <v>100</v>
      </c>
    </row>
    <row r="45" spans="2:12" ht="13.5" customHeight="1" x14ac:dyDescent="0.2">
      <c r="B45" s="23" t="s">
        <v>687</v>
      </c>
      <c r="C45" s="281">
        <f>SUM(C46:C47)</f>
        <v>0</v>
      </c>
      <c r="D45" s="281">
        <f>SUM(D46:D47)</f>
        <v>0</v>
      </c>
      <c r="E45" s="281">
        <f>SUM(E46:E47)</f>
        <v>656</v>
      </c>
      <c r="F45" s="281">
        <f>SUM(F46:F47)</f>
        <v>655</v>
      </c>
      <c r="G45" s="494">
        <f t="shared" si="1"/>
        <v>99.847560975609767</v>
      </c>
    </row>
    <row r="46" spans="2:12" ht="13.5" customHeight="1" thickBot="1" x14ac:dyDescent="0.25">
      <c r="B46" s="10" t="s">
        <v>688</v>
      </c>
      <c r="C46" s="282">
        <v>0</v>
      </c>
      <c r="D46" s="282">
        <v>0</v>
      </c>
      <c r="E46" s="282">
        <v>656</v>
      </c>
      <c r="F46" s="282">
        <v>655</v>
      </c>
      <c r="G46" s="494">
        <f t="shared" si="1"/>
        <v>99.847560975609767</v>
      </c>
    </row>
    <row r="47" spans="2:12" ht="13.5" hidden="1" customHeight="1" thickBot="1" x14ac:dyDescent="0.25">
      <c r="B47" s="10"/>
      <c r="C47" s="282"/>
      <c r="D47" s="282"/>
      <c r="E47" s="282"/>
      <c r="F47" s="282"/>
      <c r="G47" s="494" t="e">
        <f t="shared" si="1"/>
        <v>#DIV/0!</v>
      </c>
    </row>
    <row r="48" spans="2:12" ht="16.5" thickBot="1" x14ac:dyDescent="0.25">
      <c r="B48" s="302" t="s">
        <v>705</v>
      </c>
      <c r="C48" s="303">
        <f>SUM(C49:C54)</f>
        <v>150</v>
      </c>
      <c r="D48" s="488">
        <f>SUM(D49:D54)</f>
        <v>100</v>
      </c>
      <c r="E48" s="488">
        <f>SUM(E49:E54)</f>
        <v>100</v>
      </c>
      <c r="F48" s="488">
        <f>SUM(F49:F54)</f>
        <v>84</v>
      </c>
      <c r="G48" s="494">
        <f t="shared" si="1"/>
        <v>84</v>
      </c>
    </row>
    <row r="49" spans="2:12" ht="12.75" customHeight="1" x14ac:dyDescent="0.2">
      <c r="B49" s="24" t="s">
        <v>976</v>
      </c>
      <c r="C49" s="17">
        <v>126</v>
      </c>
      <c r="D49" s="17">
        <f>126-50</f>
        <v>76</v>
      </c>
      <c r="E49" s="17">
        <f>126-50</f>
        <v>76</v>
      </c>
      <c r="F49" s="17">
        <v>0</v>
      </c>
      <c r="G49" s="494"/>
    </row>
    <row r="50" spans="2:12" ht="12.75" customHeight="1" x14ac:dyDescent="0.2">
      <c r="B50" s="10" t="s">
        <v>977</v>
      </c>
      <c r="C50" s="17">
        <v>24</v>
      </c>
      <c r="D50" s="17">
        <v>24</v>
      </c>
      <c r="E50" s="17">
        <v>24</v>
      </c>
      <c r="F50" s="17">
        <v>24</v>
      </c>
      <c r="G50" s="494">
        <f>(F50/E50)*100</f>
        <v>100</v>
      </c>
    </row>
    <row r="51" spans="2:12" ht="12.75" customHeight="1" x14ac:dyDescent="0.2">
      <c r="B51" s="10" t="s">
        <v>978</v>
      </c>
      <c r="C51" s="17">
        <v>0</v>
      </c>
      <c r="D51" s="17">
        <v>0</v>
      </c>
      <c r="E51" s="17">
        <v>0</v>
      </c>
      <c r="F51" s="17">
        <v>5</v>
      </c>
      <c r="G51" s="494"/>
    </row>
    <row r="52" spans="2:12" ht="12.75" customHeight="1" thickBot="1" x14ac:dyDescent="0.25">
      <c r="B52" s="10" t="s">
        <v>979</v>
      </c>
      <c r="C52" s="282">
        <v>0</v>
      </c>
      <c r="D52" s="282">
        <v>0</v>
      </c>
      <c r="E52" s="282">
        <v>0</v>
      </c>
      <c r="F52" s="282">
        <v>55</v>
      </c>
      <c r="G52" s="494"/>
    </row>
    <row r="53" spans="2:12" ht="12.75" hidden="1" customHeight="1" x14ac:dyDescent="0.2">
      <c r="B53" s="10"/>
      <c r="C53" s="282">
        <v>0</v>
      </c>
      <c r="D53" s="282">
        <v>0</v>
      </c>
      <c r="E53" s="282">
        <v>0</v>
      </c>
      <c r="F53" s="282">
        <v>0</v>
      </c>
      <c r="G53" s="494"/>
    </row>
    <row r="54" spans="2:12" ht="13.5" hidden="1" customHeight="1" thickBot="1" x14ac:dyDescent="0.25">
      <c r="B54" s="10"/>
      <c r="C54" s="282">
        <v>0</v>
      </c>
      <c r="D54" s="282">
        <v>0</v>
      </c>
      <c r="E54" s="282">
        <v>0</v>
      </c>
      <c r="F54" s="282">
        <v>0</v>
      </c>
      <c r="G54" s="494"/>
    </row>
    <row r="55" spans="2:12" ht="16.5" thickBot="1" x14ac:dyDescent="0.3">
      <c r="B55" s="45" t="s">
        <v>408</v>
      </c>
      <c r="C55" s="285">
        <f>SUM(C7+C40+C48)</f>
        <v>14310</v>
      </c>
      <c r="D55" s="285">
        <f>SUM(D7+D40+D48)</f>
        <v>12647</v>
      </c>
      <c r="E55" s="285">
        <f>SUM(E7+E40+E48)</f>
        <v>10111</v>
      </c>
      <c r="F55" s="285">
        <f>SUM(F7+F40+F48)</f>
        <v>6854</v>
      </c>
      <c r="G55" s="494">
        <f>(F55/E55)*100</f>
        <v>67.787558105034122</v>
      </c>
    </row>
    <row r="56" spans="2:12" x14ac:dyDescent="0.2">
      <c r="B56" s="1"/>
      <c r="C56" s="1"/>
      <c r="D56" s="1"/>
      <c r="E56" s="1"/>
      <c r="F56" s="41"/>
      <c r="G56" s="9"/>
    </row>
    <row r="57" spans="2:12" x14ac:dyDescent="0.2">
      <c r="G57" s="9"/>
    </row>
    <row r="58" spans="2:12" ht="15.75" x14ac:dyDescent="0.25">
      <c r="B58" s="350" t="s">
        <v>482</v>
      </c>
      <c r="C58" s="350"/>
      <c r="D58" s="350"/>
      <c r="E58" s="350"/>
      <c r="F58" s="350"/>
      <c r="G58" s="9"/>
      <c r="H58"/>
      <c r="I58"/>
      <c r="J58"/>
      <c r="K58"/>
      <c r="L58"/>
    </row>
    <row r="59" spans="2:12" x14ac:dyDescent="0.2">
      <c r="B59" s="67" t="s">
        <v>483</v>
      </c>
      <c r="C59" s="67"/>
      <c r="D59" s="67"/>
      <c r="E59" s="67"/>
      <c r="F59" s="67"/>
      <c r="G59" s="9"/>
      <c r="H59"/>
      <c r="I59"/>
      <c r="J59"/>
      <c r="K59"/>
      <c r="L59"/>
    </row>
    <row r="60" spans="2:12" x14ac:dyDescent="0.2">
      <c r="B60" s="67" t="s">
        <v>484</v>
      </c>
      <c r="C60" s="67"/>
      <c r="D60" s="67"/>
      <c r="E60" s="67"/>
      <c r="F60" s="67"/>
      <c r="G60" s="9"/>
      <c r="H60"/>
      <c r="I60"/>
      <c r="J60"/>
      <c r="K60"/>
      <c r="L60"/>
    </row>
    <row r="61" spans="2:12" x14ac:dyDescent="0.2">
      <c r="B61" s="67" t="s">
        <v>485</v>
      </c>
      <c r="C61" s="67"/>
      <c r="D61" s="351"/>
      <c r="E61" s="351"/>
      <c r="F61" s="351"/>
      <c r="G61"/>
      <c r="H61"/>
      <c r="I61"/>
      <c r="J61"/>
      <c r="K61"/>
      <c r="L61"/>
    </row>
    <row r="62" spans="2:12" x14ac:dyDescent="0.2">
      <c r="B62" s="67" t="s">
        <v>486</v>
      </c>
      <c r="C62" s="67"/>
      <c r="D62" s="67"/>
      <c r="E62" s="67"/>
      <c r="F62" s="67"/>
      <c r="G62"/>
      <c r="H62"/>
      <c r="I62"/>
      <c r="J62"/>
      <c r="K62"/>
      <c r="L62"/>
    </row>
    <row r="63" spans="2:12" x14ac:dyDescent="0.2">
      <c r="B63" s="67" t="s">
        <v>487</v>
      </c>
      <c r="C63" s="67"/>
      <c r="D63" s="351"/>
      <c r="E63" s="351"/>
      <c r="F63" s="351"/>
      <c r="G63"/>
      <c r="H63"/>
      <c r="I63"/>
      <c r="J63"/>
      <c r="K63"/>
      <c r="L63"/>
    </row>
    <row r="64" spans="2:12" x14ac:dyDescent="0.2">
      <c r="B64" s="65" t="s">
        <v>488</v>
      </c>
      <c r="C64" s="65"/>
      <c r="D64" s="65"/>
      <c r="E64" s="65"/>
      <c r="F64" s="65"/>
      <c r="G64"/>
      <c r="H64"/>
      <c r="I64"/>
      <c r="J64"/>
      <c r="K64"/>
      <c r="L64"/>
    </row>
    <row r="65" spans="2:12" x14ac:dyDescent="0.2">
      <c r="B65" s="65" t="s">
        <v>489</v>
      </c>
      <c r="C65" s="65"/>
      <c r="D65" s="65"/>
      <c r="E65" s="65"/>
      <c r="F65" s="65"/>
      <c r="G65"/>
      <c r="H65"/>
      <c r="I65"/>
      <c r="J65"/>
      <c r="K65"/>
      <c r="L65"/>
    </row>
    <row r="66" spans="2:12" x14ac:dyDescent="0.2">
      <c r="G66"/>
      <c r="H66"/>
      <c r="I66"/>
      <c r="J66"/>
      <c r="K66"/>
      <c r="L66"/>
    </row>
  </sheetData>
  <mergeCells count="5">
    <mergeCell ref="E9:E17"/>
    <mergeCell ref="C9:C17"/>
    <mergeCell ref="D9:D17"/>
    <mergeCell ref="F9:F17"/>
    <mergeCell ref="B3:F3"/>
  </mergeCells>
  <phoneticPr fontId="12" type="noConversion"/>
  <pageMargins left="0.64" right="0.15748031496062992" top="0.35433070866141736" bottom="0.39370078740157483" header="0.31496062992125984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"/>
  <sheetViews>
    <sheetView zoomScale="120" zoomScaleNormal="120" workbookViewId="0">
      <selection activeCell="A3" sqref="A3:O3"/>
    </sheetView>
  </sheetViews>
  <sheetFormatPr defaultRowHeight="12.95" customHeight="1" x14ac:dyDescent="0.2"/>
  <cols>
    <col min="1" max="1" width="24.28515625" style="78" customWidth="1"/>
    <col min="2" max="2" width="10" style="92" customWidth="1"/>
    <col min="3" max="3" width="12" style="92" customWidth="1"/>
    <col min="4" max="4" width="10.7109375" style="92" customWidth="1"/>
    <col min="5" max="5" width="10.42578125" style="92" customWidth="1"/>
    <col min="6" max="6" width="11.7109375" style="92" customWidth="1"/>
    <col min="7" max="8" width="10.42578125" style="92" customWidth="1"/>
    <col min="9" max="9" width="10.140625" style="161" customWidth="1"/>
    <col min="10" max="10" width="9.85546875" style="92" customWidth="1"/>
    <col min="11" max="11" width="12.42578125" style="92" customWidth="1"/>
    <col min="12" max="12" width="9.42578125" style="92" customWidth="1"/>
    <col min="13" max="13" width="10.42578125" style="92" customWidth="1"/>
    <col min="14" max="14" width="12.28515625" style="92" customWidth="1"/>
    <col min="15" max="15" width="14" style="92" customWidth="1"/>
    <col min="16" max="16384" width="9.140625" style="78"/>
  </cols>
  <sheetData>
    <row r="1" spans="1:27" ht="15" customHeight="1" x14ac:dyDescent="0.2">
      <c r="A1" s="630" t="s">
        <v>594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</row>
    <row r="2" spans="1:27" ht="15" customHeight="1" x14ac:dyDescent="0.2">
      <c r="A2" s="389"/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96" t="str">
        <f>'1.Bev-kiad.'!F2</f>
        <v>a 3/2021.(V.28.) önkormányzati rendelethez</v>
      </c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</row>
    <row r="3" spans="1:27" ht="15" customHeight="1" x14ac:dyDescent="0.2">
      <c r="A3" s="631" t="s">
        <v>595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</row>
    <row r="4" spans="1:27" ht="15" customHeight="1" x14ac:dyDescent="0.2">
      <c r="A4" s="87"/>
      <c r="B4" s="88"/>
      <c r="C4" s="88"/>
      <c r="D4" s="88"/>
      <c r="E4" s="89"/>
      <c r="F4" s="89"/>
      <c r="G4" s="89"/>
      <c r="H4" s="89"/>
      <c r="I4" s="89"/>
      <c r="J4" s="90"/>
      <c r="K4" s="90"/>
      <c r="L4" s="91"/>
      <c r="M4" s="91"/>
      <c r="N4" s="91"/>
      <c r="O4" s="91"/>
      <c r="P4" s="92"/>
    </row>
    <row r="5" spans="1:27" ht="12" customHeight="1" x14ac:dyDescent="0.2">
      <c r="A5" s="93"/>
      <c r="B5" s="91"/>
      <c r="C5" s="91"/>
      <c r="D5" s="91"/>
      <c r="E5" s="91"/>
      <c r="F5" s="91"/>
      <c r="G5" s="91"/>
      <c r="H5" s="91"/>
      <c r="I5" s="160"/>
      <c r="J5" s="91"/>
      <c r="K5" s="91"/>
      <c r="L5" s="91"/>
      <c r="M5" s="91"/>
      <c r="N5" s="91"/>
      <c r="O5" s="219" t="s">
        <v>0</v>
      </c>
      <c r="P5" s="92"/>
    </row>
    <row r="6" spans="1:27" ht="18" customHeight="1" x14ac:dyDescent="0.2">
      <c r="A6" s="629" t="s">
        <v>37</v>
      </c>
      <c r="B6" s="633" t="s">
        <v>737</v>
      </c>
      <c r="C6" s="634"/>
      <c r="D6" s="634"/>
      <c r="E6" s="634"/>
      <c r="F6" s="634"/>
      <c r="G6" s="634"/>
      <c r="H6" s="634"/>
      <c r="I6" s="634"/>
      <c r="J6" s="634"/>
      <c r="K6" s="634"/>
      <c r="L6" s="634"/>
      <c r="M6" s="634"/>
      <c r="N6" s="634"/>
      <c r="O6" s="635"/>
    </row>
    <row r="7" spans="1:27" ht="16.5" customHeight="1" x14ac:dyDescent="0.2">
      <c r="A7" s="629"/>
      <c r="B7" s="629" t="s">
        <v>43</v>
      </c>
      <c r="C7" s="629"/>
      <c r="D7" s="629"/>
      <c r="E7" s="629"/>
      <c r="F7" s="629"/>
      <c r="G7" s="629"/>
      <c r="H7" s="629"/>
      <c r="I7" s="629"/>
      <c r="J7" s="629" t="s">
        <v>328</v>
      </c>
      <c r="K7" s="629"/>
      <c r="L7" s="629"/>
      <c r="M7" s="629"/>
      <c r="N7" s="629"/>
      <c r="O7" s="636" t="s">
        <v>44</v>
      </c>
    </row>
    <row r="8" spans="1:27" ht="51" customHeight="1" x14ac:dyDescent="0.2">
      <c r="A8" s="629"/>
      <c r="B8" s="629" t="s">
        <v>329</v>
      </c>
      <c r="C8" s="629" t="s">
        <v>330</v>
      </c>
      <c r="D8" s="629"/>
      <c r="E8" s="629" t="s">
        <v>331</v>
      </c>
      <c r="F8" s="629" t="s">
        <v>332</v>
      </c>
      <c r="G8" s="637" t="s">
        <v>732</v>
      </c>
      <c r="H8" s="637" t="s">
        <v>733</v>
      </c>
      <c r="I8" s="629" t="s">
        <v>4</v>
      </c>
      <c r="J8" s="629" t="s">
        <v>385</v>
      </c>
      <c r="K8" s="629" t="s">
        <v>366</v>
      </c>
      <c r="L8" s="629" t="s">
        <v>402</v>
      </c>
      <c r="M8" s="629" t="s">
        <v>457</v>
      </c>
      <c r="N8" s="629" t="s">
        <v>9</v>
      </c>
      <c r="O8" s="636"/>
    </row>
    <row r="9" spans="1:27" ht="36" customHeight="1" x14ac:dyDescent="0.2">
      <c r="A9" s="629"/>
      <c r="B9" s="629"/>
      <c r="C9" s="76" t="s">
        <v>45</v>
      </c>
      <c r="D9" s="76" t="s">
        <v>46</v>
      </c>
      <c r="E9" s="629"/>
      <c r="F9" s="629"/>
      <c r="G9" s="638"/>
      <c r="H9" s="638"/>
      <c r="I9" s="629"/>
      <c r="J9" s="629"/>
      <c r="K9" s="629"/>
      <c r="L9" s="629"/>
      <c r="M9" s="629"/>
      <c r="N9" s="629"/>
      <c r="O9" s="636"/>
    </row>
    <row r="10" spans="1:27" ht="19.5" customHeight="1" x14ac:dyDescent="0.2">
      <c r="A10" s="27" t="s">
        <v>441</v>
      </c>
      <c r="B10" s="94"/>
      <c r="C10" s="94"/>
      <c r="D10" s="94"/>
      <c r="E10" s="94"/>
      <c r="F10" s="94"/>
      <c r="G10" s="94"/>
      <c r="H10" s="94"/>
      <c r="I10" s="94"/>
      <c r="J10" s="94">
        <f>SUM('3.felh'!C12)</f>
        <v>3448</v>
      </c>
      <c r="K10" s="94"/>
      <c r="L10" s="94"/>
      <c r="M10" s="94">
        <f>SUM('3.felh'!C34)</f>
        <v>0</v>
      </c>
      <c r="N10" s="94">
        <f t="shared" ref="N10:N16" si="0">SUM(J10:M10)</f>
        <v>3448</v>
      </c>
      <c r="O10" s="95">
        <f>SUM(N10+I10)</f>
        <v>3448</v>
      </c>
    </row>
    <row r="11" spans="1:27" ht="25.5" x14ac:dyDescent="0.2">
      <c r="A11" s="269" t="s">
        <v>678</v>
      </c>
      <c r="B11" s="94"/>
      <c r="C11" s="94"/>
      <c r="D11" s="94"/>
      <c r="E11" s="94"/>
      <c r="F11" s="94"/>
      <c r="G11" s="94"/>
      <c r="H11" s="94"/>
      <c r="I11" s="94"/>
      <c r="J11" s="94">
        <f>SUM('3.felh'!D12)</f>
        <v>11440</v>
      </c>
      <c r="K11" s="94"/>
      <c r="L11" s="94"/>
      <c r="M11" s="94">
        <f>SUM('3.felh'!D34)</f>
        <v>0</v>
      </c>
      <c r="N11" s="94">
        <f t="shared" si="0"/>
        <v>11440</v>
      </c>
      <c r="O11" s="95">
        <f>SUM(N11+I11)</f>
        <v>11440</v>
      </c>
    </row>
    <row r="12" spans="1:27" ht="25.5" x14ac:dyDescent="0.2">
      <c r="A12" s="269" t="s">
        <v>629</v>
      </c>
      <c r="B12" s="94"/>
      <c r="C12" s="94"/>
      <c r="D12" s="94"/>
      <c r="E12" s="94"/>
      <c r="F12" s="94"/>
      <c r="G12" s="94"/>
      <c r="H12" s="94"/>
      <c r="I12" s="94"/>
      <c r="J12" s="94">
        <f>SUM('3.felh'!E12)</f>
        <v>20545</v>
      </c>
      <c r="K12" s="94"/>
      <c r="L12" s="94"/>
      <c r="M12" s="94">
        <f>SUM('3.felh'!E34)</f>
        <v>0</v>
      </c>
      <c r="N12" s="94">
        <f t="shared" si="0"/>
        <v>20545</v>
      </c>
      <c r="O12" s="95">
        <f>SUM(N12+I12)</f>
        <v>20545</v>
      </c>
    </row>
    <row r="13" spans="1:27" ht="25.5" x14ac:dyDescent="0.2">
      <c r="A13" s="269" t="s">
        <v>730</v>
      </c>
      <c r="B13" s="94"/>
      <c r="C13" s="94"/>
      <c r="D13" s="94"/>
      <c r="E13" s="94"/>
      <c r="F13" s="94"/>
      <c r="G13" s="94"/>
      <c r="H13" s="94"/>
      <c r="I13" s="94"/>
      <c r="J13" s="94">
        <f>SUM('3.felh'!F12)</f>
        <v>20545</v>
      </c>
      <c r="K13" s="94"/>
      <c r="L13" s="94"/>
      <c r="M13" s="94">
        <f>SUM('3.felh'!F34)</f>
        <v>0</v>
      </c>
      <c r="N13" s="94">
        <f>SUM(J13:M13)</f>
        <v>20545</v>
      </c>
      <c r="O13" s="95">
        <f>SUM(N13+I13)</f>
        <v>20545</v>
      </c>
    </row>
    <row r="14" spans="1:27" ht="19.5" customHeight="1" x14ac:dyDescent="0.2">
      <c r="A14" s="27" t="s">
        <v>438</v>
      </c>
      <c r="B14" s="94">
        <f>SUM('2.működés'!D71)</f>
        <v>1811</v>
      </c>
      <c r="C14" s="94">
        <f>SUM('2.működés'!D8)</f>
        <v>25846</v>
      </c>
      <c r="D14" s="94"/>
      <c r="E14" s="94">
        <f>SUM('2.működés'!D57)</f>
        <v>6905</v>
      </c>
      <c r="F14" s="94">
        <f>SUM('2.működés'!D83)</f>
        <v>24</v>
      </c>
      <c r="G14" s="94">
        <f>SUM('2.működés'!D90)</f>
        <v>4256</v>
      </c>
      <c r="H14" s="94">
        <f>SUM('2.működés'!D92)</f>
        <v>3222</v>
      </c>
      <c r="I14" s="95">
        <f>SUM(B14:H14)</f>
        <v>42064</v>
      </c>
      <c r="J14" s="94"/>
      <c r="K14" s="94">
        <v>0</v>
      </c>
      <c r="L14" s="94">
        <f>SUM('3.felh'!C31)</f>
        <v>3011</v>
      </c>
      <c r="M14" s="94"/>
      <c r="N14" s="94">
        <f t="shared" si="0"/>
        <v>3011</v>
      </c>
      <c r="O14" s="95">
        <f>SUM(N14,I14)</f>
        <v>45075</v>
      </c>
    </row>
    <row r="15" spans="1:27" ht="25.5" x14ac:dyDescent="0.2">
      <c r="A15" s="342" t="s">
        <v>679</v>
      </c>
      <c r="B15" s="94">
        <f>SUM('2.működés'!E71)</f>
        <v>1933</v>
      </c>
      <c r="C15" s="94">
        <f>SUM('2.működés'!E8)</f>
        <v>29548</v>
      </c>
      <c r="D15" s="94"/>
      <c r="E15" s="94">
        <f>SUM('2.működés'!E57)</f>
        <v>7075</v>
      </c>
      <c r="F15" s="94">
        <f>SUM('2.működés'!E83)</f>
        <v>24</v>
      </c>
      <c r="G15" s="94">
        <f>SUM('2.működés'!E90)</f>
        <v>2484</v>
      </c>
      <c r="H15" s="94">
        <f>SUM('2.működés'!E92)</f>
        <v>3222</v>
      </c>
      <c r="I15" s="95">
        <f>SUM(B15:H15)</f>
        <v>44286</v>
      </c>
      <c r="J15" s="94"/>
      <c r="K15" s="94">
        <v>0</v>
      </c>
      <c r="L15" s="94">
        <f>SUM('3.felh'!D31)</f>
        <v>3011</v>
      </c>
      <c r="M15" s="94"/>
      <c r="N15" s="94">
        <f t="shared" si="0"/>
        <v>3011</v>
      </c>
      <c r="O15" s="95">
        <f>SUM(N15,I15)</f>
        <v>47297</v>
      </c>
    </row>
    <row r="16" spans="1:27" ht="25.5" x14ac:dyDescent="0.2">
      <c r="A16" s="342" t="s">
        <v>630</v>
      </c>
      <c r="B16" s="94">
        <f>SUM('2.működés'!F71)</f>
        <v>2144</v>
      </c>
      <c r="C16" s="94">
        <f>SUM('2.működés'!F8)</f>
        <v>31178</v>
      </c>
      <c r="D16" s="94"/>
      <c r="E16" s="94">
        <f>SUM('2.működés'!F57)</f>
        <v>7165</v>
      </c>
      <c r="F16" s="94">
        <f>SUM('2.működés'!F83)</f>
        <v>174</v>
      </c>
      <c r="G16" s="94">
        <f>SUM('2.működés'!F90)+'2.működés'!F91</f>
        <v>3364</v>
      </c>
      <c r="H16" s="94">
        <f>SUM('2.működés'!F92)</f>
        <v>0</v>
      </c>
      <c r="I16" s="95">
        <f>SUM(B16:G16)</f>
        <v>44025</v>
      </c>
      <c r="J16" s="94"/>
      <c r="K16" s="94">
        <v>0</v>
      </c>
      <c r="L16" s="94">
        <f>SUM('3.felh'!E31)</f>
        <v>3011</v>
      </c>
      <c r="M16" s="94"/>
      <c r="N16" s="94">
        <f t="shared" si="0"/>
        <v>3011</v>
      </c>
      <c r="O16" s="95">
        <f>SUM(N16,I16)</f>
        <v>47036</v>
      </c>
    </row>
    <row r="17" spans="1:15" ht="25.5" x14ac:dyDescent="0.2">
      <c r="A17" s="342" t="s">
        <v>731</v>
      </c>
      <c r="B17" s="94">
        <f>SUM('2.működés'!G71)</f>
        <v>1969</v>
      </c>
      <c r="C17" s="94">
        <f>SUM('2.működés'!G8)</f>
        <v>31176</v>
      </c>
      <c r="D17" s="94"/>
      <c r="E17" s="94">
        <f>SUM('2.működés'!G57)</f>
        <v>8258</v>
      </c>
      <c r="F17" s="94">
        <f>SUM('2.működés'!G83)</f>
        <v>134</v>
      </c>
      <c r="G17" s="94">
        <f>SUM('2.működés'!G90)+'2.működés'!G91</f>
        <v>3826</v>
      </c>
      <c r="H17" s="94">
        <f>SUM('2.működés'!G92)</f>
        <v>0</v>
      </c>
      <c r="I17" s="95">
        <f>SUM(B17:G17)</f>
        <v>45363</v>
      </c>
      <c r="J17" s="94"/>
      <c r="K17" s="94">
        <v>0</v>
      </c>
      <c r="L17" s="94">
        <f>SUM('3.felh'!F31)</f>
        <v>3011</v>
      </c>
      <c r="M17" s="94"/>
      <c r="N17" s="94">
        <f>SUM(J17:M17)</f>
        <v>3011</v>
      </c>
      <c r="O17" s="95">
        <f>SUM(N17,I17)</f>
        <v>48374</v>
      </c>
    </row>
    <row r="18" spans="1:15" ht="19.5" customHeight="1" thickBot="1" x14ac:dyDescent="0.25">
      <c r="A18" s="27" t="s">
        <v>440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</row>
    <row r="19" spans="1:15" ht="30" customHeight="1" thickBot="1" x14ac:dyDescent="0.25">
      <c r="A19" s="157" t="s">
        <v>439</v>
      </c>
      <c r="B19" s="158">
        <f t="shared" ref="B19:O19" si="1">B14+B10</f>
        <v>1811</v>
      </c>
      <c r="C19" s="158">
        <f t="shared" si="1"/>
        <v>25846</v>
      </c>
      <c r="D19" s="158">
        <f t="shared" si="1"/>
        <v>0</v>
      </c>
      <c r="E19" s="158">
        <f t="shared" si="1"/>
        <v>6905</v>
      </c>
      <c r="F19" s="158">
        <f t="shared" si="1"/>
        <v>24</v>
      </c>
      <c r="G19" s="158">
        <f t="shared" si="1"/>
        <v>4256</v>
      </c>
      <c r="H19" s="158">
        <f t="shared" si="1"/>
        <v>3222</v>
      </c>
      <c r="I19" s="158">
        <f t="shared" si="1"/>
        <v>42064</v>
      </c>
      <c r="J19" s="158">
        <f t="shared" si="1"/>
        <v>3448</v>
      </c>
      <c r="K19" s="158">
        <f t="shared" si="1"/>
        <v>0</v>
      </c>
      <c r="L19" s="158">
        <f t="shared" si="1"/>
        <v>3011</v>
      </c>
      <c r="M19" s="158">
        <f t="shared" si="1"/>
        <v>0</v>
      </c>
      <c r="N19" s="158">
        <f t="shared" si="1"/>
        <v>6459</v>
      </c>
      <c r="O19" s="158">
        <f t="shared" si="1"/>
        <v>48523</v>
      </c>
    </row>
    <row r="20" spans="1:15" ht="48" thickBot="1" x14ac:dyDescent="0.25">
      <c r="A20" s="157" t="s">
        <v>680</v>
      </c>
      <c r="B20" s="158">
        <f t="shared" ref="B20:O20" si="2">B15+B11</f>
        <v>1933</v>
      </c>
      <c r="C20" s="158">
        <f t="shared" si="2"/>
        <v>29548</v>
      </c>
      <c r="D20" s="158">
        <f t="shared" si="2"/>
        <v>0</v>
      </c>
      <c r="E20" s="158">
        <f t="shared" si="2"/>
        <v>7075</v>
      </c>
      <c r="F20" s="158">
        <f t="shared" si="2"/>
        <v>24</v>
      </c>
      <c r="G20" s="158">
        <f t="shared" si="2"/>
        <v>2484</v>
      </c>
      <c r="H20" s="158">
        <f t="shared" si="2"/>
        <v>3222</v>
      </c>
      <c r="I20" s="158">
        <f t="shared" si="2"/>
        <v>44286</v>
      </c>
      <c r="J20" s="158">
        <f t="shared" si="2"/>
        <v>11440</v>
      </c>
      <c r="K20" s="158">
        <f t="shared" si="2"/>
        <v>0</v>
      </c>
      <c r="L20" s="158">
        <f t="shared" si="2"/>
        <v>3011</v>
      </c>
      <c r="M20" s="158">
        <f t="shared" si="2"/>
        <v>0</v>
      </c>
      <c r="N20" s="158">
        <f t="shared" si="2"/>
        <v>14451</v>
      </c>
      <c r="O20" s="158">
        <f t="shared" si="2"/>
        <v>58737</v>
      </c>
    </row>
    <row r="21" spans="1:15" ht="48" thickBot="1" x14ac:dyDescent="0.25">
      <c r="A21" s="157" t="s">
        <v>631</v>
      </c>
      <c r="B21" s="158">
        <f t="shared" ref="B21:O22" si="3">B16+B12</f>
        <v>2144</v>
      </c>
      <c r="C21" s="158">
        <f t="shared" si="3"/>
        <v>31178</v>
      </c>
      <c r="D21" s="158">
        <f t="shared" si="3"/>
        <v>0</v>
      </c>
      <c r="E21" s="158">
        <f t="shared" si="3"/>
        <v>7165</v>
      </c>
      <c r="F21" s="158">
        <f t="shared" si="3"/>
        <v>174</v>
      </c>
      <c r="G21" s="158">
        <f t="shared" si="3"/>
        <v>3364</v>
      </c>
      <c r="H21" s="158">
        <f t="shared" si="3"/>
        <v>0</v>
      </c>
      <c r="I21" s="158">
        <f t="shared" si="3"/>
        <v>44025</v>
      </c>
      <c r="J21" s="158">
        <f t="shared" si="3"/>
        <v>20545</v>
      </c>
      <c r="K21" s="158">
        <f t="shared" si="3"/>
        <v>0</v>
      </c>
      <c r="L21" s="158">
        <f t="shared" si="3"/>
        <v>3011</v>
      </c>
      <c r="M21" s="158">
        <f t="shared" si="3"/>
        <v>0</v>
      </c>
      <c r="N21" s="158">
        <f t="shared" si="3"/>
        <v>23556</v>
      </c>
      <c r="O21" s="158">
        <f t="shared" si="3"/>
        <v>67581</v>
      </c>
    </row>
    <row r="22" spans="1:15" ht="48" thickBot="1" x14ac:dyDescent="0.25">
      <c r="A22" s="157" t="s">
        <v>734</v>
      </c>
      <c r="B22" s="158">
        <f t="shared" si="3"/>
        <v>1969</v>
      </c>
      <c r="C22" s="158">
        <f t="shared" si="3"/>
        <v>31176</v>
      </c>
      <c r="D22" s="158">
        <f t="shared" si="3"/>
        <v>0</v>
      </c>
      <c r="E22" s="158">
        <f t="shared" si="3"/>
        <v>8258</v>
      </c>
      <c r="F22" s="158">
        <f t="shared" si="3"/>
        <v>134</v>
      </c>
      <c r="G22" s="158">
        <f t="shared" si="3"/>
        <v>3826</v>
      </c>
      <c r="H22" s="158">
        <f t="shared" si="3"/>
        <v>0</v>
      </c>
      <c r="I22" s="158">
        <f t="shared" si="3"/>
        <v>45363</v>
      </c>
      <c r="J22" s="158">
        <f t="shared" si="3"/>
        <v>20545</v>
      </c>
      <c r="K22" s="158">
        <f t="shared" si="3"/>
        <v>0</v>
      </c>
      <c r="L22" s="158">
        <f t="shared" si="3"/>
        <v>3011</v>
      </c>
      <c r="M22" s="158">
        <f t="shared" si="3"/>
        <v>0</v>
      </c>
      <c r="N22" s="158">
        <f t="shared" si="3"/>
        <v>23556</v>
      </c>
      <c r="O22" s="158">
        <f t="shared" si="3"/>
        <v>68919</v>
      </c>
    </row>
    <row r="23" spans="1:15" s="270" customFormat="1" ht="12.95" customHeight="1" x14ac:dyDescent="0.2">
      <c r="A23" s="270" t="s">
        <v>738</v>
      </c>
      <c r="B23" s="299">
        <f>SUM(B22/B21)*100</f>
        <v>91.837686567164184</v>
      </c>
      <c r="C23" s="299">
        <f t="shared" ref="C23:O23" si="4">SUM(C22/C21)*100</f>
        <v>99.993585220347683</v>
      </c>
      <c r="D23" s="299"/>
      <c r="E23" s="299">
        <f t="shared" si="4"/>
        <v>115.25471039776691</v>
      </c>
      <c r="F23" s="299">
        <f t="shared" si="4"/>
        <v>77.011494252873561</v>
      </c>
      <c r="G23" s="299">
        <f t="shared" si="4"/>
        <v>113.73365041617123</v>
      </c>
      <c r="H23" s="299"/>
      <c r="I23" s="299">
        <f t="shared" si="4"/>
        <v>103.03918228279387</v>
      </c>
      <c r="J23" s="299">
        <f t="shared" si="4"/>
        <v>100</v>
      </c>
      <c r="K23" s="299"/>
      <c r="L23" s="299">
        <f t="shared" si="4"/>
        <v>100</v>
      </c>
      <c r="M23" s="299"/>
      <c r="N23" s="299">
        <f t="shared" si="4"/>
        <v>100</v>
      </c>
      <c r="O23" s="299">
        <f t="shared" si="4"/>
        <v>101.97984640653439</v>
      </c>
    </row>
  </sheetData>
  <mergeCells count="19">
    <mergeCell ref="C8:D8"/>
    <mergeCell ref="L8:L9"/>
    <mergeCell ref="K8:K9"/>
    <mergeCell ref="E8:E9"/>
    <mergeCell ref="F8:F9"/>
    <mergeCell ref="G8:G9"/>
    <mergeCell ref="I8:I9"/>
    <mergeCell ref="J8:J9"/>
    <mergeCell ref="H8:H9"/>
    <mergeCell ref="M8:M9"/>
    <mergeCell ref="N8:N9"/>
    <mergeCell ref="A1:O1"/>
    <mergeCell ref="A3:O3"/>
    <mergeCell ref="A6:A9"/>
    <mergeCell ref="B6:O6"/>
    <mergeCell ref="B7:I7"/>
    <mergeCell ref="J7:N7"/>
    <mergeCell ref="O7:O9"/>
    <mergeCell ref="B8:B9"/>
  </mergeCells>
  <printOptions horizontalCentered="1"/>
  <pageMargins left="0.17" right="0.15748031496062992" top="0.35433070866141736" bottom="0.15748031496062992" header="0.15748031496062992" footer="0.11811023622047245"/>
  <pageSetup paperSize="9" scale="80" orientation="landscape" horizontalDpi="4294967292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zoomScaleNormal="100" workbookViewId="0">
      <selection activeCell="H8" sqref="H8:H9"/>
    </sheetView>
  </sheetViews>
  <sheetFormatPr defaultRowHeight="12.75" x14ac:dyDescent="0.2"/>
  <cols>
    <col min="1" max="1" width="24.28515625" style="80" customWidth="1"/>
    <col min="2" max="2" width="9.85546875" style="74" bestFit="1" customWidth="1"/>
    <col min="3" max="3" width="9.42578125" style="74" customWidth="1"/>
    <col min="4" max="4" width="9.85546875" style="74" bestFit="1" customWidth="1"/>
    <col min="5" max="5" width="9.28515625" style="74" bestFit="1" customWidth="1"/>
    <col min="6" max="6" width="10.42578125" style="74" customWidth="1"/>
    <col min="7" max="8" width="10.28515625" style="74" customWidth="1"/>
    <col min="9" max="9" width="9.85546875" style="74" customWidth="1"/>
    <col min="10" max="10" width="10" style="74" customWidth="1"/>
    <col min="11" max="12" width="9.28515625" style="74" bestFit="1" customWidth="1"/>
    <col min="13" max="13" width="11.5703125" style="74" customWidth="1"/>
    <col min="14" max="14" width="12.140625" style="74" customWidth="1"/>
    <col min="15" max="15" width="7.85546875" style="70" hidden="1" customWidth="1"/>
    <col min="16" max="16" width="7.28515625" style="70" customWidth="1"/>
    <col min="17" max="16384" width="9.140625" style="70"/>
  </cols>
  <sheetData>
    <row r="1" spans="1:19" ht="15" customHeight="1" x14ac:dyDescent="0.2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 t="s">
        <v>596</v>
      </c>
      <c r="O1" s="68"/>
      <c r="P1" s="69"/>
      <c r="Q1" s="69"/>
      <c r="R1" s="69"/>
      <c r="S1" s="69"/>
    </row>
    <row r="2" spans="1:19" ht="15" customHeight="1" x14ac:dyDescent="0.2">
      <c r="A2" s="139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219" t="str">
        <f>'1.Bev-kiad.'!F2</f>
        <v>a 3/2021.(V.28.) önkormányzati rendelethez</v>
      </c>
      <c r="O2" s="68"/>
      <c r="P2" s="69"/>
      <c r="Q2" s="69"/>
      <c r="R2" s="69"/>
      <c r="S2" s="69"/>
    </row>
    <row r="3" spans="1:19" ht="38.25" customHeight="1" x14ac:dyDescent="0.2">
      <c r="A3" s="645" t="s">
        <v>987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71"/>
      <c r="P3" s="69"/>
      <c r="Q3" s="69"/>
      <c r="R3" s="69"/>
      <c r="S3" s="69"/>
    </row>
    <row r="4" spans="1:19" ht="15" customHeight="1" x14ac:dyDescent="0.2">
      <c r="A4" s="141"/>
      <c r="B4" s="142"/>
      <c r="C4" s="143"/>
      <c r="D4" s="144"/>
      <c r="E4" s="144"/>
      <c r="F4" s="72"/>
      <c r="G4" s="72"/>
      <c r="H4" s="72"/>
      <c r="I4" s="72"/>
      <c r="J4" s="72"/>
      <c r="K4" s="72"/>
      <c r="L4" s="72"/>
      <c r="M4" s="72"/>
      <c r="N4" s="72"/>
      <c r="O4" s="73"/>
      <c r="Q4" s="74"/>
    </row>
    <row r="5" spans="1:19" ht="15" customHeight="1" thickBot="1" x14ac:dyDescent="0.25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220" t="s">
        <v>0</v>
      </c>
      <c r="O5" s="75"/>
    </row>
    <row r="6" spans="1:19" ht="18" customHeight="1" x14ac:dyDescent="0.2">
      <c r="A6" s="629" t="s">
        <v>79</v>
      </c>
      <c r="B6" s="647" t="s">
        <v>737</v>
      </c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8" t="s">
        <v>27</v>
      </c>
      <c r="P6" s="639" t="s">
        <v>83</v>
      </c>
    </row>
    <row r="7" spans="1:19" ht="23.25" customHeight="1" x14ac:dyDescent="0.2">
      <c r="A7" s="629"/>
      <c r="B7" s="654" t="s">
        <v>28</v>
      </c>
      <c r="C7" s="656"/>
      <c r="D7" s="656"/>
      <c r="E7" s="656"/>
      <c r="F7" s="656"/>
      <c r="G7" s="657"/>
      <c r="H7" s="658"/>
      <c r="I7" s="651" t="s">
        <v>29</v>
      </c>
      <c r="J7" s="652" t="s">
        <v>30</v>
      </c>
      <c r="K7" s="652"/>
      <c r="L7" s="652"/>
      <c r="M7" s="652"/>
      <c r="N7" s="653" t="s">
        <v>327</v>
      </c>
      <c r="O7" s="649"/>
      <c r="P7" s="640"/>
    </row>
    <row r="8" spans="1:19" ht="62.25" customHeight="1" x14ac:dyDescent="0.2">
      <c r="A8" s="629"/>
      <c r="B8" s="643" t="s">
        <v>31</v>
      </c>
      <c r="C8" s="643" t="s">
        <v>80</v>
      </c>
      <c r="D8" s="643" t="s">
        <v>32</v>
      </c>
      <c r="E8" s="643" t="s">
        <v>406</v>
      </c>
      <c r="F8" s="654" t="s">
        <v>33</v>
      </c>
      <c r="G8" s="655"/>
      <c r="H8" s="643" t="s">
        <v>393</v>
      </c>
      <c r="I8" s="651"/>
      <c r="J8" s="643" t="s">
        <v>34</v>
      </c>
      <c r="K8" s="643" t="s">
        <v>35</v>
      </c>
      <c r="L8" s="643" t="s">
        <v>36</v>
      </c>
      <c r="M8" s="642" t="s">
        <v>10</v>
      </c>
      <c r="N8" s="653"/>
      <c r="O8" s="649"/>
      <c r="P8" s="640"/>
    </row>
    <row r="9" spans="1:19" ht="30.75" customHeight="1" thickBot="1" x14ac:dyDescent="0.25">
      <c r="A9" s="629"/>
      <c r="B9" s="644"/>
      <c r="C9" s="644"/>
      <c r="D9" s="644"/>
      <c r="E9" s="644"/>
      <c r="F9" s="224" t="s">
        <v>326</v>
      </c>
      <c r="G9" s="224" t="s">
        <v>325</v>
      </c>
      <c r="H9" s="644"/>
      <c r="I9" s="651"/>
      <c r="J9" s="644"/>
      <c r="K9" s="644"/>
      <c r="L9" s="644"/>
      <c r="M9" s="642"/>
      <c r="N9" s="653"/>
      <c r="O9" s="650"/>
      <c r="P9" s="641"/>
    </row>
    <row r="10" spans="1:19" s="307" customFormat="1" ht="19.5" customHeight="1" x14ac:dyDescent="0.2">
      <c r="A10" s="27" t="str">
        <f>'5.Bev.össz.'!A14</f>
        <v xml:space="preserve">     Kötelező (eredeti)</v>
      </c>
      <c r="B10" s="155">
        <f>SUM('2.működés'!D96)</f>
        <v>12558</v>
      </c>
      <c r="C10" s="155">
        <f>SUM('2.működés'!D97)</f>
        <v>1930</v>
      </c>
      <c r="D10" s="155">
        <f>SUM('2.működés'!D98)</f>
        <v>13645</v>
      </c>
      <c r="E10" s="155">
        <f>SUM('2.működés'!D99)</f>
        <v>4740</v>
      </c>
      <c r="F10" s="155">
        <f>SUM('4. Átadott p.eszk.'!C8)+'4. Átadott p.eszk.'!C48</f>
        <v>14095</v>
      </c>
      <c r="G10" s="155">
        <f>SUM('2.működés'!D102)</f>
        <v>124</v>
      </c>
      <c r="H10" s="155">
        <f>SUM('2.működés'!D104)</f>
        <v>941</v>
      </c>
      <c r="I10" s="225">
        <f t="shared" ref="I10:I16" si="0">SUM(B10:H10)</f>
        <v>48033</v>
      </c>
      <c r="J10" s="304"/>
      <c r="K10" s="304"/>
      <c r="L10" s="304"/>
      <c r="M10" s="225">
        <f t="shared" ref="M10:M16" si="1">SUM(J10:L10)</f>
        <v>0</v>
      </c>
      <c r="N10" s="225">
        <f t="shared" ref="N10:N16" si="2">SUM(I10+M10)</f>
        <v>48033</v>
      </c>
      <c r="O10" s="305"/>
      <c r="P10" s="306">
        <v>2</v>
      </c>
    </row>
    <row r="11" spans="1:19" s="307" customFormat="1" ht="25.5" x14ac:dyDescent="0.2">
      <c r="A11" s="342" t="str">
        <f>'5.Bev.össz.'!A15</f>
        <v>Kötelező (módosított 2020.09.havi)</v>
      </c>
      <c r="B11" s="155">
        <f>SUM('2.működés'!E96)</f>
        <v>14963</v>
      </c>
      <c r="C11" s="155">
        <f>SUM('2.működés'!E97)</f>
        <v>2302</v>
      </c>
      <c r="D11" s="155">
        <f>SUM('2.működés'!E98)</f>
        <v>14108</v>
      </c>
      <c r="E11" s="155">
        <f>SUM('2.működés'!E99)</f>
        <v>4640</v>
      </c>
      <c r="F11" s="155">
        <f>SUM('4. Átadott p.eszk.'!D8)+'4. Átadott p.eszk.'!D48+'4. Átadott p.eszk.'!D38</f>
        <v>12332</v>
      </c>
      <c r="G11" s="155">
        <f>SUM('2.működés'!E102)</f>
        <v>877</v>
      </c>
      <c r="H11" s="155">
        <f>SUM('2.működés'!E104)</f>
        <v>941</v>
      </c>
      <c r="I11" s="225">
        <f t="shared" si="0"/>
        <v>50163</v>
      </c>
      <c r="J11" s="304"/>
      <c r="K11" s="304"/>
      <c r="L11" s="304"/>
      <c r="M11" s="225">
        <f t="shared" si="1"/>
        <v>0</v>
      </c>
      <c r="N11" s="225">
        <f t="shared" si="2"/>
        <v>50163</v>
      </c>
      <c r="O11" s="305"/>
      <c r="P11" s="306">
        <v>2</v>
      </c>
    </row>
    <row r="12" spans="1:19" s="307" customFormat="1" ht="25.5" x14ac:dyDescent="0.2">
      <c r="A12" s="342" t="str">
        <f>'5.Bev.össz.'!A16</f>
        <v>Kötelező (módosított 2020.12.31)</v>
      </c>
      <c r="B12" s="155">
        <f>SUM('2.működés'!F96)</f>
        <v>14917</v>
      </c>
      <c r="C12" s="155">
        <f>SUM('2.működés'!F97)</f>
        <v>2302</v>
      </c>
      <c r="D12" s="155">
        <f>SUM('2.működés'!F98)</f>
        <v>15532</v>
      </c>
      <c r="E12" s="155">
        <f>SUM('2.működés'!F99)</f>
        <v>4640</v>
      </c>
      <c r="F12" s="155">
        <f>SUM('4. Átadott p.eszk.'!E8)+'4. Átadott p.eszk.'!E48</f>
        <v>9080</v>
      </c>
      <c r="G12" s="155">
        <f>SUM('2.működés'!F102)</f>
        <v>1774</v>
      </c>
      <c r="H12" s="155">
        <f>SUM('2.működés'!F104)</f>
        <v>941</v>
      </c>
      <c r="I12" s="225">
        <f t="shared" si="0"/>
        <v>49186</v>
      </c>
      <c r="J12" s="304"/>
      <c r="K12" s="304"/>
      <c r="L12" s="304"/>
      <c r="M12" s="225">
        <f t="shared" si="1"/>
        <v>0</v>
      </c>
      <c r="N12" s="225">
        <f t="shared" si="2"/>
        <v>49186</v>
      </c>
      <c r="O12" s="305"/>
      <c r="P12" s="306">
        <v>2</v>
      </c>
    </row>
    <row r="13" spans="1:19" s="307" customFormat="1" ht="25.5" x14ac:dyDescent="0.2">
      <c r="A13" s="342" t="str">
        <f>'5.Bev.össz.'!A17</f>
        <v>Kötelező (teljesítés 2020.12.31)</v>
      </c>
      <c r="B13" s="155">
        <f>SUM('2.működés'!G96)</f>
        <v>14529</v>
      </c>
      <c r="C13" s="155">
        <f>SUM('2.működés'!G97)</f>
        <v>2149</v>
      </c>
      <c r="D13" s="155">
        <f>SUM('2.működés'!G98)</f>
        <v>14758</v>
      </c>
      <c r="E13" s="155">
        <f>SUM('2.működés'!G99)</f>
        <v>3340</v>
      </c>
      <c r="F13" s="155">
        <f>SUM('4. Átadott p.eszk.'!F8)+'4. Átadott p.eszk.'!F48</f>
        <v>6074</v>
      </c>
      <c r="G13" s="155">
        <f>SUM('2.működés'!G102)</f>
        <v>0</v>
      </c>
      <c r="H13" s="155">
        <f>SUM('2.működés'!G104)</f>
        <v>941</v>
      </c>
      <c r="I13" s="225">
        <f>SUM(B13:H13)</f>
        <v>41791</v>
      </c>
      <c r="J13" s="304"/>
      <c r="K13" s="304"/>
      <c r="L13" s="304"/>
      <c r="M13" s="225">
        <f>SUM(J13:L13)</f>
        <v>0</v>
      </c>
      <c r="N13" s="225">
        <f>SUM(I13+M13)</f>
        <v>41791</v>
      </c>
      <c r="O13" s="305"/>
      <c r="P13" s="306">
        <v>2</v>
      </c>
    </row>
    <row r="14" spans="1:19" s="307" customFormat="1" ht="19.5" customHeight="1" x14ac:dyDescent="0.2">
      <c r="A14" s="27" t="str">
        <f>'5.Bev.össz.'!A10</f>
        <v xml:space="preserve">     Nem kötelező (eredeti)</v>
      </c>
      <c r="B14" s="155"/>
      <c r="C14" s="155"/>
      <c r="D14" s="155"/>
      <c r="E14" s="155"/>
      <c r="F14" s="155">
        <f>SUM('4. Átadott p.eszk.'!C40)</f>
        <v>215</v>
      </c>
      <c r="G14" s="304"/>
      <c r="H14" s="304"/>
      <c r="I14" s="225">
        <f t="shared" si="0"/>
        <v>215</v>
      </c>
      <c r="J14" s="155">
        <f>SUM('3.felh'!C37)</f>
        <v>275</v>
      </c>
      <c r="K14" s="155">
        <f>SUM('3.felh'!C45)</f>
        <v>0</v>
      </c>
      <c r="L14" s="155">
        <v>0</v>
      </c>
      <c r="M14" s="225">
        <f t="shared" si="1"/>
        <v>275</v>
      </c>
      <c r="N14" s="225">
        <f t="shared" si="2"/>
        <v>490</v>
      </c>
      <c r="O14" s="305"/>
      <c r="P14" s="306"/>
    </row>
    <row r="15" spans="1:19" s="307" customFormat="1" ht="25.5" x14ac:dyDescent="0.2">
      <c r="A15" s="342" t="str">
        <f>'5.Bev.össz.'!A11</f>
        <v>Nem kötelező (módosított 2020.09.havi)</v>
      </c>
      <c r="B15" s="155"/>
      <c r="C15" s="155"/>
      <c r="D15" s="155"/>
      <c r="E15" s="155"/>
      <c r="F15" s="155">
        <f>SUM('4. Átadott p.eszk.'!D40)+'4. Átadott p.eszk.'!D36+'4. Átadott p.eszk.'!D38</f>
        <v>315</v>
      </c>
      <c r="G15" s="304"/>
      <c r="H15" s="304"/>
      <c r="I15" s="225">
        <f t="shared" si="0"/>
        <v>315</v>
      </c>
      <c r="J15" s="155">
        <f>SUM('3.felh'!D37)</f>
        <v>8259</v>
      </c>
      <c r="K15" s="155">
        <f>SUM('3.felh'!D45)</f>
        <v>0</v>
      </c>
      <c r="L15" s="155">
        <v>0</v>
      </c>
      <c r="M15" s="225">
        <f t="shared" si="1"/>
        <v>8259</v>
      </c>
      <c r="N15" s="225">
        <f t="shared" si="2"/>
        <v>8574</v>
      </c>
      <c r="O15" s="305"/>
      <c r="P15" s="306"/>
    </row>
    <row r="16" spans="1:19" s="307" customFormat="1" ht="25.5" x14ac:dyDescent="0.2">
      <c r="A16" s="342" t="str">
        <f>'5.Bev.össz.'!A12</f>
        <v>Nem kötelező (módosított 2020.12.31)</v>
      </c>
      <c r="B16" s="304"/>
      <c r="C16" s="304"/>
      <c r="D16" s="304"/>
      <c r="E16" s="304"/>
      <c r="F16" s="155">
        <f>SUM('4. Átadott p.eszk.'!E40)+'4. Átadott p.eszk.'!E36+'4. Átadott p.eszk.'!E38</f>
        <v>1031</v>
      </c>
      <c r="G16" s="304"/>
      <c r="H16" s="304"/>
      <c r="I16" s="225">
        <f t="shared" si="0"/>
        <v>1031</v>
      </c>
      <c r="J16" s="155">
        <f>SUM('3.felh'!E37)</f>
        <v>8259</v>
      </c>
      <c r="K16" s="155">
        <f>SUM('3.felh'!E45)</f>
        <v>0</v>
      </c>
      <c r="L16" s="155">
        <f>'3.felh'!E52</f>
        <v>9105</v>
      </c>
      <c r="M16" s="225">
        <f t="shared" si="1"/>
        <v>17364</v>
      </c>
      <c r="N16" s="225">
        <f t="shared" si="2"/>
        <v>18395</v>
      </c>
      <c r="O16" s="305"/>
      <c r="P16" s="306"/>
    </row>
    <row r="17" spans="1:16" s="307" customFormat="1" ht="25.5" x14ac:dyDescent="0.2">
      <c r="A17" s="342" t="str">
        <f>'5.Bev.össz.'!A13</f>
        <v>Nem kötelező (teljesítés 2020.12.31)</v>
      </c>
      <c r="B17" s="304"/>
      <c r="C17" s="304"/>
      <c r="D17" s="304"/>
      <c r="E17" s="304"/>
      <c r="F17" s="155">
        <f>SUM('4. Átadott p.eszk.'!F40)+'4. Átadott p.eszk.'!F36+'4. Átadott p.eszk.'!F38</f>
        <v>780</v>
      </c>
      <c r="G17" s="304"/>
      <c r="H17" s="304"/>
      <c r="I17" s="225">
        <f>SUM(B17:H17)</f>
        <v>780</v>
      </c>
      <c r="J17" s="155">
        <f>SUM('3.felh'!F37)</f>
        <v>8259</v>
      </c>
      <c r="K17" s="155">
        <f>SUM('3.felh'!F45)</f>
        <v>0</v>
      </c>
      <c r="L17" s="155">
        <f>'3.felh'!F52</f>
        <v>0</v>
      </c>
      <c r="M17" s="225">
        <f>SUM(J17:L17)</f>
        <v>8259</v>
      </c>
      <c r="N17" s="225">
        <f>SUM(I17+M17)</f>
        <v>9039</v>
      </c>
      <c r="O17" s="305"/>
      <c r="P17" s="306"/>
    </row>
    <row r="18" spans="1:16" s="77" customFormat="1" ht="18" customHeight="1" thickBot="1" x14ac:dyDescent="0.25">
      <c r="A18" s="159" t="s">
        <v>442</v>
      </c>
      <c r="B18" s="79"/>
      <c r="C18" s="79"/>
      <c r="D18" s="79"/>
      <c r="E18" s="79"/>
      <c r="F18" s="79"/>
      <c r="G18" s="79"/>
      <c r="H18" s="79"/>
      <c r="I18" s="226"/>
      <c r="J18" s="79"/>
      <c r="K18" s="79"/>
      <c r="L18" s="79"/>
      <c r="M18" s="226"/>
      <c r="N18" s="226"/>
      <c r="O18" s="152"/>
      <c r="P18" s="162"/>
    </row>
    <row r="19" spans="1:16" s="77" customFormat="1" ht="32.25" thickBot="1" x14ac:dyDescent="0.25">
      <c r="A19" s="153" t="s">
        <v>439</v>
      </c>
      <c r="B19" s="154">
        <f>B10+B14</f>
        <v>12558</v>
      </c>
      <c r="C19" s="154">
        <f t="shared" ref="C19:H19" si="3">C10+C14</f>
        <v>1930</v>
      </c>
      <c r="D19" s="154">
        <f t="shared" si="3"/>
        <v>13645</v>
      </c>
      <c r="E19" s="154">
        <f t="shared" si="3"/>
        <v>4740</v>
      </c>
      <c r="F19" s="154">
        <f t="shared" si="3"/>
        <v>14310</v>
      </c>
      <c r="G19" s="154">
        <f t="shared" si="3"/>
        <v>124</v>
      </c>
      <c r="H19" s="154">
        <f t="shared" si="3"/>
        <v>941</v>
      </c>
      <c r="I19" s="227">
        <f t="shared" ref="I19:N19" si="4">I10+I14</f>
        <v>48248</v>
      </c>
      <c r="J19" s="154">
        <f t="shared" si="4"/>
        <v>275</v>
      </c>
      <c r="K19" s="154">
        <f t="shared" si="4"/>
        <v>0</v>
      </c>
      <c r="L19" s="154">
        <f t="shared" si="4"/>
        <v>0</v>
      </c>
      <c r="M19" s="227">
        <f t="shared" si="4"/>
        <v>275</v>
      </c>
      <c r="N19" s="227">
        <f t="shared" si="4"/>
        <v>48523</v>
      </c>
      <c r="O19" s="154">
        <f>SUM(O14:O15)</f>
        <v>0</v>
      </c>
      <c r="P19" s="264">
        <f>P10+P14</f>
        <v>2</v>
      </c>
    </row>
    <row r="20" spans="1:16" s="77" customFormat="1" ht="48" thickBot="1" x14ac:dyDescent="0.25">
      <c r="A20" s="153" t="str">
        <f>'5.Bev.össz.'!A20</f>
        <v>Önkormányzat összesen (módosított ei. 2020.09.havi)</v>
      </c>
      <c r="B20" s="154">
        <f t="shared" ref="B20:N20" si="5">B11+B15</f>
        <v>14963</v>
      </c>
      <c r="C20" s="154">
        <f t="shared" si="5"/>
        <v>2302</v>
      </c>
      <c r="D20" s="154">
        <f t="shared" si="5"/>
        <v>14108</v>
      </c>
      <c r="E20" s="154">
        <f t="shared" si="5"/>
        <v>4640</v>
      </c>
      <c r="F20" s="154">
        <f t="shared" si="5"/>
        <v>12647</v>
      </c>
      <c r="G20" s="154">
        <f t="shared" si="5"/>
        <v>877</v>
      </c>
      <c r="H20" s="154">
        <f t="shared" si="5"/>
        <v>941</v>
      </c>
      <c r="I20" s="227">
        <f t="shared" si="5"/>
        <v>50478</v>
      </c>
      <c r="J20" s="154">
        <f t="shared" si="5"/>
        <v>8259</v>
      </c>
      <c r="K20" s="154">
        <f t="shared" si="5"/>
        <v>0</v>
      </c>
      <c r="L20" s="154">
        <f t="shared" si="5"/>
        <v>0</v>
      </c>
      <c r="M20" s="227">
        <f t="shared" si="5"/>
        <v>8259</v>
      </c>
      <c r="N20" s="227">
        <f t="shared" si="5"/>
        <v>58737</v>
      </c>
      <c r="O20" s="154">
        <f>SUM(O15:O16)</f>
        <v>0</v>
      </c>
      <c r="P20" s="264">
        <f>P11+P15</f>
        <v>2</v>
      </c>
    </row>
    <row r="21" spans="1:16" s="78" customFormat="1" ht="48" thickBot="1" x14ac:dyDescent="0.25">
      <c r="A21" s="153" t="str">
        <f>'5.Bev.össz.'!A21</f>
        <v>Önkormányzat összesen (módosított ei. 2020.12.31)</v>
      </c>
      <c r="B21" s="154">
        <f t="shared" ref="B21:N22" si="6">B12+B16</f>
        <v>14917</v>
      </c>
      <c r="C21" s="154">
        <f t="shared" si="6"/>
        <v>2302</v>
      </c>
      <c r="D21" s="154">
        <f t="shared" si="6"/>
        <v>15532</v>
      </c>
      <c r="E21" s="154">
        <f t="shared" si="6"/>
        <v>4640</v>
      </c>
      <c r="F21" s="154">
        <f t="shared" si="6"/>
        <v>10111</v>
      </c>
      <c r="G21" s="154">
        <f t="shared" si="6"/>
        <v>1774</v>
      </c>
      <c r="H21" s="154">
        <f t="shared" si="6"/>
        <v>941</v>
      </c>
      <c r="I21" s="227">
        <f t="shared" si="6"/>
        <v>50217</v>
      </c>
      <c r="J21" s="154">
        <f t="shared" si="6"/>
        <v>8259</v>
      </c>
      <c r="K21" s="154">
        <f t="shared" si="6"/>
        <v>0</v>
      </c>
      <c r="L21" s="154">
        <f t="shared" si="6"/>
        <v>9105</v>
      </c>
      <c r="M21" s="227">
        <f t="shared" si="6"/>
        <v>17364</v>
      </c>
      <c r="N21" s="227">
        <f t="shared" si="6"/>
        <v>67581</v>
      </c>
      <c r="O21" s="154">
        <f>SUM(O16:O18)</f>
        <v>0</v>
      </c>
      <c r="P21" s="264">
        <f>P12+P16</f>
        <v>2</v>
      </c>
    </row>
    <row r="22" spans="1:16" s="78" customFormat="1" ht="32.25" thickBot="1" x14ac:dyDescent="0.25">
      <c r="A22" s="153" t="str">
        <f>'5.Bev.össz.'!A22</f>
        <v>Önkormányzat összesen (teljesítés 2020.12.31)</v>
      </c>
      <c r="B22" s="154">
        <f t="shared" si="6"/>
        <v>14529</v>
      </c>
      <c r="C22" s="154">
        <f t="shared" si="6"/>
        <v>2149</v>
      </c>
      <c r="D22" s="154">
        <f t="shared" si="6"/>
        <v>14758</v>
      </c>
      <c r="E22" s="154">
        <f t="shared" si="6"/>
        <v>3340</v>
      </c>
      <c r="F22" s="154">
        <f t="shared" si="6"/>
        <v>6854</v>
      </c>
      <c r="G22" s="154">
        <f t="shared" si="6"/>
        <v>0</v>
      </c>
      <c r="H22" s="154">
        <f t="shared" si="6"/>
        <v>941</v>
      </c>
      <c r="I22" s="227">
        <f t="shared" si="6"/>
        <v>42571</v>
      </c>
      <c r="J22" s="154">
        <f t="shared" si="6"/>
        <v>8259</v>
      </c>
      <c r="K22" s="154">
        <f t="shared" si="6"/>
        <v>0</v>
      </c>
      <c r="L22" s="154">
        <f t="shared" si="6"/>
        <v>0</v>
      </c>
      <c r="M22" s="227">
        <f t="shared" si="6"/>
        <v>8259</v>
      </c>
      <c r="N22" s="227">
        <f t="shared" si="6"/>
        <v>50830</v>
      </c>
      <c r="O22" s="154">
        <f>SUM(O17:O19)</f>
        <v>0</v>
      </c>
      <c r="P22" s="264">
        <f>P13+P17</f>
        <v>2</v>
      </c>
    </row>
    <row r="23" spans="1:16" x14ac:dyDescent="0.2">
      <c r="A23" s="80" t="s">
        <v>82</v>
      </c>
      <c r="P23" s="74">
        <v>4</v>
      </c>
    </row>
    <row r="24" spans="1:16" x14ac:dyDescent="0.2">
      <c r="A24" s="270" t="s">
        <v>738</v>
      </c>
      <c r="B24" s="299">
        <f>SUM(B22/B21)*100</f>
        <v>97.398940805792051</v>
      </c>
      <c r="C24" s="299">
        <f t="shared" ref="C24:N24" si="7">SUM(C22/C21)*100</f>
        <v>93.353605560382277</v>
      </c>
      <c r="D24" s="299">
        <f t="shared" si="7"/>
        <v>95.016739634303377</v>
      </c>
      <c r="E24" s="299">
        <f t="shared" si="7"/>
        <v>71.982758620689651</v>
      </c>
      <c r="F24" s="299">
        <f t="shared" si="7"/>
        <v>67.787558105034122</v>
      </c>
      <c r="G24" s="299">
        <f t="shared" si="7"/>
        <v>0</v>
      </c>
      <c r="H24" s="299">
        <f t="shared" si="7"/>
        <v>100</v>
      </c>
      <c r="I24" s="299">
        <f t="shared" si="7"/>
        <v>84.774080490670485</v>
      </c>
      <c r="J24" s="299">
        <f t="shared" si="7"/>
        <v>100</v>
      </c>
      <c r="K24" s="299"/>
      <c r="L24" s="299">
        <f t="shared" si="7"/>
        <v>0</v>
      </c>
      <c r="M24" s="299">
        <f t="shared" si="7"/>
        <v>47.563925362819624</v>
      </c>
      <c r="N24" s="299">
        <f t="shared" si="7"/>
        <v>75.213447566623756</v>
      </c>
    </row>
    <row r="25" spans="1:16" x14ac:dyDescent="0.2">
      <c r="B25" s="265"/>
      <c r="C25" s="266"/>
    </row>
    <row r="26" spans="1:16" x14ac:dyDescent="0.2">
      <c r="B26" s="265"/>
      <c r="C26" s="266"/>
      <c r="L26" s="70"/>
      <c r="M26" s="70"/>
      <c r="N26" s="70"/>
    </row>
    <row r="27" spans="1:16" x14ac:dyDescent="0.2">
      <c r="B27" s="266"/>
      <c r="C27" s="266"/>
      <c r="L27" s="70"/>
      <c r="M27" s="70"/>
      <c r="N27" s="70"/>
    </row>
    <row r="28" spans="1:16" x14ac:dyDescent="0.2">
      <c r="B28" s="266"/>
      <c r="C28" s="266"/>
      <c r="M28" s="70"/>
      <c r="N28" s="70"/>
    </row>
    <row r="29" spans="1:16" x14ac:dyDescent="0.2">
      <c r="M29" s="70"/>
      <c r="N29" s="70"/>
    </row>
  </sheetData>
  <mergeCells count="19">
    <mergeCell ref="A3:N3"/>
    <mergeCell ref="A6:A9"/>
    <mergeCell ref="B6:N6"/>
    <mergeCell ref="O6:O9"/>
    <mergeCell ref="I7:I9"/>
    <mergeCell ref="J7:M7"/>
    <mergeCell ref="N7:N9"/>
    <mergeCell ref="F8:G8"/>
    <mergeCell ref="B7:H7"/>
    <mergeCell ref="P6:P9"/>
    <mergeCell ref="M8:M9"/>
    <mergeCell ref="B8:B9"/>
    <mergeCell ref="C8:C9"/>
    <mergeCell ref="D8:D9"/>
    <mergeCell ref="E8:E9"/>
    <mergeCell ref="H8:H9"/>
    <mergeCell ref="J8:J9"/>
    <mergeCell ref="K8:K9"/>
    <mergeCell ref="L8:L9"/>
  </mergeCells>
  <printOptions horizontalCentered="1"/>
  <pageMargins left="0.15748031496062992" right="0.15748031496062992" top="0.15748031496062992" bottom="0.15748031496062992" header="0.15748031496062992" footer="0.11811023622047245"/>
  <pageSetup paperSize="9" scale="85" orientation="landscape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0"/>
  <sheetViews>
    <sheetView zoomScale="90" zoomScaleNormal="90" workbookViewId="0">
      <selection activeCell="B6" sqref="B6:B7"/>
    </sheetView>
  </sheetViews>
  <sheetFormatPr defaultRowHeight="12.75" x14ac:dyDescent="0.2"/>
  <cols>
    <col min="1" max="1" width="6.140625" customWidth="1"/>
    <col min="2" max="2" width="50.85546875" customWidth="1"/>
    <col min="3" max="3" width="12.7109375" customWidth="1"/>
    <col min="4" max="4" width="11.42578125" style="11" customWidth="1"/>
    <col min="5" max="5" width="10.85546875" style="11" customWidth="1"/>
    <col min="6" max="6" width="10.140625" style="11" customWidth="1"/>
    <col min="7" max="7" width="9.140625" customWidth="1"/>
    <col min="8" max="8" width="9.7109375" hidden="1" customWidth="1"/>
    <col min="9" max="10" width="9.28515625" bestFit="1" customWidth="1"/>
    <col min="11" max="11" width="9.42578125" customWidth="1"/>
    <col min="12" max="13" width="10.42578125" customWidth="1"/>
    <col min="14" max="14" width="9.28515625" customWidth="1"/>
    <col min="15" max="15" width="9.28515625" bestFit="1" customWidth="1"/>
    <col min="16" max="16" width="9.85546875" bestFit="1" customWidth="1"/>
    <col min="17" max="17" width="0" style="11" hidden="1" customWidth="1"/>
  </cols>
  <sheetData>
    <row r="1" spans="1:17" x14ac:dyDescent="0.2">
      <c r="A1" s="116"/>
      <c r="B1" s="1"/>
      <c r="C1" s="62"/>
      <c r="P1" s="140" t="s">
        <v>597</v>
      </c>
    </row>
    <row r="2" spans="1:17" x14ac:dyDescent="0.2">
      <c r="A2" s="116"/>
      <c r="B2" s="1"/>
      <c r="C2" s="62"/>
      <c r="P2" s="219" t="str">
        <f>'1.Bev-kiad.'!F2</f>
        <v>a 3/2021.(V.28.) önkormányzati rendelethez</v>
      </c>
    </row>
    <row r="3" spans="1:17" ht="15.75" x14ac:dyDescent="0.25">
      <c r="A3" s="116"/>
      <c r="B3" s="667" t="s">
        <v>988</v>
      </c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</row>
    <row r="4" spans="1:17" ht="15.75" customHeight="1" x14ac:dyDescent="0.25">
      <c r="A4" s="116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</row>
    <row r="5" spans="1:17" ht="16.5" thickBot="1" x14ac:dyDescent="0.3">
      <c r="A5" s="116"/>
      <c r="B5" s="659"/>
      <c r="C5" s="659"/>
      <c r="D5" s="659"/>
      <c r="E5" s="659"/>
      <c r="F5" s="659"/>
      <c r="G5" s="659"/>
      <c r="H5" s="659"/>
      <c r="I5" s="659"/>
      <c r="J5" s="659"/>
      <c r="K5" s="213"/>
      <c r="L5" s="213"/>
      <c r="M5" s="213"/>
      <c r="N5" s="213"/>
      <c r="O5" s="213"/>
      <c r="P5" s="221" t="s">
        <v>0</v>
      </c>
    </row>
    <row r="6" spans="1:17" ht="28.5" customHeight="1" thickBot="1" x14ac:dyDescent="0.25">
      <c r="A6" s="660" t="s">
        <v>99</v>
      </c>
      <c r="B6" s="662" t="s">
        <v>24</v>
      </c>
      <c r="C6" s="664" t="s">
        <v>410</v>
      </c>
      <c r="D6" s="665"/>
      <c r="E6" s="665"/>
      <c r="F6" s="665"/>
      <c r="G6" s="665"/>
      <c r="H6" s="665"/>
      <c r="I6" s="665"/>
      <c r="J6" s="665"/>
      <c r="K6" s="665"/>
      <c r="L6" s="665"/>
      <c r="M6" s="665"/>
      <c r="N6" s="665"/>
      <c r="O6" s="665"/>
      <c r="P6" s="666"/>
    </row>
    <row r="7" spans="1:17" ht="87" customHeight="1" thickBot="1" x14ac:dyDescent="0.25">
      <c r="A7" s="661"/>
      <c r="B7" s="663"/>
      <c r="C7" s="245" t="s">
        <v>290</v>
      </c>
      <c r="D7" s="246" t="s">
        <v>360</v>
      </c>
      <c r="E7" s="246" t="s">
        <v>361</v>
      </c>
      <c r="F7" s="246" t="s">
        <v>372</v>
      </c>
      <c r="G7" s="246" t="s">
        <v>362</v>
      </c>
      <c r="H7" s="246" t="s">
        <v>373</v>
      </c>
      <c r="I7" s="246" t="s">
        <v>431</v>
      </c>
      <c r="J7" s="245" t="s">
        <v>384</v>
      </c>
      <c r="K7" s="245" t="s">
        <v>364</v>
      </c>
      <c r="L7" s="245" t="s">
        <v>313</v>
      </c>
      <c r="M7" s="245" t="s">
        <v>462</v>
      </c>
      <c r="N7" s="245" t="s">
        <v>363</v>
      </c>
      <c r="O7" s="245" t="s">
        <v>333</v>
      </c>
      <c r="P7" s="247" t="s">
        <v>38</v>
      </c>
    </row>
    <row r="8" spans="1:17" ht="13.5" customHeight="1" x14ac:dyDescent="0.2">
      <c r="A8" s="212" t="s">
        <v>272</v>
      </c>
      <c r="B8" s="22" t="s">
        <v>273</v>
      </c>
      <c r="C8" s="44">
        <f t="shared" ref="C8:P8" si="0">SUM(C9:C11)</f>
        <v>0</v>
      </c>
      <c r="D8" s="44">
        <f t="shared" si="0"/>
        <v>317</v>
      </c>
      <c r="E8" s="44">
        <f t="shared" si="0"/>
        <v>2833</v>
      </c>
      <c r="F8" s="44">
        <f t="shared" si="0"/>
        <v>0</v>
      </c>
      <c r="G8" s="44">
        <f t="shared" si="0"/>
        <v>0</v>
      </c>
      <c r="H8" s="44">
        <f t="shared" si="0"/>
        <v>0</v>
      </c>
      <c r="I8" s="44">
        <f t="shared" si="0"/>
        <v>0</v>
      </c>
      <c r="J8" s="44">
        <f t="shared" si="0"/>
        <v>0</v>
      </c>
      <c r="K8" s="44">
        <f t="shared" si="0"/>
        <v>0</v>
      </c>
      <c r="L8" s="44">
        <f t="shared" si="0"/>
        <v>0</v>
      </c>
      <c r="M8" s="44">
        <f t="shared" si="0"/>
        <v>483</v>
      </c>
      <c r="N8" s="44">
        <f t="shared" si="0"/>
        <v>0</v>
      </c>
      <c r="O8" s="44">
        <f t="shared" si="0"/>
        <v>2936</v>
      </c>
      <c r="P8" s="44">
        <f t="shared" si="0"/>
        <v>6569</v>
      </c>
      <c r="Q8" s="36">
        <f>SUM(C8:O8)</f>
        <v>6569</v>
      </c>
    </row>
    <row r="9" spans="1:17" ht="13.5" customHeight="1" x14ac:dyDescent="0.2">
      <c r="A9" s="212"/>
      <c r="B9" s="56" t="s">
        <v>303</v>
      </c>
      <c r="C9" s="215"/>
      <c r="D9" s="86">
        <v>302</v>
      </c>
      <c r="E9" s="86">
        <v>2627</v>
      </c>
      <c r="F9" s="86"/>
      <c r="G9" s="86"/>
      <c r="H9" s="86"/>
      <c r="I9" s="86"/>
      <c r="J9" s="86"/>
      <c r="K9" s="86"/>
      <c r="L9" s="86"/>
      <c r="M9" s="86">
        <v>483</v>
      </c>
      <c r="N9" s="86"/>
      <c r="O9" s="86">
        <v>2936</v>
      </c>
      <c r="P9" s="204">
        <f t="shared" ref="P9:P14" si="1">SUM(C9:O9)</f>
        <v>6348</v>
      </c>
      <c r="Q9" s="36">
        <f>SUM(C9:O9)</f>
        <v>6348</v>
      </c>
    </row>
    <row r="10" spans="1:17" ht="13.5" customHeight="1" x14ac:dyDescent="0.2">
      <c r="A10" s="212"/>
      <c r="B10" s="56" t="s">
        <v>42</v>
      </c>
      <c r="C10" s="215"/>
      <c r="D10" s="86"/>
      <c r="E10" s="86">
        <v>110</v>
      </c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204">
        <f t="shared" si="1"/>
        <v>110</v>
      </c>
      <c r="Q10" s="36">
        <f>SUM(C10:O10)</f>
        <v>110</v>
      </c>
    </row>
    <row r="11" spans="1:17" ht="12.75" customHeight="1" x14ac:dyDescent="0.2">
      <c r="A11" s="65"/>
      <c r="B11" s="2" t="s">
        <v>491</v>
      </c>
      <c r="C11" s="19"/>
      <c r="D11" s="19">
        <f>(6+6+3)</f>
        <v>15</v>
      </c>
      <c r="E11" s="19">
        <v>96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4">
        <f t="shared" si="1"/>
        <v>111</v>
      </c>
      <c r="Q11" s="36">
        <f>SUM(C11:O11)</f>
        <v>111</v>
      </c>
    </row>
    <row r="12" spans="1:17" ht="12.75" customHeight="1" x14ac:dyDescent="0.2">
      <c r="A12" s="85" t="s">
        <v>274</v>
      </c>
      <c r="B12" s="28" t="s">
        <v>302</v>
      </c>
      <c r="C12" s="273">
        <f t="shared" ref="C12:O12" si="2">SUM(C13:C18)</f>
        <v>5499</v>
      </c>
      <c r="D12" s="273">
        <f t="shared" si="2"/>
        <v>0</v>
      </c>
      <c r="E12" s="273">
        <f t="shared" si="2"/>
        <v>0</v>
      </c>
      <c r="F12" s="273">
        <f t="shared" si="2"/>
        <v>0</v>
      </c>
      <c r="G12" s="273">
        <f t="shared" si="2"/>
        <v>0</v>
      </c>
      <c r="H12" s="273">
        <f t="shared" si="2"/>
        <v>0</v>
      </c>
      <c r="I12" s="273">
        <f t="shared" si="2"/>
        <v>0</v>
      </c>
      <c r="J12" s="273">
        <f t="shared" si="2"/>
        <v>0</v>
      </c>
      <c r="K12" s="273">
        <f t="shared" si="2"/>
        <v>0</v>
      </c>
      <c r="L12" s="273">
        <f t="shared" si="2"/>
        <v>0</v>
      </c>
      <c r="M12" s="273">
        <f t="shared" si="2"/>
        <v>0</v>
      </c>
      <c r="N12" s="273">
        <f t="shared" si="2"/>
        <v>490</v>
      </c>
      <c r="O12" s="273">
        <f t="shared" si="2"/>
        <v>0</v>
      </c>
      <c r="P12" s="338">
        <f t="shared" si="1"/>
        <v>5989</v>
      </c>
      <c r="Q12" s="36">
        <f>SUM(P13:P18)</f>
        <v>5989</v>
      </c>
    </row>
    <row r="13" spans="1:17" ht="12.75" customHeight="1" x14ac:dyDescent="0.2">
      <c r="A13" s="353"/>
      <c r="B13" s="25" t="s">
        <v>39</v>
      </c>
      <c r="C13" s="215">
        <v>3590</v>
      </c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12">
        <f t="shared" si="1"/>
        <v>3590</v>
      </c>
      <c r="Q13" s="36">
        <f t="shared" ref="Q13:Q18" si="3">SUM(C13:O13)</f>
        <v>3590</v>
      </c>
    </row>
    <row r="14" spans="1:17" ht="12.75" customHeight="1" x14ac:dyDescent="0.2">
      <c r="A14" s="65"/>
      <c r="B14" s="216" t="s">
        <v>301</v>
      </c>
      <c r="C14" s="215">
        <v>539</v>
      </c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12">
        <f t="shared" si="1"/>
        <v>539</v>
      </c>
      <c r="Q14" s="36">
        <f t="shared" si="3"/>
        <v>539</v>
      </c>
    </row>
    <row r="15" spans="1:17" ht="12.75" customHeight="1" x14ac:dyDescent="0.2">
      <c r="A15" s="353"/>
      <c r="B15" s="216" t="s">
        <v>395</v>
      </c>
      <c r="C15" s="215">
        <v>178</v>
      </c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12">
        <f>SUM(C15:O15)</f>
        <v>178</v>
      </c>
      <c r="Q15" s="36">
        <f t="shared" si="3"/>
        <v>178</v>
      </c>
    </row>
    <row r="16" spans="1:17" ht="12.75" customHeight="1" x14ac:dyDescent="0.2">
      <c r="A16" s="353"/>
      <c r="B16" s="25" t="s">
        <v>338</v>
      </c>
      <c r="C16" s="19">
        <v>1092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2">
        <f t="shared" ref="P16:P21" si="4">SUM(C16:O16)</f>
        <v>1092</v>
      </c>
      <c r="Q16" s="36">
        <f t="shared" si="3"/>
        <v>1092</v>
      </c>
    </row>
    <row r="17" spans="1:17" ht="13.5" customHeight="1" x14ac:dyDescent="0.2">
      <c r="A17" s="354"/>
      <c r="B17" s="21" t="s">
        <v>371</v>
      </c>
      <c r="C17" s="215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>
        <v>480</v>
      </c>
      <c r="O17" s="86"/>
      <c r="P17" s="204">
        <f t="shared" si="4"/>
        <v>480</v>
      </c>
      <c r="Q17" s="36">
        <f t="shared" si="3"/>
        <v>480</v>
      </c>
    </row>
    <row r="18" spans="1:17" ht="13.5" customHeight="1" x14ac:dyDescent="0.2">
      <c r="A18" s="354"/>
      <c r="B18" s="25" t="s">
        <v>334</v>
      </c>
      <c r="C18" s="19">
        <v>100</v>
      </c>
      <c r="D18" s="19"/>
      <c r="E18" s="19"/>
      <c r="F18" s="19"/>
      <c r="G18" s="19"/>
      <c r="H18" s="19"/>
      <c r="I18" s="19"/>
      <c r="J18" s="19"/>
      <c r="K18" s="19"/>
      <c r="L18" s="19"/>
      <c r="M18" s="86"/>
      <c r="N18" s="19">
        <v>10</v>
      </c>
      <c r="O18" s="19"/>
      <c r="P18" s="12">
        <f>SUM(C18:O18)</f>
        <v>110</v>
      </c>
      <c r="Q18" s="36">
        <f t="shared" si="3"/>
        <v>110</v>
      </c>
    </row>
    <row r="19" spans="1:17" ht="13.5" customHeight="1" x14ac:dyDescent="0.2">
      <c r="A19" s="85" t="s">
        <v>196</v>
      </c>
      <c r="B19" s="145" t="s">
        <v>271</v>
      </c>
      <c r="C19" s="199">
        <f t="shared" ref="C19:O19" si="5">SUM(C8+C12)</f>
        <v>5499</v>
      </c>
      <c r="D19" s="199">
        <f t="shared" si="5"/>
        <v>317</v>
      </c>
      <c r="E19" s="199">
        <f t="shared" si="5"/>
        <v>2833</v>
      </c>
      <c r="F19" s="199">
        <f t="shared" si="5"/>
        <v>0</v>
      </c>
      <c r="G19" s="199">
        <f t="shared" si="5"/>
        <v>0</v>
      </c>
      <c r="H19" s="199">
        <f t="shared" si="5"/>
        <v>0</v>
      </c>
      <c r="I19" s="199">
        <f t="shared" si="5"/>
        <v>0</v>
      </c>
      <c r="J19" s="199">
        <f t="shared" si="5"/>
        <v>0</v>
      </c>
      <c r="K19" s="199">
        <f t="shared" si="5"/>
        <v>0</v>
      </c>
      <c r="L19" s="199">
        <f t="shared" si="5"/>
        <v>0</v>
      </c>
      <c r="M19" s="199">
        <f t="shared" si="5"/>
        <v>483</v>
      </c>
      <c r="N19" s="199">
        <f t="shared" si="5"/>
        <v>490</v>
      </c>
      <c r="O19" s="199">
        <f t="shared" si="5"/>
        <v>2936</v>
      </c>
      <c r="P19" s="206">
        <f t="shared" si="4"/>
        <v>12558</v>
      </c>
      <c r="Q19" s="36">
        <f>SUM(P8+P12)</f>
        <v>12558</v>
      </c>
    </row>
    <row r="20" spans="1:17" ht="13.5" customHeight="1" x14ac:dyDescent="0.2">
      <c r="A20" s="65"/>
      <c r="B20" s="25" t="s">
        <v>25</v>
      </c>
      <c r="C20" s="16">
        <v>820</v>
      </c>
      <c r="D20" s="19">
        <v>53</v>
      </c>
      <c r="E20" s="19">
        <v>460</v>
      </c>
      <c r="F20" s="19"/>
      <c r="G20" s="19"/>
      <c r="H20" s="19"/>
      <c r="I20" s="19"/>
      <c r="J20" s="19"/>
      <c r="K20" s="19"/>
      <c r="L20" s="19"/>
      <c r="M20" s="19">
        <v>128</v>
      </c>
      <c r="N20" s="19">
        <v>76</v>
      </c>
      <c r="O20" s="19">
        <v>256</v>
      </c>
      <c r="P20" s="12">
        <f t="shared" si="4"/>
        <v>1793</v>
      </c>
      <c r="Q20" s="36">
        <f t="shared" ref="Q20:Q32" si="6">SUM(C20:O20)</f>
        <v>1793</v>
      </c>
    </row>
    <row r="21" spans="1:17" x14ac:dyDescent="0.2">
      <c r="A21" s="65"/>
      <c r="B21" s="25" t="s">
        <v>97</v>
      </c>
      <c r="C21" s="19">
        <v>100</v>
      </c>
      <c r="D21" s="19">
        <v>5</v>
      </c>
      <c r="E21" s="19">
        <v>32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2">
        <f t="shared" si="4"/>
        <v>137</v>
      </c>
      <c r="Q21" s="36">
        <f t="shared" si="6"/>
        <v>137</v>
      </c>
    </row>
    <row r="22" spans="1:17" ht="13.5" customHeight="1" x14ac:dyDescent="0.2">
      <c r="A22" s="85" t="s">
        <v>197</v>
      </c>
      <c r="B22" s="145" t="s">
        <v>80</v>
      </c>
      <c r="C22" s="199">
        <f t="shared" ref="C22:P22" si="7">SUM(C20:C21)</f>
        <v>920</v>
      </c>
      <c r="D22" s="199">
        <f t="shared" si="7"/>
        <v>58</v>
      </c>
      <c r="E22" s="199">
        <f t="shared" si="7"/>
        <v>492</v>
      </c>
      <c r="F22" s="199">
        <f t="shared" si="7"/>
        <v>0</v>
      </c>
      <c r="G22" s="199">
        <f t="shared" si="7"/>
        <v>0</v>
      </c>
      <c r="H22" s="199">
        <f t="shared" si="7"/>
        <v>0</v>
      </c>
      <c r="I22" s="199">
        <f t="shared" si="7"/>
        <v>0</v>
      </c>
      <c r="J22" s="199">
        <f t="shared" si="7"/>
        <v>0</v>
      </c>
      <c r="K22" s="199">
        <f t="shared" si="7"/>
        <v>0</v>
      </c>
      <c r="L22" s="199">
        <f t="shared" si="7"/>
        <v>0</v>
      </c>
      <c r="M22" s="199">
        <f t="shared" si="7"/>
        <v>128</v>
      </c>
      <c r="N22" s="199">
        <f t="shared" si="7"/>
        <v>76</v>
      </c>
      <c r="O22" s="199">
        <f t="shared" si="7"/>
        <v>256</v>
      </c>
      <c r="P22" s="199">
        <f t="shared" si="7"/>
        <v>1930</v>
      </c>
      <c r="Q22" s="36">
        <f t="shared" si="6"/>
        <v>1930</v>
      </c>
    </row>
    <row r="23" spans="1:17" ht="13.5" customHeight="1" x14ac:dyDescent="0.2">
      <c r="A23" s="85" t="s">
        <v>237</v>
      </c>
      <c r="B23" s="28" t="s">
        <v>260</v>
      </c>
      <c r="C23" s="82">
        <f t="shared" ref="C23:P23" si="8">SUM(C24:C32)</f>
        <v>335</v>
      </c>
      <c r="D23" s="82">
        <f t="shared" si="8"/>
        <v>570</v>
      </c>
      <c r="E23" s="82">
        <f t="shared" si="8"/>
        <v>375</v>
      </c>
      <c r="F23" s="82">
        <f t="shared" si="8"/>
        <v>100</v>
      </c>
      <c r="G23" s="82">
        <f t="shared" si="8"/>
        <v>0</v>
      </c>
      <c r="H23" s="82">
        <f t="shared" si="8"/>
        <v>0</v>
      </c>
      <c r="I23" s="82">
        <f t="shared" si="8"/>
        <v>0</v>
      </c>
      <c r="J23" s="82">
        <f t="shared" si="8"/>
        <v>0</v>
      </c>
      <c r="K23" s="82">
        <f t="shared" si="8"/>
        <v>175</v>
      </c>
      <c r="L23" s="82">
        <f t="shared" si="8"/>
        <v>0</v>
      </c>
      <c r="M23" s="82">
        <f t="shared" si="8"/>
        <v>0</v>
      </c>
      <c r="N23" s="82">
        <f t="shared" si="8"/>
        <v>40</v>
      </c>
      <c r="O23" s="82">
        <f t="shared" si="8"/>
        <v>0</v>
      </c>
      <c r="P23" s="82">
        <f t="shared" si="8"/>
        <v>1595</v>
      </c>
      <c r="Q23" s="36">
        <f t="shared" si="6"/>
        <v>1595</v>
      </c>
    </row>
    <row r="24" spans="1:17" ht="13.5" customHeight="1" x14ac:dyDescent="0.2">
      <c r="A24" s="65" t="s">
        <v>238</v>
      </c>
      <c r="B24" s="25" t="s">
        <v>341</v>
      </c>
      <c r="C24" s="200">
        <v>40</v>
      </c>
      <c r="D24" s="274"/>
      <c r="E24" s="274"/>
      <c r="F24" s="274"/>
      <c r="G24" s="19"/>
      <c r="H24" s="19"/>
      <c r="I24" s="19"/>
      <c r="J24" s="19"/>
      <c r="K24" s="19"/>
      <c r="L24" s="19"/>
      <c r="M24" s="19"/>
      <c r="N24" s="19"/>
      <c r="O24" s="19"/>
      <c r="P24" s="12">
        <f>SUM(C24:O24)</f>
        <v>40</v>
      </c>
      <c r="Q24" s="36">
        <f t="shared" si="6"/>
        <v>40</v>
      </c>
    </row>
    <row r="25" spans="1:17" ht="13.5" customHeight="1" x14ac:dyDescent="0.2">
      <c r="A25" s="65" t="s">
        <v>240</v>
      </c>
      <c r="B25" s="25" t="s">
        <v>261</v>
      </c>
      <c r="C25" s="20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2">
        <f t="shared" ref="P25:P45" si="9">SUM(C25:O25)</f>
        <v>0</v>
      </c>
      <c r="Q25" s="36">
        <f t="shared" si="6"/>
        <v>0</v>
      </c>
    </row>
    <row r="26" spans="1:17" ht="13.5" customHeight="1" x14ac:dyDescent="0.2">
      <c r="A26" s="65"/>
      <c r="B26" s="25" t="s">
        <v>282</v>
      </c>
      <c r="C26" s="200">
        <v>170</v>
      </c>
      <c r="D26" s="19"/>
      <c r="E26" s="19">
        <v>5</v>
      </c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2">
        <f t="shared" si="9"/>
        <v>175</v>
      </c>
      <c r="Q26" s="36">
        <f t="shared" si="6"/>
        <v>175</v>
      </c>
    </row>
    <row r="27" spans="1:17" ht="13.5" hidden="1" customHeight="1" x14ac:dyDescent="0.2">
      <c r="A27" s="65" t="s">
        <v>239</v>
      </c>
      <c r="B27" s="25" t="s">
        <v>262</v>
      </c>
      <c r="C27" s="20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2">
        <f t="shared" si="9"/>
        <v>0</v>
      </c>
      <c r="Q27" s="36">
        <f t="shared" si="6"/>
        <v>0</v>
      </c>
    </row>
    <row r="28" spans="1:17" ht="13.5" hidden="1" customHeight="1" x14ac:dyDescent="0.2">
      <c r="A28" s="65"/>
      <c r="B28" s="25" t="s">
        <v>314</v>
      </c>
      <c r="C28" s="20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2">
        <f t="shared" si="9"/>
        <v>0</v>
      </c>
      <c r="Q28" s="36">
        <f t="shared" si="6"/>
        <v>0</v>
      </c>
    </row>
    <row r="29" spans="1:17" ht="13.5" customHeight="1" x14ac:dyDescent="0.2">
      <c r="A29" s="65"/>
      <c r="B29" s="25" t="s">
        <v>283</v>
      </c>
      <c r="C29" s="200">
        <v>50</v>
      </c>
      <c r="D29" s="19">
        <v>300</v>
      </c>
      <c r="E29" s="19">
        <v>350</v>
      </c>
      <c r="F29" s="19">
        <v>100</v>
      </c>
      <c r="G29" s="19"/>
      <c r="H29" s="19"/>
      <c r="I29" s="19"/>
      <c r="J29" s="19"/>
      <c r="K29" s="19"/>
      <c r="L29" s="19"/>
      <c r="M29" s="19"/>
      <c r="N29" s="19"/>
      <c r="O29" s="19"/>
      <c r="P29" s="12">
        <f t="shared" si="9"/>
        <v>800</v>
      </c>
      <c r="Q29" s="36">
        <f t="shared" si="6"/>
        <v>800</v>
      </c>
    </row>
    <row r="30" spans="1:17" ht="13.5" customHeight="1" x14ac:dyDescent="0.2">
      <c r="A30" s="65"/>
      <c r="B30" s="25" t="s">
        <v>284</v>
      </c>
      <c r="C30" s="200">
        <v>75</v>
      </c>
      <c r="D30" s="19"/>
      <c r="E30" s="19"/>
      <c r="F30" s="19"/>
      <c r="G30" s="19"/>
      <c r="H30" s="19"/>
      <c r="I30" s="19"/>
      <c r="J30" s="19"/>
      <c r="K30" s="19">
        <v>25</v>
      </c>
      <c r="L30" s="19"/>
      <c r="M30" s="19"/>
      <c r="N30" s="19"/>
      <c r="O30" s="19"/>
      <c r="P30" s="12">
        <f t="shared" si="9"/>
        <v>100</v>
      </c>
      <c r="Q30" s="36">
        <f t="shared" si="6"/>
        <v>100</v>
      </c>
    </row>
    <row r="31" spans="1:17" ht="13.5" customHeight="1" x14ac:dyDescent="0.2">
      <c r="A31" s="65"/>
      <c r="B31" s="25" t="s">
        <v>315</v>
      </c>
      <c r="C31" s="200"/>
      <c r="D31" s="19">
        <v>250</v>
      </c>
      <c r="E31" s="19">
        <v>10</v>
      </c>
      <c r="F31" s="19"/>
      <c r="G31" s="19"/>
      <c r="H31" s="19"/>
      <c r="I31" s="19"/>
      <c r="J31" s="19"/>
      <c r="K31" s="19">
        <v>150</v>
      </c>
      <c r="L31" s="19"/>
      <c r="M31" s="19"/>
      <c r="N31" s="19">
        <v>40</v>
      </c>
      <c r="O31" s="19"/>
      <c r="P31" s="12">
        <f t="shared" si="9"/>
        <v>450</v>
      </c>
      <c r="Q31" s="36">
        <f t="shared" si="6"/>
        <v>450</v>
      </c>
    </row>
    <row r="32" spans="1:17" ht="13.5" customHeight="1" x14ac:dyDescent="0.2">
      <c r="A32" s="65"/>
      <c r="B32" s="25" t="s">
        <v>293</v>
      </c>
      <c r="C32" s="200"/>
      <c r="D32" s="19">
        <v>20</v>
      </c>
      <c r="E32" s="19">
        <v>10</v>
      </c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2">
        <f t="shared" si="9"/>
        <v>30</v>
      </c>
      <c r="Q32" s="36">
        <f t="shared" si="6"/>
        <v>30</v>
      </c>
    </row>
    <row r="33" spans="1:18" ht="13.5" customHeight="1" x14ac:dyDescent="0.2">
      <c r="A33" s="85" t="s">
        <v>241</v>
      </c>
      <c r="B33" s="28" t="s">
        <v>263</v>
      </c>
      <c r="C33" s="82">
        <f t="shared" ref="C33:O33" si="10">SUM(C34:C35)</f>
        <v>300</v>
      </c>
      <c r="D33" s="82">
        <f t="shared" si="10"/>
        <v>0</v>
      </c>
      <c r="E33" s="82">
        <f t="shared" si="10"/>
        <v>0</v>
      </c>
      <c r="F33" s="82">
        <f t="shared" si="10"/>
        <v>0</v>
      </c>
      <c r="G33" s="82">
        <f t="shared" si="10"/>
        <v>0</v>
      </c>
      <c r="H33" s="82">
        <f t="shared" si="10"/>
        <v>0</v>
      </c>
      <c r="I33" s="82">
        <f t="shared" si="10"/>
        <v>0</v>
      </c>
      <c r="J33" s="82">
        <f t="shared" si="10"/>
        <v>0</v>
      </c>
      <c r="K33" s="82">
        <f t="shared" si="10"/>
        <v>0</v>
      </c>
      <c r="L33" s="82">
        <f t="shared" si="10"/>
        <v>0</v>
      </c>
      <c r="M33" s="82">
        <f t="shared" si="10"/>
        <v>0</v>
      </c>
      <c r="N33" s="82">
        <f t="shared" si="10"/>
        <v>35</v>
      </c>
      <c r="O33" s="82">
        <f t="shared" si="10"/>
        <v>0</v>
      </c>
      <c r="P33" s="14">
        <f t="shared" si="9"/>
        <v>335</v>
      </c>
      <c r="Q33" s="36">
        <f>SUM(P34:P35)</f>
        <v>335</v>
      </c>
    </row>
    <row r="34" spans="1:18" ht="13.5" customHeight="1" x14ac:dyDescent="0.2">
      <c r="A34" s="65" t="s">
        <v>242</v>
      </c>
      <c r="B34" s="25" t="s">
        <v>337</v>
      </c>
      <c r="C34" s="200">
        <v>220</v>
      </c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>
        <v>35</v>
      </c>
      <c r="O34" s="19"/>
      <c r="P34" s="12">
        <f t="shared" si="9"/>
        <v>255</v>
      </c>
      <c r="Q34" s="36">
        <f>SUM(C34:O34)</f>
        <v>255</v>
      </c>
    </row>
    <row r="35" spans="1:18" ht="13.5" customHeight="1" x14ac:dyDescent="0.2">
      <c r="A35" s="65" t="s">
        <v>243</v>
      </c>
      <c r="B35" s="25" t="s">
        <v>285</v>
      </c>
      <c r="C35" s="200">
        <v>80</v>
      </c>
      <c r="D35" s="274"/>
      <c r="E35" s="274"/>
      <c r="F35" s="274"/>
      <c r="G35" s="19"/>
      <c r="H35" s="19"/>
      <c r="I35" s="19"/>
      <c r="J35" s="19"/>
      <c r="K35" s="19"/>
      <c r="L35" s="19"/>
      <c r="M35" s="19"/>
      <c r="N35" s="19"/>
      <c r="O35" s="19"/>
      <c r="P35" s="12">
        <f t="shared" si="9"/>
        <v>80</v>
      </c>
      <c r="Q35" s="36">
        <f>SUM(C35:O35)</f>
        <v>80</v>
      </c>
    </row>
    <row r="36" spans="1:18" ht="13.5" customHeight="1" x14ac:dyDescent="0.2">
      <c r="A36" s="85" t="s">
        <v>244</v>
      </c>
      <c r="B36" s="28" t="s">
        <v>264</v>
      </c>
      <c r="C36" s="82">
        <f t="shared" ref="C36:O36" si="11">SUM(C37:C57)</f>
        <v>2025</v>
      </c>
      <c r="D36" s="82">
        <f t="shared" si="11"/>
        <v>600</v>
      </c>
      <c r="E36" s="82">
        <f t="shared" si="11"/>
        <v>400</v>
      </c>
      <c r="F36" s="82">
        <f t="shared" si="11"/>
        <v>135</v>
      </c>
      <c r="G36" s="82">
        <f t="shared" si="11"/>
        <v>900</v>
      </c>
      <c r="H36" s="82">
        <f t="shared" si="11"/>
        <v>0</v>
      </c>
      <c r="I36" s="82">
        <f t="shared" si="11"/>
        <v>696</v>
      </c>
      <c r="J36" s="82">
        <f t="shared" si="11"/>
        <v>0</v>
      </c>
      <c r="K36" s="82">
        <f t="shared" si="11"/>
        <v>510</v>
      </c>
      <c r="L36" s="82">
        <f t="shared" si="11"/>
        <v>0</v>
      </c>
      <c r="M36" s="82">
        <f t="shared" si="11"/>
        <v>2990</v>
      </c>
      <c r="N36" s="82">
        <f t="shared" si="11"/>
        <v>260</v>
      </c>
      <c r="O36" s="82">
        <f t="shared" si="11"/>
        <v>0</v>
      </c>
      <c r="P36" s="14">
        <f t="shared" si="9"/>
        <v>8516</v>
      </c>
      <c r="Q36" s="36">
        <f>SUM(P37:P57)</f>
        <v>8516</v>
      </c>
      <c r="R36" s="81"/>
    </row>
    <row r="37" spans="1:18" ht="13.5" customHeight="1" x14ac:dyDescent="0.2">
      <c r="A37" s="65" t="s">
        <v>245</v>
      </c>
      <c r="B37" s="25" t="s">
        <v>281</v>
      </c>
      <c r="C37" s="200">
        <v>700</v>
      </c>
      <c r="D37" s="19">
        <v>10</v>
      </c>
      <c r="E37" s="19"/>
      <c r="F37" s="19">
        <v>20</v>
      </c>
      <c r="G37" s="19">
        <v>900</v>
      </c>
      <c r="H37" s="19"/>
      <c r="I37" s="19"/>
      <c r="J37" s="19"/>
      <c r="K37" s="19">
        <v>400</v>
      </c>
      <c r="L37" s="19"/>
      <c r="M37" s="19">
        <v>45</v>
      </c>
      <c r="N37" s="19">
        <v>210</v>
      </c>
      <c r="O37" s="19"/>
      <c r="P37" s="12">
        <f t="shared" si="9"/>
        <v>2285</v>
      </c>
      <c r="Q37" s="36">
        <f t="shared" ref="Q37:Q45" si="12">SUM(C37:O37)</f>
        <v>2285</v>
      </c>
    </row>
    <row r="38" spans="1:18" ht="13.5" customHeight="1" x14ac:dyDescent="0.2">
      <c r="A38" s="65" t="s">
        <v>291</v>
      </c>
      <c r="B38" s="25" t="s">
        <v>292</v>
      </c>
      <c r="C38" s="200"/>
      <c r="D38" s="19"/>
      <c r="E38" s="19"/>
      <c r="F38" s="19"/>
      <c r="G38" s="19"/>
      <c r="H38" s="19"/>
      <c r="I38" s="19">
        <v>696</v>
      </c>
      <c r="J38" s="19"/>
      <c r="K38" s="19"/>
      <c r="L38" s="19"/>
      <c r="M38" s="19"/>
      <c r="N38" s="19"/>
      <c r="O38" s="19"/>
      <c r="P38" s="12">
        <f t="shared" si="9"/>
        <v>696</v>
      </c>
      <c r="Q38" s="36">
        <f t="shared" si="12"/>
        <v>696</v>
      </c>
    </row>
    <row r="39" spans="1:18" ht="13.5" customHeight="1" x14ac:dyDescent="0.2">
      <c r="A39" s="65" t="s">
        <v>246</v>
      </c>
      <c r="B39" s="25" t="s">
        <v>280</v>
      </c>
      <c r="C39" s="200">
        <v>50</v>
      </c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2">
        <f t="shared" si="9"/>
        <v>50</v>
      </c>
      <c r="Q39" s="36">
        <f t="shared" si="12"/>
        <v>50</v>
      </c>
    </row>
    <row r="40" spans="1:18" ht="13.5" customHeight="1" x14ac:dyDescent="0.2">
      <c r="A40" s="65" t="s">
        <v>247</v>
      </c>
      <c r="B40" s="25" t="s">
        <v>279</v>
      </c>
      <c r="C40" s="200">
        <v>250</v>
      </c>
      <c r="D40" s="19">
        <v>100</v>
      </c>
      <c r="E40" s="19">
        <v>100</v>
      </c>
      <c r="F40" s="19">
        <v>50</v>
      </c>
      <c r="G40" s="19"/>
      <c r="H40" s="19"/>
      <c r="I40" s="19"/>
      <c r="J40" s="19"/>
      <c r="K40" s="19">
        <v>50</v>
      </c>
      <c r="L40" s="19"/>
      <c r="M40" s="19"/>
      <c r="N40" s="19"/>
      <c r="O40" s="19"/>
      <c r="P40" s="12">
        <f t="shared" si="9"/>
        <v>550</v>
      </c>
      <c r="Q40" s="36">
        <f t="shared" si="12"/>
        <v>550</v>
      </c>
    </row>
    <row r="41" spans="1:18" ht="13.5" customHeight="1" x14ac:dyDescent="0.2">
      <c r="A41" s="65" t="s">
        <v>248</v>
      </c>
      <c r="B41" s="25" t="s">
        <v>278</v>
      </c>
      <c r="C41" s="200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2">
        <f t="shared" si="9"/>
        <v>0</v>
      </c>
      <c r="Q41" s="36">
        <f t="shared" si="12"/>
        <v>0</v>
      </c>
    </row>
    <row r="42" spans="1:18" ht="13.5" customHeight="1" x14ac:dyDescent="0.2">
      <c r="A42" s="65" t="s">
        <v>249</v>
      </c>
      <c r="B42" s="25" t="s">
        <v>277</v>
      </c>
      <c r="C42" s="200">
        <v>60</v>
      </c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2">
        <f t="shared" si="9"/>
        <v>60</v>
      </c>
      <c r="Q42" s="36">
        <f t="shared" si="12"/>
        <v>60</v>
      </c>
    </row>
    <row r="43" spans="1:18" ht="13.5" customHeight="1" x14ac:dyDescent="0.2">
      <c r="A43" s="65"/>
      <c r="B43" s="25" t="s">
        <v>297</v>
      </c>
      <c r="C43" s="25">
        <v>10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2">
        <f t="shared" si="9"/>
        <v>10</v>
      </c>
      <c r="Q43" s="36">
        <f t="shared" si="12"/>
        <v>10</v>
      </c>
    </row>
    <row r="44" spans="1:18" ht="13.5" customHeight="1" x14ac:dyDescent="0.2">
      <c r="A44" s="65"/>
      <c r="B44" s="25" t="s">
        <v>620</v>
      </c>
      <c r="C44" s="25">
        <v>100</v>
      </c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2">
        <f t="shared" si="9"/>
        <v>100</v>
      </c>
      <c r="Q44" s="36">
        <f t="shared" si="12"/>
        <v>100</v>
      </c>
    </row>
    <row r="45" spans="1:18" ht="13.5" customHeight="1" x14ac:dyDescent="0.2">
      <c r="A45" s="65"/>
      <c r="B45" s="25" t="s">
        <v>490</v>
      </c>
      <c r="C45" s="25"/>
      <c r="D45" s="19"/>
      <c r="E45" s="19"/>
      <c r="F45" s="19"/>
      <c r="G45" s="19"/>
      <c r="H45" s="19"/>
      <c r="I45" s="19"/>
      <c r="J45" s="19"/>
      <c r="K45" s="19"/>
      <c r="L45" s="19"/>
      <c r="M45" s="19">
        <f>(2871+15)</f>
        <v>2886</v>
      </c>
      <c r="N45" s="19"/>
      <c r="O45" s="19"/>
      <c r="P45" s="12">
        <f t="shared" si="9"/>
        <v>2886</v>
      </c>
      <c r="Q45" s="36">
        <f t="shared" si="12"/>
        <v>2886</v>
      </c>
    </row>
    <row r="46" spans="1:18" ht="13.5" hidden="1" customHeight="1" x14ac:dyDescent="0.2">
      <c r="A46" s="65"/>
      <c r="B46" s="25" t="s">
        <v>78</v>
      </c>
      <c r="C46" s="25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2">
        <f>SUM(C46:O46)</f>
        <v>0</v>
      </c>
      <c r="Q46" s="36">
        <f>SUM(C46:O46)</f>
        <v>0</v>
      </c>
    </row>
    <row r="47" spans="1:18" ht="13.5" hidden="1" customHeight="1" x14ac:dyDescent="0.2">
      <c r="A47" s="65"/>
      <c r="B47" s="25" t="s">
        <v>298</v>
      </c>
      <c r="C47" s="25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2">
        <f>SUM(C47:O47)</f>
        <v>0</v>
      </c>
      <c r="Q47" s="36">
        <f>SUM(C47:O47)</f>
        <v>0</v>
      </c>
    </row>
    <row r="48" spans="1:18" ht="13.5" customHeight="1" x14ac:dyDescent="0.2">
      <c r="A48" s="65" t="s">
        <v>250</v>
      </c>
      <c r="B48" s="25" t="s">
        <v>276</v>
      </c>
      <c r="C48" s="20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2">
        <f t="shared" ref="P48:P55" si="13">SUM(C48:O48)</f>
        <v>0</v>
      </c>
      <c r="Q48" s="36">
        <f t="shared" ref="Q48:Q55" si="14">SUM(C48:O48)</f>
        <v>0</v>
      </c>
    </row>
    <row r="49" spans="1:18" ht="13.5" customHeight="1" x14ac:dyDescent="0.2">
      <c r="A49" s="65"/>
      <c r="B49" s="10" t="s">
        <v>339</v>
      </c>
      <c r="C49" s="19">
        <v>75</v>
      </c>
      <c r="D49" s="19"/>
      <c r="E49" s="19"/>
      <c r="F49" s="19"/>
      <c r="G49" s="19"/>
      <c r="H49" s="19"/>
      <c r="I49" s="19"/>
      <c r="J49" s="19"/>
      <c r="K49" s="19"/>
      <c r="L49" s="19"/>
      <c r="M49" s="19">
        <v>45</v>
      </c>
      <c r="N49" s="19"/>
      <c r="O49" s="19"/>
      <c r="P49" s="12">
        <f t="shared" si="13"/>
        <v>120</v>
      </c>
      <c r="Q49" s="36">
        <f t="shared" si="14"/>
        <v>120</v>
      </c>
    </row>
    <row r="50" spans="1:18" ht="13.5" customHeight="1" x14ac:dyDescent="0.2">
      <c r="A50" s="65"/>
      <c r="B50" s="10" t="s">
        <v>390</v>
      </c>
      <c r="C50" s="19">
        <v>370</v>
      </c>
      <c r="D50" s="19"/>
      <c r="E50" s="19"/>
      <c r="F50" s="19"/>
      <c r="G50" s="19"/>
      <c r="H50" s="19"/>
      <c r="I50" s="19"/>
      <c r="J50" s="19"/>
      <c r="K50" s="19"/>
      <c r="L50" s="19"/>
      <c r="M50" s="19">
        <v>14</v>
      </c>
      <c r="N50" s="19"/>
      <c r="O50" s="19"/>
      <c r="P50" s="12">
        <f t="shared" si="13"/>
        <v>384</v>
      </c>
      <c r="Q50" s="36">
        <f t="shared" si="14"/>
        <v>384</v>
      </c>
    </row>
    <row r="51" spans="1:18" x14ac:dyDescent="0.2">
      <c r="A51" s="65"/>
      <c r="B51" s="10" t="s">
        <v>288</v>
      </c>
      <c r="C51" s="19">
        <v>100</v>
      </c>
      <c r="D51" s="19">
        <v>15</v>
      </c>
      <c r="E51" s="19">
        <v>190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2">
        <f t="shared" si="13"/>
        <v>305</v>
      </c>
      <c r="Q51" s="36">
        <f t="shared" si="14"/>
        <v>305</v>
      </c>
    </row>
    <row r="52" spans="1:18" x14ac:dyDescent="0.2">
      <c r="A52" s="65"/>
      <c r="B52" s="10" t="s">
        <v>340</v>
      </c>
      <c r="C52" s="19"/>
      <c r="D52" s="19"/>
      <c r="E52" s="19">
        <v>60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2">
        <f t="shared" si="13"/>
        <v>60</v>
      </c>
      <c r="Q52" s="36">
        <f t="shared" si="14"/>
        <v>60</v>
      </c>
    </row>
    <row r="53" spans="1:18" x14ac:dyDescent="0.2">
      <c r="A53" s="65"/>
      <c r="B53" s="10" t="s">
        <v>342</v>
      </c>
      <c r="C53" s="19"/>
      <c r="D53" s="19">
        <v>50</v>
      </c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2">
        <f t="shared" si="13"/>
        <v>50</v>
      </c>
      <c r="Q53" s="36">
        <f t="shared" si="14"/>
        <v>50</v>
      </c>
    </row>
    <row r="54" spans="1:18" x14ac:dyDescent="0.2">
      <c r="A54" s="65"/>
      <c r="B54" s="10" t="s">
        <v>453</v>
      </c>
      <c r="C54" s="19"/>
      <c r="D54" s="19">
        <v>100</v>
      </c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2">
        <f t="shared" si="13"/>
        <v>100</v>
      </c>
      <c r="Q54" s="36">
        <f t="shared" si="14"/>
        <v>100</v>
      </c>
    </row>
    <row r="55" spans="1:18" x14ac:dyDescent="0.2">
      <c r="A55" s="65"/>
      <c r="B55" s="10" t="s">
        <v>287</v>
      </c>
      <c r="C55" s="19">
        <v>10</v>
      </c>
      <c r="D55" s="19">
        <v>175</v>
      </c>
      <c r="E55" s="19"/>
      <c r="F55" s="19">
        <v>15</v>
      </c>
      <c r="G55" s="19"/>
      <c r="H55" s="19"/>
      <c r="I55" s="19"/>
      <c r="J55" s="19"/>
      <c r="K55" s="19"/>
      <c r="L55" s="19"/>
      <c r="M55" s="19"/>
      <c r="N55" s="19"/>
      <c r="O55" s="19"/>
      <c r="P55" s="12">
        <f t="shared" si="13"/>
        <v>200</v>
      </c>
      <c r="Q55" s="36">
        <f t="shared" si="14"/>
        <v>200</v>
      </c>
    </row>
    <row r="56" spans="1:18" x14ac:dyDescent="0.2">
      <c r="A56" s="65"/>
      <c r="B56" s="25" t="s">
        <v>335</v>
      </c>
      <c r="C56" s="200">
        <v>300</v>
      </c>
      <c r="D56" s="19">
        <f>50+100</f>
        <v>150</v>
      </c>
      <c r="E56" s="19">
        <v>50</v>
      </c>
      <c r="F56" s="19">
        <v>50</v>
      </c>
      <c r="G56" s="19"/>
      <c r="H56" s="19"/>
      <c r="I56" s="19"/>
      <c r="J56" s="19"/>
      <c r="K56" s="19">
        <v>60</v>
      </c>
      <c r="L56" s="19"/>
      <c r="M56" s="19"/>
      <c r="N56" s="19">
        <v>50</v>
      </c>
      <c r="O56" s="19"/>
      <c r="P56" s="12">
        <f>SUM(C56:O56)</f>
        <v>660</v>
      </c>
      <c r="Q56" s="36">
        <f>SUM(C56:O56)</f>
        <v>660</v>
      </c>
    </row>
    <row r="57" spans="1:18" x14ac:dyDescent="0.2">
      <c r="A57" s="65"/>
      <c r="B57" s="25" t="s">
        <v>455</v>
      </c>
      <c r="C57" s="20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2">
        <f>SUM(C57:O57)</f>
        <v>0</v>
      </c>
      <c r="Q57" s="36">
        <f>SUM(C57:O57)</f>
        <v>0</v>
      </c>
    </row>
    <row r="58" spans="1:18" ht="13.5" customHeight="1" x14ac:dyDescent="0.2">
      <c r="A58" s="85" t="s">
        <v>251</v>
      </c>
      <c r="B58" s="28" t="s">
        <v>235</v>
      </c>
      <c r="C58" s="82">
        <f t="shared" ref="C58:O58" si="15">SUM(C59:C60)</f>
        <v>50</v>
      </c>
      <c r="D58" s="82">
        <f t="shared" si="15"/>
        <v>0</v>
      </c>
      <c r="E58" s="82">
        <f t="shared" si="15"/>
        <v>0</v>
      </c>
      <c r="F58" s="82">
        <f t="shared" si="15"/>
        <v>0</v>
      </c>
      <c r="G58" s="82">
        <f t="shared" si="15"/>
        <v>0</v>
      </c>
      <c r="H58" s="82">
        <f t="shared" si="15"/>
        <v>0</v>
      </c>
      <c r="I58" s="82">
        <f t="shared" si="15"/>
        <v>0</v>
      </c>
      <c r="J58" s="82">
        <f t="shared" si="15"/>
        <v>0</v>
      </c>
      <c r="K58" s="82">
        <f t="shared" si="15"/>
        <v>50</v>
      </c>
      <c r="L58" s="82">
        <f t="shared" si="15"/>
        <v>0</v>
      </c>
      <c r="M58" s="82">
        <f t="shared" si="15"/>
        <v>0</v>
      </c>
      <c r="N58" s="82">
        <f t="shared" si="15"/>
        <v>0</v>
      </c>
      <c r="O58" s="82">
        <f t="shared" si="15"/>
        <v>0</v>
      </c>
      <c r="P58" s="14">
        <f t="shared" ref="P58:P70" si="16">SUM(C58:O58)</f>
        <v>100</v>
      </c>
      <c r="Q58" s="36">
        <f>SUM(C58:O58)</f>
        <v>100</v>
      </c>
    </row>
    <row r="59" spans="1:18" ht="13.5" customHeight="1" x14ac:dyDescent="0.2">
      <c r="A59" s="65" t="s">
        <v>252</v>
      </c>
      <c r="B59" s="25" t="s">
        <v>275</v>
      </c>
      <c r="C59" s="200"/>
      <c r="D59" s="274"/>
      <c r="E59" s="82"/>
      <c r="F59" s="274"/>
      <c r="G59" s="19"/>
      <c r="H59" s="19"/>
      <c r="I59" s="19"/>
      <c r="J59" s="19"/>
      <c r="K59" s="19"/>
      <c r="L59" s="19"/>
      <c r="M59" s="19"/>
      <c r="N59" s="19"/>
      <c r="O59" s="19"/>
      <c r="P59" s="12">
        <f t="shared" si="16"/>
        <v>0</v>
      </c>
      <c r="Q59" s="36">
        <f>SUM(C59:O59)</f>
        <v>0</v>
      </c>
    </row>
    <row r="60" spans="1:18" ht="13.5" customHeight="1" x14ac:dyDescent="0.2">
      <c r="A60" s="65" t="s">
        <v>253</v>
      </c>
      <c r="B60" s="25" t="s">
        <v>286</v>
      </c>
      <c r="C60" s="200">
        <v>50</v>
      </c>
      <c r="D60" s="274"/>
      <c r="E60" s="274"/>
      <c r="F60" s="274"/>
      <c r="G60" s="19"/>
      <c r="H60" s="19"/>
      <c r="I60" s="19"/>
      <c r="J60" s="19"/>
      <c r="K60" s="19">
        <v>50</v>
      </c>
      <c r="L60" s="19"/>
      <c r="M60" s="19"/>
      <c r="N60" s="19"/>
      <c r="O60" s="19"/>
      <c r="P60" s="12">
        <f t="shared" si="16"/>
        <v>100</v>
      </c>
      <c r="Q60" s="36">
        <f>SUM(C60:O60)</f>
        <v>100</v>
      </c>
    </row>
    <row r="61" spans="1:18" ht="13.5" customHeight="1" x14ac:dyDescent="0.2">
      <c r="A61" s="85" t="s">
        <v>254</v>
      </c>
      <c r="B61" s="28" t="s">
        <v>236</v>
      </c>
      <c r="C61" s="82">
        <f t="shared" ref="C61:O61" si="17">SUM(C62:C68)</f>
        <v>770</v>
      </c>
      <c r="D61" s="82">
        <f t="shared" si="17"/>
        <v>430</v>
      </c>
      <c r="E61" s="82">
        <f t="shared" si="17"/>
        <v>171</v>
      </c>
      <c r="F61" s="82">
        <f t="shared" si="17"/>
        <v>63</v>
      </c>
      <c r="G61" s="82">
        <f t="shared" si="17"/>
        <v>243</v>
      </c>
      <c r="H61" s="82">
        <f t="shared" si="17"/>
        <v>0</v>
      </c>
      <c r="I61" s="82">
        <f t="shared" si="17"/>
        <v>188</v>
      </c>
      <c r="J61" s="82">
        <f t="shared" si="17"/>
        <v>0</v>
      </c>
      <c r="K61" s="82">
        <f t="shared" si="17"/>
        <v>200</v>
      </c>
      <c r="L61" s="82">
        <f t="shared" si="17"/>
        <v>0</v>
      </c>
      <c r="M61" s="82">
        <f t="shared" si="17"/>
        <v>915</v>
      </c>
      <c r="N61" s="82">
        <f t="shared" si="17"/>
        <v>119</v>
      </c>
      <c r="O61" s="82">
        <f t="shared" si="17"/>
        <v>0</v>
      </c>
      <c r="P61" s="14">
        <f t="shared" si="16"/>
        <v>3099</v>
      </c>
      <c r="Q61" s="36">
        <f>SUM(Q62:Q68)</f>
        <v>3099</v>
      </c>
      <c r="R61" s="81"/>
    </row>
    <row r="62" spans="1:18" ht="13.5" customHeight="1" x14ac:dyDescent="0.2">
      <c r="A62" s="65" t="s">
        <v>255</v>
      </c>
      <c r="B62" s="25" t="s">
        <v>265</v>
      </c>
      <c r="C62" s="200">
        <v>650</v>
      </c>
      <c r="D62" s="200">
        <v>400</v>
      </c>
      <c r="E62" s="200">
        <v>161</v>
      </c>
      <c r="F62" s="200">
        <v>63</v>
      </c>
      <c r="G62" s="200">
        <v>243</v>
      </c>
      <c r="H62" s="200">
        <v>0</v>
      </c>
      <c r="I62" s="200">
        <v>188</v>
      </c>
      <c r="J62" s="200">
        <v>0</v>
      </c>
      <c r="K62" s="200">
        <v>200</v>
      </c>
      <c r="L62" s="200"/>
      <c r="M62" s="200">
        <v>804</v>
      </c>
      <c r="N62" s="200">
        <v>99</v>
      </c>
      <c r="O62" s="200">
        <v>0</v>
      </c>
      <c r="P62" s="12">
        <f t="shared" si="16"/>
        <v>2808</v>
      </c>
      <c r="Q62" s="36">
        <f t="shared" ref="Q62:Q68" si="18">SUM(C62:O62)</f>
        <v>2808</v>
      </c>
    </row>
    <row r="63" spans="1:18" ht="13.5" customHeight="1" x14ac:dyDescent="0.2">
      <c r="A63" s="65" t="s">
        <v>256</v>
      </c>
      <c r="B63" s="25" t="s">
        <v>266</v>
      </c>
      <c r="C63" s="200"/>
      <c r="D63" s="274"/>
      <c r="E63" s="19"/>
      <c r="F63" s="274"/>
      <c r="G63" s="19"/>
      <c r="H63" s="19"/>
      <c r="I63" s="19"/>
      <c r="J63" s="19"/>
      <c r="K63" s="19"/>
      <c r="L63" s="19"/>
      <c r="M63" s="19"/>
      <c r="N63" s="19"/>
      <c r="O63" s="19"/>
      <c r="P63" s="12">
        <f t="shared" si="16"/>
        <v>0</v>
      </c>
      <c r="Q63" s="36">
        <f t="shared" si="18"/>
        <v>0</v>
      </c>
    </row>
    <row r="64" spans="1:18" ht="13.5" customHeight="1" x14ac:dyDescent="0.2">
      <c r="A64" s="65" t="s">
        <v>257</v>
      </c>
      <c r="B64" s="25" t="s">
        <v>267</v>
      </c>
      <c r="C64" s="200">
        <v>20</v>
      </c>
      <c r="D64" s="274"/>
      <c r="E64" s="274"/>
      <c r="F64" s="274"/>
      <c r="G64" s="19"/>
      <c r="H64" s="19"/>
      <c r="I64" s="19"/>
      <c r="J64" s="19"/>
      <c r="K64" s="19"/>
      <c r="L64" s="19"/>
      <c r="M64" s="19"/>
      <c r="N64" s="19"/>
      <c r="O64" s="19"/>
      <c r="P64" s="12">
        <f t="shared" si="16"/>
        <v>20</v>
      </c>
      <c r="Q64" s="36">
        <f t="shared" si="18"/>
        <v>20</v>
      </c>
    </row>
    <row r="65" spans="1:17" ht="13.5" customHeight="1" x14ac:dyDescent="0.2">
      <c r="A65" s="65" t="s">
        <v>258</v>
      </c>
      <c r="B65" s="25" t="s">
        <v>268</v>
      </c>
      <c r="C65" s="200"/>
      <c r="D65" s="274"/>
      <c r="E65" s="274"/>
      <c r="F65" s="274"/>
      <c r="G65" s="19"/>
      <c r="H65" s="19"/>
      <c r="I65" s="19"/>
      <c r="J65" s="19"/>
      <c r="K65" s="19"/>
      <c r="L65" s="19"/>
      <c r="M65" s="19"/>
      <c r="N65" s="19"/>
      <c r="O65" s="19"/>
      <c r="P65" s="12">
        <f t="shared" si="16"/>
        <v>0</v>
      </c>
      <c r="Q65" s="36">
        <f t="shared" si="18"/>
        <v>0</v>
      </c>
    </row>
    <row r="66" spans="1:17" ht="13.5" customHeight="1" x14ac:dyDescent="0.2">
      <c r="A66" s="65" t="s">
        <v>259</v>
      </c>
      <c r="B66" s="25" t="s">
        <v>40</v>
      </c>
      <c r="C66" s="200">
        <v>50</v>
      </c>
      <c r="D66" s="19">
        <v>30</v>
      </c>
      <c r="E66" s="19">
        <v>10</v>
      </c>
      <c r="F66" s="19"/>
      <c r="G66" s="19"/>
      <c r="H66" s="19"/>
      <c r="I66" s="19"/>
      <c r="J66" s="19"/>
      <c r="K66" s="19"/>
      <c r="L66" s="19"/>
      <c r="M66" s="19"/>
      <c r="N66" s="19">
        <v>20</v>
      </c>
      <c r="O66" s="19"/>
      <c r="P66" s="12">
        <f t="shared" si="16"/>
        <v>110</v>
      </c>
      <c r="Q66" s="36">
        <f t="shared" si="18"/>
        <v>110</v>
      </c>
    </row>
    <row r="67" spans="1:17" ht="13.5" customHeight="1" x14ac:dyDescent="0.2">
      <c r="A67" s="65"/>
      <c r="B67" s="25" t="s">
        <v>455</v>
      </c>
      <c r="C67" s="20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2">
        <f t="shared" si="16"/>
        <v>0</v>
      </c>
      <c r="Q67" s="36">
        <f t="shared" si="18"/>
        <v>0</v>
      </c>
    </row>
    <row r="68" spans="1:17" ht="13.5" customHeight="1" x14ac:dyDescent="0.2">
      <c r="A68" s="65"/>
      <c r="B68" s="25" t="s">
        <v>289</v>
      </c>
      <c r="C68" s="16">
        <v>50</v>
      </c>
      <c r="D68" s="274"/>
      <c r="E68" s="19"/>
      <c r="F68" s="274"/>
      <c r="G68" s="19"/>
      <c r="H68" s="19"/>
      <c r="I68" s="19"/>
      <c r="J68" s="19"/>
      <c r="K68" s="19"/>
      <c r="L68" s="19"/>
      <c r="M68" s="19">
        <v>111</v>
      </c>
      <c r="N68" s="19"/>
      <c r="O68" s="19"/>
      <c r="P68" s="12">
        <f t="shared" si="16"/>
        <v>161</v>
      </c>
      <c r="Q68" s="36">
        <f t="shared" si="18"/>
        <v>161</v>
      </c>
    </row>
    <row r="69" spans="1:17" ht="13.5" customHeight="1" x14ac:dyDescent="0.2">
      <c r="A69" s="85" t="s">
        <v>270</v>
      </c>
      <c r="B69" s="145" t="s">
        <v>26</v>
      </c>
      <c r="C69" s="199">
        <f t="shared" ref="C69:O69" si="19">SUM(C23+C33+C36+C58+C61)</f>
        <v>3480</v>
      </c>
      <c r="D69" s="199">
        <f t="shared" si="19"/>
        <v>1600</v>
      </c>
      <c r="E69" s="199">
        <f t="shared" si="19"/>
        <v>946</v>
      </c>
      <c r="F69" s="199">
        <f t="shared" si="19"/>
        <v>298</v>
      </c>
      <c r="G69" s="199">
        <f t="shared" si="19"/>
        <v>1143</v>
      </c>
      <c r="H69" s="199">
        <f t="shared" si="19"/>
        <v>0</v>
      </c>
      <c r="I69" s="199">
        <f t="shared" si="19"/>
        <v>884</v>
      </c>
      <c r="J69" s="199">
        <f t="shared" si="19"/>
        <v>0</v>
      </c>
      <c r="K69" s="199">
        <f t="shared" si="19"/>
        <v>935</v>
      </c>
      <c r="L69" s="199">
        <f t="shared" si="19"/>
        <v>0</v>
      </c>
      <c r="M69" s="199">
        <f t="shared" si="19"/>
        <v>3905</v>
      </c>
      <c r="N69" s="199">
        <f t="shared" si="19"/>
        <v>454</v>
      </c>
      <c r="O69" s="199">
        <f t="shared" si="19"/>
        <v>0</v>
      </c>
      <c r="P69" s="206">
        <f t="shared" si="16"/>
        <v>13645</v>
      </c>
      <c r="Q69" s="36">
        <f>SUM(P23+P33+P36+P58+P61)</f>
        <v>13645</v>
      </c>
    </row>
    <row r="70" spans="1:17" ht="13.5" customHeight="1" x14ac:dyDescent="0.2">
      <c r="A70" s="203" t="s">
        <v>269</v>
      </c>
      <c r="B70" s="145" t="s">
        <v>406</v>
      </c>
      <c r="C70" s="199">
        <v>100</v>
      </c>
      <c r="D70" s="206"/>
      <c r="E70" s="199"/>
      <c r="F70" s="206"/>
      <c r="G70" s="206"/>
      <c r="H70" s="206"/>
      <c r="I70" s="206"/>
      <c r="J70" s="206">
        <f>422+3823+395</f>
        <v>4640</v>
      </c>
      <c r="K70" s="206"/>
      <c r="L70" s="206"/>
      <c r="M70" s="206"/>
      <c r="N70" s="206"/>
      <c r="O70" s="206"/>
      <c r="P70" s="206">
        <f t="shared" si="16"/>
        <v>4740</v>
      </c>
      <c r="Q70" s="36">
        <f>SUM(P70)</f>
        <v>4740</v>
      </c>
    </row>
    <row r="71" spans="1:17" ht="13.5" customHeight="1" x14ac:dyDescent="0.2">
      <c r="A71" s="203" t="s">
        <v>294</v>
      </c>
      <c r="B71" s="145" t="s">
        <v>33</v>
      </c>
      <c r="C71" s="199">
        <f>'4. Átadott p.eszk.'!C55</f>
        <v>14310</v>
      </c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>
        <f>SUM(C71:O71)</f>
        <v>14310</v>
      </c>
      <c r="Q71" s="36">
        <f>SUM(C71:O71)</f>
        <v>14310</v>
      </c>
    </row>
    <row r="72" spans="1:17" ht="13.5" customHeight="1" thickBot="1" x14ac:dyDescent="0.25">
      <c r="A72" s="203" t="s">
        <v>295</v>
      </c>
      <c r="B72" s="202" t="s">
        <v>296</v>
      </c>
      <c r="C72" s="146">
        <f>SUM('3.felh'!C49)</f>
        <v>0</v>
      </c>
      <c r="D72" s="210"/>
      <c r="E72" s="206"/>
      <c r="F72" s="210"/>
      <c r="G72" s="210"/>
      <c r="H72" s="210"/>
      <c r="I72" s="210"/>
      <c r="J72" s="210"/>
      <c r="K72" s="210"/>
      <c r="L72" s="210"/>
      <c r="M72" s="210">
        <v>275</v>
      </c>
      <c r="N72" s="210"/>
      <c r="O72" s="210"/>
      <c r="P72" s="210">
        <f>SUM(C72:O72)</f>
        <v>275</v>
      </c>
      <c r="Q72" s="36">
        <f>SUM(C72:O72)</f>
        <v>275</v>
      </c>
    </row>
    <row r="73" spans="1:17" ht="22.5" customHeight="1" thickBot="1" x14ac:dyDescent="0.4">
      <c r="A73" s="201"/>
      <c r="B73" s="244" t="s">
        <v>5</v>
      </c>
      <c r="C73" s="211">
        <f t="shared" ref="C73:O73" si="20">SUM(C19+C22+C69+C70+C71+C72)</f>
        <v>24309</v>
      </c>
      <c r="D73" s="211">
        <f t="shared" si="20"/>
        <v>1975</v>
      </c>
      <c r="E73" s="211">
        <f t="shared" si="20"/>
        <v>4271</v>
      </c>
      <c r="F73" s="211">
        <f t="shared" si="20"/>
        <v>298</v>
      </c>
      <c r="G73" s="211">
        <f t="shared" si="20"/>
        <v>1143</v>
      </c>
      <c r="H73" s="211">
        <f t="shared" si="20"/>
        <v>0</v>
      </c>
      <c r="I73" s="211">
        <f t="shared" si="20"/>
        <v>884</v>
      </c>
      <c r="J73" s="211">
        <f t="shared" si="20"/>
        <v>4640</v>
      </c>
      <c r="K73" s="211">
        <f t="shared" si="20"/>
        <v>935</v>
      </c>
      <c r="L73" s="211">
        <f t="shared" si="20"/>
        <v>0</v>
      </c>
      <c r="M73" s="211">
        <f t="shared" si="20"/>
        <v>4791</v>
      </c>
      <c r="N73" s="211">
        <f t="shared" si="20"/>
        <v>1020</v>
      </c>
      <c r="O73" s="211">
        <f t="shared" si="20"/>
        <v>3192</v>
      </c>
      <c r="P73" s="243">
        <f>SUM(C73:O73)</f>
        <v>47458</v>
      </c>
      <c r="Q73" s="36">
        <f>SUM(P19+P22+P69+P70+P71+P72)</f>
        <v>47458</v>
      </c>
    </row>
    <row r="74" spans="1:17" x14ac:dyDescent="0.2">
      <c r="A74" s="65"/>
      <c r="B74" s="83" t="s">
        <v>41</v>
      </c>
      <c r="C74" s="205"/>
      <c r="D74" s="207">
        <v>1</v>
      </c>
      <c r="E74" s="207">
        <v>1</v>
      </c>
      <c r="F74" s="207"/>
      <c r="G74" s="86"/>
      <c r="H74" s="86"/>
      <c r="I74" s="204"/>
      <c r="J74" s="204"/>
      <c r="K74" s="204"/>
      <c r="L74" s="204"/>
      <c r="M74" s="204"/>
      <c r="N74" s="204"/>
      <c r="O74" s="204">
        <v>3</v>
      </c>
      <c r="P74" s="204">
        <f>SUM(C74:O74)</f>
        <v>5</v>
      </c>
      <c r="Q74" s="36"/>
    </row>
    <row r="75" spans="1:17" x14ac:dyDescent="0.2">
      <c r="C75" s="9"/>
      <c r="D75" s="208"/>
      <c r="E75" s="208"/>
      <c r="F75" s="208"/>
      <c r="G75" s="209"/>
      <c r="H75" s="209"/>
      <c r="I75" s="2"/>
      <c r="J75" s="2"/>
      <c r="K75" s="2"/>
      <c r="L75" s="2"/>
      <c r="M75" s="2"/>
      <c r="N75" s="2"/>
      <c r="O75" s="2"/>
      <c r="P75" s="2"/>
      <c r="Q75" s="35"/>
    </row>
    <row r="76" spans="1:17" ht="13.5" hidden="1" thickBot="1" x14ac:dyDescent="0.25">
      <c r="C76" s="9"/>
      <c r="D76" s="208"/>
      <c r="E76" s="208"/>
      <c r="F76" s="208"/>
      <c r="G76" s="209"/>
      <c r="H76" s="209"/>
      <c r="I76" s="2"/>
      <c r="J76" s="2"/>
      <c r="K76" s="2"/>
      <c r="L76" s="2"/>
      <c r="M76" s="2"/>
      <c r="N76" s="2"/>
      <c r="O76" s="2"/>
      <c r="P76" s="2"/>
      <c r="Q76" s="35"/>
    </row>
    <row r="77" spans="1:17" ht="28.5" hidden="1" customHeight="1" thickBot="1" x14ac:dyDescent="0.25">
      <c r="A77" s="660" t="s">
        <v>99</v>
      </c>
      <c r="B77" s="662" t="s">
        <v>24</v>
      </c>
      <c r="C77" s="664" t="s">
        <v>676</v>
      </c>
      <c r="D77" s="665"/>
      <c r="E77" s="665"/>
      <c r="F77" s="665"/>
      <c r="G77" s="665"/>
      <c r="H77" s="665"/>
      <c r="I77" s="665"/>
      <c r="J77" s="665"/>
      <c r="K77" s="665"/>
      <c r="L77" s="665"/>
      <c r="M77" s="665"/>
      <c r="N77" s="665"/>
      <c r="O77" s="665"/>
      <c r="P77" s="666"/>
    </row>
    <row r="78" spans="1:17" ht="87" hidden="1" customHeight="1" thickBot="1" x14ac:dyDescent="0.25">
      <c r="A78" s="661"/>
      <c r="B78" s="663"/>
      <c r="C78" s="245" t="s">
        <v>290</v>
      </c>
      <c r="D78" s="246" t="s">
        <v>360</v>
      </c>
      <c r="E78" s="246" t="s">
        <v>361</v>
      </c>
      <c r="F78" s="246" t="s">
        <v>372</v>
      </c>
      <c r="G78" s="246" t="s">
        <v>362</v>
      </c>
      <c r="H78" s="246" t="s">
        <v>373</v>
      </c>
      <c r="I78" s="246" t="s">
        <v>431</v>
      </c>
      <c r="J78" s="245" t="s">
        <v>384</v>
      </c>
      <c r="K78" s="245" t="s">
        <v>364</v>
      </c>
      <c r="L78" s="245" t="s">
        <v>313</v>
      </c>
      <c r="M78" s="245" t="s">
        <v>462</v>
      </c>
      <c r="N78" s="245" t="s">
        <v>363</v>
      </c>
      <c r="O78" s="245" t="s">
        <v>333</v>
      </c>
      <c r="P78" s="247" t="s">
        <v>38</v>
      </c>
    </row>
    <row r="79" spans="1:17" ht="13.5" hidden="1" customHeight="1" x14ac:dyDescent="0.2">
      <c r="A79" s="212" t="s">
        <v>272</v>
      </c>
      <c r="B79" s="22" t="s">
        <v>273</v>
      </c>
      <c r="C79" s="44">
        <f t="shared" ref="C79:P79" si="21">SUM(C80:C83)</f>
        <v>0</v>
      </c>
      <c r="D79" s="44">
        <f t="shared" si="21"/>
        <v>1058</v>
      </c>
      <c r="E79" s="44">
        <f t="shared" si="21"/>
        <v>3099</v>
      </c>
      <c r="F79" s="44">
        <f t="shared" si="21"/>
        <v>0</v>
      </c>
      <c r="G79" s="44">
        <f t="shared" si="21"/>
        <v>0</v>
      </c>
      <c r="H79" s="44">
        <f t="shared" si="21"/>
        <v>0</v>
      </c>
      <c r="I79" s="44">
        <f t="shared" si="21"/>
        <v>0</v>
      </c>
      <c r="J79" s="44">
        <f t="shared" si="21"/>
        <v>0</v>
      </c>
      <c r="K79" s="44">
        <f t="shared" si="21"/>
        <v>0</v>
      </c>
      <c r="L79" s="44">
        <f t="shared" si="21"/>
        <v>0</v>
      </c>
      <c r="M79" s="44">
        <f t="shared" si="21"/>
        <v>483</v>
      </c>
      <c r="N79" s="44">
        <f t="shared" si="21"/>
        <v>0</v>
      </c>
      <c r="O79" s="44">
        <f t="shared" si="21"/>
        <v>4056</v>
      </c>
      <c r="P79" s="44">
        <f t="shared" si="21"/>
        <v>8696</v>
      </c>
      <c r="Q79" s="36">
        <f>SUM(C79:O79)</f>
        <v>8696</v>
      </c>
    </row>
    <row r="80" spans="1:17" ht="13.5" hidden="1" customHeight="1" x14ac:dyDescent="0.2">
      <c r="A80" s="212"/>
      <c r="B80" s="56" t="s">
        <v>303</v>
      </c>
      <c r="C80" s="215"/>
      <c r="D80" s="86">
        <f>302+562+106</f>
        <v>970</v>
      </c>
      <c r="E80" s="86">
        <f>2627+141</f>
        <v>2768</v>
      </c>
      <c r="F80" s="86"/>
      <c r="G80" s="86"/>
      <c r="H80" s="86"/>
      <c r="I80" s="86"/>
      <c r="J80" s="86"/>
      <c r="K80" s="86"/>
      <c r="L80" s="86"/>
      <c r="M80" s="86">
        <v>483</v>
      </c>
      <c r="N80" s="86"/>
      <c r="O80" s="86">
        <f>2936+1052</f>
        <v>3988</v>
      </c>
      <c r="P80" s="204">
        <f t="shared" ref="P80:P86" si="22">SUM(C80:O80)</f>
        <v>8209</v>
      </c>
      <c r="Q80" s="36">
        <f>SUM(C80:O80)</f>
        <v>8209</v>
      </c>
    </row>
    <row r="81" spans="1:17" ht="13.5" hidden="1" customHeight="1" x14ac:dyDescent="0.2">
      <c r="A81" s="212"/>
      <c r="B81" s="56" t="s">
        <v>42</v>
      </c>
      <c r="C81" s="215"/>
      <c r="D81" s="86"/>
      <c r="E81" s="86">
        <f>110-11</f>
        <v>99</v>
      </c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204">
        <f t="shared" si="22"/>
        <v>99</v>
      </c>
      <c r="Q81" s="36">
        <f>SUM(C81:O81)</f>
        <v>99</v>
      </c>
    </row>
    <row r="82" spans="1:17" ht="13.5" hidden="1" customHeight="1" x14ac:dyDescent="0.2">
      <c r="A82" s="212"/>
      <c r="B82" s="56" t="s">
        <v>395</v>
      </c>
      <c r="C82" s="215"/>
      <c r="D82" s="86"/>
      <c r="E82" s="86">
        <v>100</v>
      </c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204">
        <f>SUM(C82:O82)</f>
        <v>100</v>
      </c>
      <c r="Q82" s="36">
        <f>SUM(C82:O82)</f>
        <v>100</v>
      </c>
    </row>
    <row r="83" spans="1:17" ht="12.75" hidden="1" customHeight="1" x14ac:dyDescent="0.2">
      <c r="A83" s="65"/>
      <c r="B83" s="2" t="s">
        <v>491</v>
      </c>
      <c r="C83" s="19"/>
      <c r="D83" s="19">
        <f>(6+6+3)+17+56</f>
        <v>88</v>
      </c>
      <c r="E83" s="19">
        <f>96-17-68+121</f>
        <v>132</v>
      </c>
      <c r="F83" s="19"/>
      <c r="G83" s="19"/>
      <c r="H83" s="19"/>
      <c r="I83" s="19"/>
      <c r="J83" s="19"/>
      <c r="K83" s="19"/>
      <c r="L83" s="19"/>
      <c r="M83" s="19"/>
      <c r="N83" s="19"/>
      <c r="O83" s="19">
        <v>68</v>
      </c>
      <c r="P83" s="204">
        <f t="shared" si="22"/>
        <v>288</v>
      </c>
      <c r="Q83" s="36">
        <f>SUM(C83:O83)</f>
        <v>288</v>
      </c>
    </row>
    <row r="84" spans="1:17" ht="12.75" hidden="1" customHeight="1" x14ac:dyDescent="0.2">
      <c r="A84" s="85" t="s">
        <v>274</v>
      </c>
      <c r="B84" s="28" t="s">
        <v>302</v>
      </c>
      <c r="C84" s="273">
        <f t="shared" ref="C84:O84" si="23">SUM(C85:C90)</f>
        <v>5499</v>
      </c>
      <c r="D84" s="273">
        <f t="shared" si="23"/>
        <v>100</v>
      </c>
      <c r="E84" s="273">
        <f t="shared" si="23"/>
        <v>0</v>
      </c>
      <c r="F84" s="273">
        <f t="shared" si="23"/>
        <v>0</v>
      </c>
      <c r="G84" s="273">
        <f t="shared" si="23"/>
        <v>0</v>
      </c>
      <c r="H84" s="273">
        <f t="shared" si="23"/>
        <v>0</v>
      </c>
      <c r="I84" s="273">
        <f t="shared" si="23"/>
        <v>0</v>
      </c>
      <c r="J84" s="273">
        <f t="shared" si="23"/>
        <v>0</v>
      </c>
      <c r="K84" s="273">
        <f t="shared" si="23"/>
        <v>0</v>
      </c>
      <c r="L84" s="273">
        <f t="shared" si="23"/>
        <v>0</v>
      </c>
      <c r="M84" s="273">
        <f t="shared" si="23"/>
        <v>178</v>
      </c>
      <c r="N84" s="273">
        <f t="shared" si="23"/>
        <v>490</v>
      </c>
      <c r="O84" s="273">
        <f t="shared" si="23"/>
        <v>0</v>
      </c>
      <c r="P84" s="338">
        <f t="shared" si="22"/>
        <v>6267</v>
      </c>
      <c r="Q84" s="36">
        <f>SUM(P85:P90)</f>
        <v>6267</v>
      </c>
    </row>
    <row r="85" spans="1:17" ht="12.75" hidden="1" customHeight="1" x14ac:dyDescent="0.2">
      <c r="A85" s="353"/>
      <c r="B85" s="25" t="s">
        <v>39</v>
      </c>
      <c r="C85" s="215">
        <v>3590</v>
      </c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12">
        <f t="shared" si="22"/>
        <v>3590</v>
      </c>
      <c r="Q85" s="36">
        <f t="shared" ref="Q85:Q90" si="24">SUM(C85:O85)</f>
        <v>3590</v>
      </c>
    </row>
    <row r="86" spans="1:17" ht="12.75" hidden="1" customHeight="1" x14ac:dyDescent="0.2">
      <c r="A86" s="65"/>
      <c r="B86" s="216" t="s">
        <v>301</v>
      </c>
      <c r="C86" s="215">
        <v>539</v>
      </c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12">
        <f t="shared" si="22"/>
        <v>539</v>
      </c>
      <c r="Q86" s="36">
        <f t="shared" si="24"/>
        <v>539</v>
      </c>
    </row>
    <row r="87" spans="1:17" ht="12.75" hidden="1" customHeight="1" x14ac:dyDescent="0.2">
      <c r="A87" s="353"/>
      <c r="B87" s="216" t="s">
        <v>395</v>
      </c>
      <c r="C87" s="215">
        <v>178</v>
      </c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12">
        <f t="shared" ref="P87:P93" si="25">SUM(C87:O87)</f>
        <v>178</v>
      </c>
      <c r="Q87" s="36">
        <f t="shared" si="24"/>
        <v>178</v>
      </c>
    </row>
    <row r="88" spans="1:17" ht="12.75" hidden="1" customHeight="1" x14ac:dyDescent="0.2">
      <c r="A88" s="353"/>
      <c r="B88" s="25" t="s">
        <v>338</v>
      </c>
      <c r="C88" s="19">
        <v>1092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2">
        <f t="shared" si="25"/>
        <v>1092</v>
      </c>
      <c r="Q88" s="36">
        <f t="shared" si="24"/>
        <v>1092</v>
      </c>
    </row>
    <row r="89" spans="1:17" ht="13.5" hidden="1" customHeight="1" x14ac:dyDescent="0.2">
      <c r="A89" s="354"/>
      <c r="B89" s="21" t="s">
        <v>371</v>
      </c>
      <c r="C89" s="215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>
        <v>480</v>
      </c>
      <c r="O89" s="86"/>
      <c r="P89" s="204">
        <f t="shared" si="25"/>
        <v>480</v>
      </c>
      <c r="Q89" s="36">
        <f t="shared" si="24"/>
        <v>480</v>
      </c>
    </row>
    <row r="90" spans="1:17" ht="13.5" hidden="1" customHeight="1" x14ac:dyDescent="0.2">
      <c r="A90" s="354"/>
      <c r="B90" s="25" t="s">
        <v>652</v>
      </c>
      <c r="C90" s="19">
        <v>100</v>
      </c>
      <c r="D90" s="19">
        <v>100</v>
      </c>
      <c r="E90" s="19"/>
      <c r="F90" s="19"/>
      <c r="G90" s="19"/>
      <c r="H90" s="19"/>
      <c r="I90" s="19"/>
      <c r="J90" s="19"/>
      <c r="K90" s="19"/>
      <c r="L90" s="19"/>
      <c r="M90" s="86">
        <v>178</v>
      </c>
      <c r="N90" s="19">
        <v>10</v>
      </c>
      <c r="O90" s="19"/>
      <c r="P90" s="12">
        <f t="shared" si="25"/>
        <v>388</v>
      </c>
      <c r="Q90" s="36">
        <f t="shared" si="24"/>
        <v>388</v>
      </c>
    </row>
    <row r="91" spans="1:17" ht="13.5" hidden="1" customHeight="1" x14ac:dyDescent="0.2">
      <c r="A91" s="85" t="s">
        <v>196</v>
      </c>
      <c r="B91" s="145" t="s">
        <v>271</v>
      </c>
      <c r="C91" s="199">
        <f t="shared" ref="C91:O91" si="26">SUM(C79+C84)</f>
        <v>5499</v>
      </c>
      <c r="D91" s="199">
        <f t="shared" si="26"/>
        <v>1158</v>
      </c>
      <c r="E91" s="199">
        <f t="shared" si="26"/>
        <v>3099</v>
      </c>
      <c r="F91" s="199">
        <f t="shared" si="26"/>
        <v>0</v>
      </c>
      <c r="G91" s="199">
        <f t="shared" si="26"/>
        <v>0</v>
      </c>
      <c r="H91" s="199">
        <f t="shared" si="26"/>
        <v>0</v>
      </c>
      <c r="I91" s="199">
        <f t="shared" si="26"/>
        <v>0</v>
      </c>
      <c r="J91" s="199">
        <f t="shared" si="26"/>
        <v>0</v>
      </c>
      <c r="K91" s="199">
        <f t="shared" si="26"/>
        <v>0</v>
      </c>
      <c r="L91" s="199">
        <f t="shared" si="26"/>
        <v>0</v>
      </c>
      <c r="M91" s="199">
        <f t="shared" si="26"/>
        <v>661</v>
      </c>
      <c r="N91" s="199">
        <f t="shared" si="26"/>
        <v>490</v>
      </c>
      <c r="O91" s="199">
        <f t="shared" si="26"/>
        <v>4056</v>
      </c>
      <c r="P91" s="206">
        <f t="shared" si="25"/>
        <v>14963</v>
      </c>
      <c r="Q91" s="36">
        <f>SUM(P79+P84)</f>
        <v>14963</v>
      </c>
    </row>
    <row r="92" spans="1:17" ht="13.5" hidden="1" customHeight="1" x14ac:dyDescent="0.2">
      <c r="A92" s="65"/>
      <c r="B92" s="25" t="s">
        <v>25</v>
      </c>
      <c r="C92" s="16">
        <f>820+50</f>
        <v>870</v>
      </c>
      <c r="D92" s="19">
        <f>53+87+9+24+28</f>
        <v>201</v>
      </c>
      <c r="E92" s="19">
        <f>460+23+11+8</f>
        <v>502</v>
      </c>
      <c r="F92" s="19"/>
      <c r="G92" s="19"/>
      <c r="H92" s="19"/>
      <c r="I92" s="19"/>
      <c r="J92" s="19"/>
      <c r="K92" s="19"/>
      <c r="L92" s="19"/>
      <c r="M92" s="19">
        <f>128+32</f>
        <v>160</v>
      </c>
      <c r="N92" s="19">
        <v>76</v>
      </c>
      <c r="O92" s="19">
        <f>256+69</f>
        <v>325</v>
      </c>
      <c r="P92" s="19">
        <f t="shared" si="25"/>
        <v>2134</v>
      </c>
      <c r="Q92" s="36">
        <f t="shared" ref="Q92:Q104" si="27">SUM(C92:O92)</f>
        <v>2134</v>
      </c>
    </row>
    <row r="93" spans="1:17" hidden="1" x14ac:dyDescent="0.2">
      <c r="A93" s="65"/>
      <c r="B93" s="25" t="s">
        <v>97</v>
      </c>
      <c r="C93" s="19">
        <v>100</v>
      </c>
      <c r="D93" s="19">
        <v>5</v>
      </c>
      <c r="E93" s="19">
        <v>32</v>
      </c>
      <c r="F93" s="19"/>
      <c r="G93" s="19"/>
      <c r="H93" s="19"/>
      <c r="I93" s="19"/>
      <c r="J93" s="19"/>
      <c r="K93" s="19"/>
      <c r="L93" s="19"/>
      <c r="M93" s="19">
        <v>31</v>
      </c>
      <c r="N93" s="19"/>
      <c r="O93" s="19"/>
      <c r="P93" s="19">
        <f t="shared" si="25"/>
        <v>168</v>
      </c>
      <c r="Q93" s="36">
        <f t="shared" si="27"/>
        <v>168</v>
      </c>
    </row>
    <row r="94" spans="1:17" ht="13.5" hidden="1" customHeight="1" x14ac:dyDescent="0.2">
      <c r="A94" s="85" t="s">
        <v>197</v>
      </c>
      <c r="B94" s="145" t="s">
        <v>80</v>
      </c>
      <c r="C94" s="199">
        <f t="shared" ref="C94:P94" si="28">SUM(C92:C93)</f>
        <v>970</v>
      </c>
      <c r="D94" s="199">
        <f t="shared" si="28"/>
        <v>206</v>
      </c>
      <c r="E94" s="199">
        <f t="shared" si="28"/>
        <v>534</v>
      </c>
      <c r="F94" s="199">
        <f t="shared" si="28"/>
        <v>0</v>
      </c>
      <c r="G94" s="199">
        <f t="shared" si="28"/>
        <v>0</v>
      </c>
      <c r="H94" s="199">
        <f t="shared" si="28"/>
        <v>0</v>
      </c>
      <c r="I94" s="199">
        <f t="shared" si="28"/>
        <v>0</v>
      </c>
      <c r="J94" s="199">
        <f t="shared" si="28"/>
        <v>0</v>
      </c>
      <c r="K94" s="199">
        <f t="shared" si="28"/>
        <v>0</v>
      </c>
      <c r="L94" s="199">
        <f t="shared" si="28"/>
        <v>0</v>
      </c>
      <c r="M94" s="199">
        <f t="shared" si="28"/>
        <v>191</v>
      </c>
      <c r="N94" s="199">
        <f t="shared" si="28"/>
        <v>76</v>
      </c>
      <c r="O94" s="199">
        <f t="shared" si="28"/>
        <v>325</v>
      </c>
      <c r="P94" s="199">
        <f t="shared" si="28"/>
        <v>2302</v>
      </c>
      <c r="Q94" s="36">
        <f t="shared" si="27"/>
        <v>2302</v>
      </c>
    </row>
    <row r="95" spans="1:17" ht="13.5" hidden="1" customHeight="1" x14ac:dyDescent="0.2">
      <c r="A95" s="85" t="s">
        <v>237</v>
      </c>
      <c r="B95" s="28" t="s">
        <v>260</v>
      </c>
      <c r="C95" s="82">
        <f t="shared" ref="C95:P95" si="29">SUM(C96:C104)</f>
        <v>238</v>
      </c>
      <c r="D95" s="82">
        <f t="shared" si="29"/>
        <v>592</v>
      </c>
      <c r="E95" s="82">
        <f t="shared" si="29"/>
        <v>325</v>
      </c>
      <c r="F95" s="82">
        <f t="shared" si="29"/>
        <v>50</v>
      </c>
      <c r="G95" s="82">
        <f t="shared" si="29"/>
        <v>0</v>
      </c>
      <c r="H95" s="82">
        <f t="shared" si="29"/>
        <v>0</v>
      </c>
      <c r="I95" s="82">
        <f t="shared" si="29"/>
        <v>1</v>
      </c>
      <c r="J95" s="82">
        <f t="shared" si="29"/>
        <v>0</v>
      </c>
      <c r="K95" s="82">
        <f t="shared" si="29"/>
        <v>35</v>
      </c>
      <c r="L95" s="82">
        <f t="shared" si="29"/>
        <v>0</v>
      </c>
      <c r="M95" s="82">
        <f t="shared" si="29"/>
        <v>0</v>
      </c>
      <c r="N95" s="82">
        <f t="shared" si="29"/>
        <v>40</v>
      </c>
      <c r="O95" s="82">
        <f t="shared" si="29"/>
        <v>0</v>
      </c>
      <c r="P95" s="82">
        <f t="shared" si="29"/>
        <v>1281</v>
      </c>
      <c r="Q95" s="36">
        <f t="shared" si="27"/>
        <v>1281</v>
      </c>
    </row>
    <row r="96" spans="1:17" ht="13.5" hidden="1" customHeight="1" x14ac:dyDescent="0.2">
      <c r="A96" s="65" t="s">
        <v>238</v>
      </c>
      <c r="B96" s="25" t="s">
        <v>341</v>
      </c>
      <c r="C96" s="200">
        <v>40</v>
      </c>
      <c r="D96" s="274"/>
      <c r="E96" s="274"/>
      <c r="F96" s="274"/>
      <c r="G96" s="19"/>
      <c r="H96" s="19"/>
      <c r="I96" s="19"/>
      <c r="J96" s="19"/>
      <c r="K96" s="19"/>
      <c r="L96" s="19"/>
      <c r="M96" s="19"/>
      <c r="N96" s="19"/>
      <c r="O96" s="19"/>
      <c r="P96" s="12">
        <f>SUM(C96:O96)</f>
        <v>40</v>
      </c>
      <c r="Q96" s="36">
        <f t="shared" si="27"/>
        <v>40</v>
      </c>
    </row>
    <row r="97" spans="1:18" ht="13.5" hidden="1" customHeight="1" x14ac:dyDescent="0.2">
      <c r="A97" s="65" t="s">
        <v>240</v>
      </c>
      <c r="B97" s="25" t="s">
        <v>261</v>
      </c>
      <c r="C97" s="20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2">
        <f t="shared" ref="P97:P117" si="30">SUM(C97:O97)</f>
        <v>0</v>
      </c>
      <c r="Q97" s="36">
        <f t="shared" si="27"/>
        <v>0</v>
      </c>
    </row>
    <row r="98" spans="1:18" ht="13.5" hidden="1" customHeight="1" x14ac:dyDescent="0.2">
      <c r="A98" s="65"/>
      <c r="B98" s="25" t="s">
        <v>282</v>
      </c>
      <c r="C98" s="200">
        <f>170-106-1</f>
        <v>63</v>
      </c>
      <c r="D98" s="19"/>
      <c r="E98" s="19">
        <v>5</v>
      </c>
      <c r="F98" s="19"/>
      <c r="G98" s="19"/>
      <c r="H98" s="19"/>
      <c r="I98" s="19">
        <v>1</v>
      </c>
      <c r="J98" s="19"/>
      <c r="K98" s="19"/>
      <c r="L98" s="19"/>
      <c r="M98" s="19"/>
      <c r="N98" s="19"/>
      <c r="O98" s="19"/>
      <c r="P98" s="12">
        <f t="shared" si="30"/>
        <v>69</v>
      </c>
      <c r="Q98" s="36">
        <f t="shared" si="27"/>
        <v>69</v>
      </c>
    </row>
    <row r="99" spans="1:18" ht="13.5" hidden="1" customHeight="1" x14ac:dyDescent="0.2">
      <c r="A99" s="65" t="s">
        <v>239</v>
      </c>
      <c r="B99" s="25" t="s">
        <v>262</v>
      </c>
      <c r="C99" s="20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2">
        <f t="shared" si="30"/>
        <v>0</v>
      </c>
      <c r="Q99" s="36">
        <f t="shared" si="27"/>
        <v>0</v>
      </c>
    </row>
    <row r="100" spans="1:18" ht="13.5" hidden="1" customHeight="1" x14ac:dyDescent="0.2">
      <c r="A100" s="65"/>
      <c r="B100" s="25" t="s">
        <v>314</v>
      </c>
      <c r="C100" s="20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2">
        <f t="shared" si="30"/>
        <v>0</v>
      </c>
      <c r="Q100" s="36">
        <f t="shared" si="27"/>
        <v>0</v>
      </c>
    </row>
    <row r="101" spans="1:18" ht="13.5" hidden="1" customHeight="1" x14ac:dyDescent="0.2">
      <c r="A101" s="65"/>
      <c r="B101" s="25" t="s">
        <v>283</v>
      </c>
      <c r="C101" s="200">
        <v>50</v>
      </c>
      <c r="D101" s="19">
        <v>300</v>
      </c>
      <c r="E101" s="19">
        <f>350-50</f>
        <v>300</v>
      </c>
      <c r="F101" s="19">
        <f>100-50</f>
        <v>50</v>
      </c>
      <c r="G101" s="19"/>
      <c r="H101" s="19"/>
      <c r="I101" s="19"/>
      <c r="J101" s="19"/>
      <c r="K101" s="19"/>
      <c r="L101" s="19"/>
      <c r="M101" s="19"/>
      <c r="N101" s="19"/>
      <c r="O101" s="19"/>
      <c r="P101" s="12">
        <f t="shared" si="30"/>
        <v>700</v>
      </c>
      <c r="Q101" s="36">
        <f t="shared" si="27"/>
        <v>700</v>
      </c>
    </row>
    <row r="102" spans="1:18" ht="13.5" hidden="1" customHeight="1" x14ac:dyDescent="0.2">
      <c r="A102" s="65"/>
      <c r="B102" s="25" t="s">
        <v>284</v>
      </c>
      <c r="C102" s="200">
        <v>75</v>
      </c>
      <c r="D102" s="19">
        <v>10</v>
      </c>
      <c r="E102" s="19"/>
      <c r="F102" s="19"/>
      <c r="G102" s="19"/>
      <c r="H102" s="19"/>
      <c r="I102" s="19"/>
      <c r="J102" s="19"/>
      <c r="K102" s="19">
        <f>25-10</f>
        <v>15</v>
      </c>
      <c r="L102" s="19"/>
      <c r="M102" s="19"/>
      <c r="N102" s="19"/>
      <c r="O102" s="19"/>
      <c r="P102" s="12">
        <f t="shared" si="30"/>
        <v>100</v>
      </c>
      <c r="Q102" s="36">
        <f t="shared" si="27"/>
        <v>100</v>
      </c>
    </row>
    <row r="103" spans="1:18" ht="13.5" hidden="1" customHeight="1" x14ac:dyDescent="0.2">
      <c r="A103" s="65"/>
      <c r="B103" s="25" t="s">
        <v>315</v>
      </c>
      <c r="C103" s="200">
        <v>10</v>
      </c>
      <c r="D103" s="19">
        <f>250-48+30+30</f>
        <v>262</v>
      </c>
      <c r="E103" s="19">
        <v>10</v>
      </c>
      <c r="F103" s="19"/>
      <c r="G103" s="19"/>
      <c r="H103" s="19"/>
      <c r="I103" s="19"/>
      <c r="J103" s="19"/>
      <c r="K103" s="19">
        <f>150-60-10-30-30</f>
        <v>20</v>
      </c>
      <c r="L103" s="19"/>
      <c r="M103" s="19"/>
      <c r="N103" s="19">
        <v>40</v>
      </c>
      <c r="O103" s="19"/>
      <c r="P103" s="12">
        <f t="shared" si="30"/>
        <v>342</v>
      </c>
      <c r="Q103" s="36">
        <f t="shared" si="27"/>
        <v>342</v>
      </c>
    </row>
    <row r="104" spans="1:18" ht="13.5" hidden="1" customHeight="1" x14ac:dyDescent="0.2">
      <c r="A104" s="65"/>
      <c r="B104" s="25" t="s">
        <v>293</v>
      </c>
      <c r="C104" s="200"/>
      <c r="D104" s="19">
        <v>20</v>
      </c>
      <c r="E104" s="19">
        <v>10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2">
        <f t="shared" si="30"/>
        <v>30</v>
      </c>
      <c r="Q104" s="36">
        <f t="shared" si="27"/>
        <v>30</v>
      </c>
    </row>
    <row r="105" spans="1:18" ht="13.5" hidden="1" customHeight="1" x14ac:dyDescent="0.2">
      <c r="A105" s="85" t="s">
        <v>241</v>
      </c>
      <c r="B105" s="28" t="s">
        <v>263</v>
      </c>
      <c r="C105" s="82">
        <f t="shared" ref="C105:O105" si="31">SUM(C106:C107)</f>
        <v>250</v>
      </c>
      <c r="D105" s="82">
        <f t="shared" si="31"/>
        <v>0</v>
      </c>
      <c r="E105" s="82">
        <f t="shared" si="31"/>
        <v>0</v>
      </c>
      <c r="F105" s="82">
        <f t="shared" si="31"/>
        <v>0</v>
      </c>
      <c r="G105" s="82">
        <f t="shared" si="31"/>
        <v>0</v>
      </c>
      <c r="H105" s="82">
        <f t="shared" si="31"/>
        <v>0</v>
      </c>
      <c r="I105" s="82">
        <f t="shared" si="31"/>
        <v>0</v>
      </c>
      <c r="J105" s="82">
        <f t="shared" si="31"/>
        <v>0</v>
      </c>
      <c r="K105" s="82">
        <f t="shared" si="31"/>
        <v>0</v>
      </c>
      <c r="L105" s="82">
        <f t="shared" si="31"/>
        <v>0</v>
      </c>
      <c r="M105" s="82">
        <f t="shared" si="31"/>
        <v>0</v>
      </c>
      <c r="N105" s="82">
        <f t="shared" si="31"/>
        <v>35</v>
      </c>
      <c r="O105" s="82">
        <f t="shared" si="31"/>
        <v>0</v>
      </c>
      <c r="P105" s="14">
        <f t="shared" si="30"/>
        <v>285</v>
      </c>
      <c r="Q105" s="36">
        <f>SUM(P106:P107)</f>
        <v>285</v>
      </c>
    </row>
    <row r="106" spans="1:18" ht="13.5" hidden="1" customHeight="1" x14ac:dyDescent="0.2">
      <c r="A106" s="65" t="s">
        <v>242</v>
      </c>
      <c r="B106" s="25" t="s">
        <v>337</v>
      </c>
      <c r="C106" s="200">
        <f>220-50</f>
        <v>170</v>
      </c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>
        <v>35</v>
      </c>
      <c r="O106" s="19"/>
      <c r="P106" s="12">
        <f t="shared" si="30"/>
        <v>205</v>
      </c>
      <c r="Q106" s="36">
        <f>SUM(C106:O106)</f>
        <v>205</v>
      </c>
    </row>
    <row r="107" spans="1:18" ht="13.5" hidden="1" customHeight="1" x14ac:dyDescent="0.2">
      <c r="A107" s="65" t="s">
        <v>243</v>
      </c>
      <c r="B107" s="25" t="s">
        <v>285</v>
      </c>
      <c r="C107" s="200">
        <v>80</v>
      </c>
      <c r="D107" s="274"/>
      <c r="E107" s="274"/>
      <c r="F107" s="274"/>
      <c r="G107" s="19"/>
      <c r="H107" s="19"/>
      <c r="I107" s="19"/>
      <c r="J107" s="19"/>
      <c r="K107" s="19"/>
      <c r="L107" s="19"/>
      <c r="M107" s="19"/>
      <c r="N107" s="19"/>
      <c r="O107" s="19"/>
      <c r="P107" s="12">
        <f t="shared" si="30"/>
        <v>80</v>
      </c>
      <c r="Q107" s="36">
        <f>SUM(C107:O107)</f>
        <v>80</v>
      </c>
    </row>
    <row r="108" spans="1:18" ht="13.5" hidden="1" customHeight="1" x14ac:dyDescent="0.2">
      <c r="A108" s="85" t="s">
        <v>244</v>
      </c>
      <c r="B108" s="28" t="s">
        <v>264</v>
      </c>
      <c r="C108" s="82">
        <f t="shared" ref="C108:O108" si="32">SUM(C109:C129)</f>
        <v>1719</v>
      </c>
      <c r="D108" s="82">
        <f t="shared" si="32"/>
        <v>678</v>
      </c>
      <c r="E108" s="82">
        <f t="shared" si="32"/>
        <v>350</v>
      </c>
      <c r="F108" s="82">
        <f t="shared" si="32"/>
        <v>105</v>
      </c>
      <c r="G108" s="82">
        <f t="shared" si="32"/>
        <v>1108</v>
      </c>
      <c r="H108" s="82">
        <f t="shared" si="32"/>
        <v>0</v>
      </c>
      <c r="I108" s="82">
        <f t="shared" si="32"/>
        <v>1380</v>
      </c>
      <c r="J108" s="82">
        <f t="shared" si="32"/>
        <v>0</v>
      </c>
      <c r="K108" s="82">
        <f t="shared" si="32"/>
        <v>600</v>
      </c>
      <c r="L108" s="82">
        <f t="shared" si="32"/>
        <v>0</v>
      </c>
      <c r="M108" s="82">
        <f t="shared" si="32"/>
        <v>3570</v>
      </c>
      <c r="N108" s="82">
        <f t="shared" si="32"/>
        <v>310</v>
      </c>
      <c r="O108" s="82">
        <f t="shared" si="32"/>
        <v>0</v>
      </c>
      <c r="P108" s="14">
        <f t="shared" si="30"/>
        <v>9820</v>
      </c>
      <c r="Q108" s="36">
        <f>SUM(P109:P129)</f>
        <v>9820</v>
      </c>
      <c r="R108" s="81"/>
    </row>
    <row r="109" spans="1:18" ht="13.5" hidden="1" customHeight="1" x14ac:dyDescent="0.2">
      <c r="A109" s="65" t="s">
        <v>245</v>
      </c>
      <c r="B109" s="25" t="s">
        <v>281</v>
      </c>
      <c r="C109" s="200">
        <v>700</v>
      </c>
      <c r="D109" s="19">
        <f>10+150</f>
        <v>160</v>
      </c>
      <c r="E109" s="19"/>
      <c r="F109" s="19">
        <v>20</v>
      </c>
      <c r="G109" s="19">
        <v>900</v>
      </c>
      <c r="H109" s="19"/>
      <c r="I109" s="19"/>
      <c r="J109" s="19"/>
      <c r="K109" s="19">
        <f>400+200</f>
        <v>600</v>
      </c>
      <c r="L109" s="19"/>
      <c r="M109" s="19">
        <v>45</v>
      </c>
      <c r="N109" s="19">
        <f>210+100</f>
        <v>310</v>
      </c>
      <c r="O109" s="19"/>
      <c r="P109" s="12">
        <f t="shared" si="30"/>
        <v>2735</v>
      </c>
      <c r="Q109" s="36">
        <f t="shared" ref="Q109:Q117" si="33">SUM(C109:O109)</f>
        <v>2735</v>
      </c>
    </row>
    <row r="110" spans="1:18" ht="13.5" hidden="1" customHeight="1" x14ac:dyDescent="0.2">
      <c r="A110" s="65" t="s">
        <v>291</v>
      </c>
      <c r="B110" s="25" t="s">
        <v>292</v>
      </c>
      <c r="C110" s="200"/>
      <c r="D110" s="19"/>
      <c r="E110" s="19"/>
      <c r="F110" s="19"/>
      <c r="G110" s="19"/>
      <c r="H110" s="19"/>
      <c r="I110" s="19">
        <f>696+584</f>
        <v>1280</v>
      </c>
      <c r="J110" s="19"/>
      <c r="K110" s="19"/>
      <c r="L110" s="19"/>
      <c r="M110" s="19"/>
      <c r="N110" s="19"/>
      <c r="O110" s="19"/>
      <c r="P110" s="12">
        <f t="shared" si="30"/>
        <v>1280</v>
      </c>
      <c r="Q110" s="36">
        <f t="shared" si="33"/>
        <v>1280</v>
      </c>
    </row>
    <row r="111" spans="1:18" ht="13.5" hidden="1" customHeight="1" x14ac:dyDescent="0.2">
      <c r="A111" s="65" t="s">
        <v>246</v>
      </c>
      <c r="B111" s="25" t="s">
        <v>280</v>
      </c>
      <c r="C111" s="200">
        <v>50</v>
      </c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2">
        <f t="shared" si="30"/>
        <v>50</v>
      </c>
      <c r="Q111" s="36">
        <f t="shared" si="33"/>
        <v>50</v>
      </c>
    </row>
    <row r="112" spans="1:18" ht="13.5" hidden="1" customHeight="1" x14ac:dyDescent="0.2">
      <c r="A112" s="65" t="s">
        <v>247</v>
      </c>
      <c r="B112" s="25" t="s">
        <v>279</v>
      </c>
      <c r="C112" s="200">
        <f>250-80</f>
        <v>170</v>
      </c>
      <c r="D112" s="19">
        <f>100+80+50+20+30</f>
        <v>280</v>
      </c>
      <c r="E112" s="19">
        <f>100-30-20</f>
        <v>50</v>
      </c>
      <c r="F112" s="19">
        <f>50-30</f>
        <v>20</v>
      </c>
      <c r="G112" s="19">
        <v>208</v>
      </c>
      <c r="H112" s="19"/>
      <c r="I112" s="19"/>
      <c r="J112" s="19"/>
      <c r="K112" s="19">
        <f>50-50</f>
        <v>0</v>
      </c>
      <c r="L112" s="19"/>
      <c r="M112" s="19"/>
      <c r="N112" s="19"/>
      <c r="O112" s="19"/>
      <c r="P112" s="12">
        <f t="shared" si="30"/>
        <v>728</v>
      </c>
      <c r="Q112" s="36">
        <f t="shared" si="33"/>
        <v>728</v>
      </c>
    </row>
    <row r="113" spans="1:17" ht="13.5" hidden="1" customHeight="1" x14ac:dyDescent="0.2">
      <c r="A113" s="65" t="s">
        <v>248</v>
      </c>
      <c r="B113" s="25" t="s">
        <v>278</v>
      </c>
      <c r="C113" s="200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2">
        <f t="shared" si="30"/>
        <v>0</v>
      </c>
      <c r="Q113" s="36">
        <f t="shared" si="33"/>
        <v>0</v>
      </c>
    </row>
    <row r="114" spans="1:17" ht="13.5" hidden="1" customHeight="1" x14ac:dyDescent="0.2">
      <c r="A114" s="65" t="s">
        <v>249</v>
      </c>
      <c r="B114" s="25" t="s">
        <v>277</v>
      </c>
      <c r="C114" s="200">
        <f>60-22</f>
        <v>38</v>
      </c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2">
        <f t="shared" si="30"/>
        <v>38</v>
      </c>
      <c r="Q114" s="36">
        <f t="shared" si="33"/>
        <v>38</v>
      </c>
    </row>
    <row r="115" spans="1:17" ht="13.5" hidden="1" customHeight="1" x14ac:dyDescent="0.2">
      <c r="A115" s="65"/>
      <c r="B115" s="25" t="s">
        <v>297</v>
      </c>
      <c r="C115" s="25">
        <f>10+22</f>
        <v>32</v>
      </c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2">
        <f t="shared" si="30"/>
        <v>32</v>
      </c>
      <c r="Q115" s="36">
        <f t="shared" si="33"/>
        <v>32</v>
      </c>
    </row>
    <row r="116" spans="1:17" ht="13.5" hidden="1" customHeight="1" x14ac:dyDescent="0.2">
      <c r="A116" s="65"/>
      <c r="B116" s="25" t="s">
        <v>620</v>
      </c>
      <c r="C116" s="25">
        <v>100</v>
      </c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2">
        <f t="shared" si="30"/>
        <v>100</v>
      </c>
      <c r="Q116" s="36">
        <f t="shared" si="33"/>
        <v>100</v>
      </c>
    </row>
    <row r="117" spans="1:17" ht="13.5" hidden="1" customHeight="1" x14ac:dyDescent="0.2">
      <c r="A117" s="65"/>
      <c r="B117" s="25" t="s">
        <v>490</v>
      </c>
      <c r="C117" s="25"/>
      <c r="D117" s="19"/>
      <c r="E117" s="19"/>
      <c r="F117" s="19"/>
      <c r="G117" s="19"/>
      <c r="H117" s="19"/>
      <c r="I117" s="19"/>
      <c r="J117" s="19"/>
      <c r="K117" s="19"/>
      <c r="L117" s="19"/>
      <c r="M117" s="19">
        <f>(2871+15)-168+779</f>
        <v>3497</v>
      </c>
      <c r="N117" s="19"/>
      <c r="O117" s="19"/>
      <c r="P117" s="12">
        <f t="shared" si="30"/>
        <v>3497</v>
      </c>
      <c r="Q117" s="36">
        <f t="shared" si="33"/>
        <v>3497</v>
      </c>
    </row>
    <row r="118" spans="1:17" ht="13.5" hidden="1" customHeight="1" x14ac:dyDescent="0.2">
      <c r="A118" s="65"/>
      <c r="B118" s="25" t="s">
        <v>78</v>
      </c>
      <c r="C118" s="25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2">
        <f>SUM(C118:O118)</f>
        <v>0</v>
      </c>
      <c r="Q118" s="36">
        <f>SUM(C118:O118)</f>
        <v>0</v>
      </c>
    </row>
    <row r="119" spans="1:17" ht="13.5" hidden="1" customHeight="1" x14ac:dyDescent="0.2">
      <c r="A119" s="65"/>
      <c r="B119" s="25" t="s">
        <v>298</v>
      </c>
      <c r="C119" s="25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2">
        <f>SUM(C119:O119)</f>
        <v>0</v>
      </c>
      <c r="Q119" s="36">
        <f>SUM(C119:O119)</f>
        <v>0</v>
      </c>
    </row>
    <row r="120" spans="1:17" ht="13.5" hidden="1" customHeight="1" x14ac:dyDescent="0.2">
      <c r="A120" s="65" t="s">
        <v>250</v>
      </c>
      <c r="B120" s="25" t="s">
        <v>276</v>
      </c>
      <c r="C120" s="20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2">
        <f t="shared" ref="P120:P127" si="34">SUM(C120:O120)</f>
        <v>0</v>
      </c>
      <c r="Q120" s="36">
        <f t="shared" ref="Q120:Q127" si="35">SUM(C120:O120)</f>
        <v>0</v>
      </c>
    </row>
    <row r="121" spans="1:17" ht="13.5" hidden="1" customHeight="1" x14ac:dyDescent="0.2">
      <c r="A121" s="65"/>
      <c r="B121" s="10" t="s">
        <v>339</v>
      </c>
      <c r="C121" s="19">
        <v>75</v>
      </c>
      <c r="D121" s="19"/>
      <c r="E121" s="19"/>
      <c r="F121" s="19"/>
      <c r="G121" s="19"/>
      <c r="H121" s="19"/>
      <c r="I121" s="19"/>
      <c r="J121" s="19"/>
      <c r="K121" s="19"/>
      <c r="L121" s="19"/>
      <c r="M121" s="19">
        <f>45-37</f>
        <v>8</v>
      </c>
      <c r="N121" s="19"/>
      <c r="O121" s="19"/>
      <c r="P121" s="12">
        <f t="shared" si="34"/>
        <v>83</v>
      </c>
      <c r="Q121" s="36">
        <f t="shared" si="35"/>
        <v>83</v>
      </c>
    </row>
    <row r="122" spans="1:17" ht="13.5" hidden="1" customHeight="1" x14ac:dyDescent="0.2">
      <c r="A122" s="65"/>
      <c r="B122" s="10" t="s">
        <v>390</v>
      </c>
      <c r="C122" s="19">
        <f>370-70-6</f>
        <v>294</v>
      </c>
      <c r="D122" s="19"/>
      <c r="E122" s="19"/>
      <c r="F122" s="19"/>
      <c r="G122" s="19"/>
      <c r="H122" s="19"/>
      <c r="I122" s="19"/>
      <c r="J122" s="19"/>
      <c r="K122" s="19"/>
      <c r="L122" s="19"/>
      <c r="M122" s="19">
        <f>14+6</f>
        <v>20</v>
      </c>
      <c r="N122" s="19"/>
      <c r="O122" s="19"/>
      <c r="P122" s="12">
        <f t="shared" si="34"/>
        <v>314</v>
      </c>
      <c r="Q122" s="36">
        <f t="shared" si="35"/>
        <v>314</v>
      </c>
    </row>
    <row r="123" spans="1:17" hidden="1" x14ac:dyDescent="0.2">
      <c r="A123" s="65"/>
      <c r="B123" s="10" t="s">
        <v>288</v>
      </c>
      <c r="C123" s="19">
        <v>100</v>
      </c>
      <c r="D123" s="19">
        <v>15</v>
      </c>
      <c r="E123" s="19">
        <v>190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2">
        <f t="shared" si="34"/>
        <v>305</v>
      </c>
      <c r="Q123" s="36">
        <f t="shared" si="35"/>
        <v>305</v>
      </c>
    </row>
    <row r="124" spans="1:17" hidden="1" x14ac:dyDescent="0.2">
      <c r="A124" s="65"/>
      <c r="B124" s="10" t="s">
        <v>340</v>
      </c>
      <c r="C124" s="19"/>
      <c r="D124" s="19"/>
      <c r="E124" s="19">
        <v>60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2">
        <f t="shared" si="34"/>
        <v>60</v>
      </c>
      <c r="Q124" s="36">
        <f t="shared" si="35"/>
        <v>60</v>
      </c>
    </row>
    <row r="125" spans="1:17" hidden="1" x14ac:dyDescent="0.2">
      <c r="A125" s="65"/>
      <c r="B125" s="10" t="s">
        <v>342</v>
      </c>
      <c r="C125" s="19"/>
      <c r="D125" s="19">
        <f>50-50</f>
        <v>0</v>
      </c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2">
        <f t="shared" si="34"/>
        <v>0</v>
      </c>
      <c r="Q125" s="36">
        <f t="shared" si="35"/>
        <v>0</v>
      </c>
    </row>
    <row r="126" spans="1:17" hidden="1" x14ac:dyDescent="0.2">
      <c r="A126" s="65"/>
      <c r="B126" s="10" t="s">
        <v>453</v>
      </c>
      <c r="C126" s="19"/>
      <c r="D126" s="19">
        <f>100-100</f>
        <v>0</v>
      </c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2">
        <f t="shared" si="34"/>
        <v>0</v>
      </c>
      <c r="Q126" s="36">
        <f t="shared" si="35"/>
        <v>0</v>
      </c>
    </row>
    <row r="127" spans="1:17" hidden="1" x14ac:dyDescent="0.2">
      <c r="A127" s="65"/>
      <c r="B127" s="10" t="s">
        <v>287</v>
      </c>
      <c r="C127" s="19">
        <f>10+15</f>
        <v>25</v>
      </c>
      <c r="D127" s="19">
        <f>175-24-28-50</f>
        <v>73</v>
      </c>
      <c r="E127" s="19"/>
      <c r="F127" s="19">
        <v>15</v>
      </c>
      <c r="G127" s="19"/>
      <c r="H127" s="19"/>
      <c r="I127" s="19"/>
      <c r="J127" s="19"/>
      <c r="K127" s="19"/>
      <c r="L127" s="19"/>
      <c r="M127" s="19"/>
      <c r="N127" s="19"/>
      <c r="O127" s="19"/>
      <c r="P127" s="12">
        <f t="shared" si="34"/>
        <v>113</v>
      </c>
      <c r="Q127" s="36">
        <f t="shared" si="35"/>
        <v>113</v>
      </c>
    </row>
    <row r="128" spans="1:17" hidden="1" x14ac:dyDescent="0.2">
      <c r="A128" s="65"/>
      <c r="B128" s="25" t="s">
        <v>335</v>
      </c>
      <c r="C128" s="200">
        <f>300-150-15</f>
        <v>135</v>
      </c>
      <c r="D128" s="19">
        <f>50+100</f>
        <v>150</v>
      </c>
      <c r="E128" s="19">
        <v>50</v>
      </c>
      <c r="F128" s="19">
        <v>50</v>
      </c>
      <c r="G128" s="19"/>
      <c r="H128" s="19"/>
      <c r="I128" s="19">
        <v>100</v>
      </c>
      <c r="J128" s="19"/>
      <c r="K128" s="19">
        <f>60-60</f>
        <v>0</v>
      </c>
      <c r="L128" s="19"/>
      <c r="M128" s="19"/>
      <c r="N128" s="19">
        <f>50-50</f>
        <v>0</v>
      </c>
      <c r="O128" s="19"/>
      <c r="P128" s="12">
        <f>SUM(C128:O128)</f>
        <v>485</v>
      </c>
      <c r="Q128" s="36">
        <f>SUM(C128:O128)</f>
        <v>485</v>
      </c>
    </row>
    <row r="129" spans="1:18" hidden="1" x14ac:dyDescent="0.2">
      <c r="A129" s="65"/>
      <c r="B129" s="25" t="s">
        <v>455</v>
      </c>
      <c r="C129" s="20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2">
        <f>SUM(C129:O129)</f>
        <v>0</v>
      </c>
      <c r="Q129" s="36">
        <f>SUM(C129:O129)</f>
        <v>0</v>
      </c>
    </row>
    <row r="130" spans="1:18" ht="13.5" hidden="1" customHeight="1" x14ac:dyDescent="0.2">
      <c r="A130" s="85" t="s">
        <v>251</v>
      </c>
      <c r="B130" s="28" t="s">
        <v>235</v>
      </c>
      <c r="C130" s="82">
        <f t="shared" ref="C130:O130" si="36">SUM(C131:C132)</f>
        <v>20</v>
      </c>
      <c r="D130" s="82">
        <f t="shared" si="36"/>
        <v>0</v>
      </c>
      <c r="E130" s="82">
        <f t="shared" si="36"/>
        <v>0</v>
      </c>
      <c r="F130" s="82">
        <f t="shared" si="36"/>
        <v>0</v>
      </c>
      <c r="G130" s="82">
        <f t="shared" si="36"/>
        <v>0</v>
      </c>
      <c r="H130" s="82">
        <f t="shared" si="36"/>
        <v>0</v>
      </c>
      <c r="I130" s="82">
        <f t="shared" si="36"/>
        <v>0</v>
      </c>
      <c r="J130" s="82">
        <f t="shared" si="36"/>
        <v>0</v>
      </c>
      <c r="K130" s="82">
        <f t="shared" si="36"/>
        <v>0</v>
      </c>
      <c r="L130" s="82">
        <f t="shared" si="36"/>
        <v>0</v>
      </c>
      <c r="M130" s="82">
        <f t="shared" si="36"/>
        <v>0</v>
      </c>
      <c r="N130" s="82">
        <f t="shared" si="36"/>
        <v>0</v>
      </c>
      <c r="O130" s="82">
        <f t="shared" si="36"/>
        <v>0</v>
      </c>
      <c r="P130" s="14">
        <f t="shared" ref="P130:P142" si="37">SUM(C130:O130)</f>
        <v>20</v>
      </c>
      <c r="Q130" s="36">
        <f>SUM(C130:O130)</f>
        <v>20</v>
      </c>
    </row>
    <row r="131" spans="1:18" ht="13.5" hidden="1" customHeight="1" x14ac:dyDescent="0.2">
      <c r="A131" s="65" t="s">
        <v>252</v>
      </c>
      <c r="B131" s="25" t="s">
        <v>275</v>
      </c>
      <c r="C131" s="200"/>
      <c r="D131" s="274"/>
      <c r="E131" s="82"/>
      <c r="F131" s="274"/>
      <c r="G131" s="19"/>
      <c r="H131" s="19"/>
      <c r="I131" s="19"/>
      <c r="J131" s="19"/>
      <c r="K131" s="19"/>
      <c r="L131" s="19"/>
      <c r="M131" s="19"/>
      <c r="N131" s="19"/>
      <c r="O131" s="19"/>
      <c r="P131" s="12">
        <f t="shared" si="37"/>
        <v>0</v>
      </c>
      <c r="Q131" s="36">
        <f>SUM(C131:O131)</f>
        <v>0</v>
      </c>
    </row>
    <row r="132" spans="1:18" ht="13.5" hidden="1" customHeight="1" x14ac:dyDescent="0.2">
      <c r="A132" s="65" t="s">
        <v>253</v>
      </c>
      <c r="B132" s="25" t="s">
        <v>286</v>
      </c>
      <c r="C132" s="200">
        <f>50-30</f>
        <v>20</v>
      </c>
      <c r="D132" s="274"/>
      <c r="E132" s="274"/>
      <c r="F132" s="274"/>
      <c r="G132" s="19"/>
      <c r="H132" s="19"/>
      <c r="I132" s="19"/>
      <c r="J132" s="19"/>
      <c r="K132" s="19">
        <f>50-18-32</f>
        <v>0</v>
      </c>
      <c r="L132" s="19"/>
      <c r="M132" s="19"/>
      <c r="N132" s="19"/>
      <c r="O132" s="19"/>
      <c r="P132" s="12">
        <f t="shared" si="37"/>
        <v>20</v>
      </c>
      <c r="Q132" s="36">
        <f>SUM(C132:O132)</f>
        <v>20</v>
      </c>
    </row>
    <row r="133" spans="1:18" ht="13.5" hidden="1" customHeight="1" x14ac:dyDescent="0.2">
      <c r="A133" s="85" t="s">
        <v>254</v>
      </c>
      <c r="B133" s="28" t="s">
        <v>236</v>
      </c>
      <c r="C133" s="82">
        <f t="shared" ref="C133:O133" si="38">SUM(C134:C140)</f>
        <v>820</v>
      </c>
      <c r="D133" s="82">
        <f t="shared" si="38"/>
        <v>437</v>
      </c>
      <c r="E133" s="82">
        <f t="shared" si="38"/>
        <v>171</v>
      </c>
      <c r="F133" s="82">
        <f t="shared" si="38"/>
        <v>33</v>
      </c>
      <c r="G133" s="82">
        <f t="shared" si="38"/>
        <v>273</v>
      </c>
      <c r="H133" s="82">
        <f t="shared" si="38"/>
        <v>0</v>
      </c>
      <c r="I133" s="82">
        <f t="shared" si="38"/>
        <v>345</v>
      </c>
      <c r="J133" s="82">
        <f t="shared" si="38"/>
        <v>23</v>
      </c>
      <c r="K133" s="82">
        <f t="shared" si="38"/>
        <v>238</v>
      </c>
      <c r="L133" s="82">
        <f t="shared" si="38"/>
        <v>0</v>
      </c>
      <c r="M133" s="82">
        <f t="shared" si="38"/>
        <v>243</v>
      </c>
      <c r="N133" s="82">
        <f t="shared" si="38"/>
        <v>119</v>
      </c>
      <c r="O133" s="82">
        <f t="shared" si="38"/>
        <v>0</v>
      </c>
      <c r="P133" s="14">
        <f t="shared" si="37"/>
        <v>2702</v>
      </c>
      <c r="Q133" s="36">
        <f>SUM(Q134:Q140)</f>
        <v>2702</v>
      </c>
      <c r="R133" s="81"/>
    </row>
    <row r="134" spans="1:18" ht="13.5" hidden="1" customHeight="1" x14ac:dyDescent="0.2">
      <c r="A134" s="65" t="s">
        <v>255</v>
      </c>
      <c r="B134" s="25" t="s">
        <v>265</v>
      </c>
      <c r="C134" s="200">
        <f>650-90-23-2</f>
        <v>535</v>
      </c>
      <c r="D134" s="200">
        <f>400-55</f>
        <v>345</v>
      </c>
      <c r="E134" s="200">
        <f>161</f>
        <v>161</v>
      </c>
      <c r="F134" s="200">
        <f>63-30</f>
        <v>33</v>
      </c>
      <c r="G134" s="200">
        <f>243+30</f>
        <v>273</v>
      </c>
      <c r="H134" s="200">
        <v>0</v>
      </c>
      <c r="I134" s="200">
        <f>188+157</f>
        <v>345</v>
      </c>
      <c r="J134" s="200">
        <v>23</v>
      </c>
      <c r="K134" s="200">
        <v>200</v>
      </c>
      <c r="L134" s="200"/>
      <c r="M134" s="200">
        <f>804-779+48+2</f>
        <v>75</v>
      </c>
      <c r="N134" s="200">
        <v>99</v>
      </c>
      <c r="O134" s="200">
        <v>0</v>
      </c>
      <c r="P134" s="12">
        <f t="shared" si="37"/>
        <v>2089</v>
      </c>
      <c r="Q134" s="36">
        <f t="shared" ref="Q134:Q140" si="39">SUM(C134:O134)</f>
        <v>2089</v>
      </c>
    </row>
    <row r="135" spans="1:18" ht="13.5" hidden="1" customHeight="1" x14ac:dyDescent="0.2">
      <c r="A135" s="65" t="s">
        <v>256</v>
      </c>
      <c r="B135" s="25" t="s">
        <v>266</v>
      </c>
      <c r="C135" s="200">
        <v>50</v>
      </c>
      <c r="D135" s="274"/>
      <c r="E135" s="19"/>
      <c r="F135" s="274" t="s">
        <v>670</v>
      </c>
      <c r="G135" s="19"/>
      <c r="H135" s="19"/>
      <c r="I135" s="19"/>
      <c r="J135" s="19"/>
      <c r="K135" s="19"/>
      <c r="L135" s="19"/>
      <c r="M135" s="19"/>
      <c r="N135" s="19"/>
      <c r="O135" s="19"/>
      <c r="P135" s="12">
        <f t="shared" si="37"/>
        <v>50</v>
      </c>
      <c r="Q135" s="36">
        <f t="shared" si="39"/>
        <v>50</v>
      </c>
    </row>
    <row r="136" spans="1:18" ht="13.5" hidden="1" customHeight="1" x14ac:dyDescent="0.2">
      <c r="A136" s="65" t="s">
        <v>257</v>
      </c>
      <c r="B136" s="25" t="s">
        <v>267</v>
      </c>
      <c r="C136" s="200">
        <v>20</v>
      </c>
      <c r="D136" s="274"/>
      <c r="E136" s="274"/>
      <c r="F136" s="274"/>
      <c r="G136" s="19"/>
      <c r="H136" s="19"/>
      <c r="I136" s="19"/>
      <c r="J136" s="19"/>
      <c r="K136" s="19"/>
      <c r="L136" s="19"/>
      <c r="M136" s="19"/>
      <c r="N136" s="19"/>
      <c r="O136" s="19"/>
      <c r="P136" s="12">
        <f t="shared" si="37"/>
        <v>20</v>
      </c>
      <c r="Q136" s="36">
        <f t="shared" si="39"/>
        <v>20</v>
      </c>
    </row>
    <row r="137" spans="1:18" ht="13.5" hidden="1" customHeight="1" x14ac:dyDescent="0.2">
      <c r="A137" s="65" t="s">
        <v>258</v>
      </c>
      <c r="B137" s="25" t="s">
        <v>268</v>
      </c>
      <c r="C137" s="200"/>
      <c r="D137" s="274"/>
      <c r="E137" s="274"/>
      <c r="F137" s="274"/>
      <c r="G137" s="19"/>
      <c r="H137" s="19"/>
      <c r="I137" s="19"/>
      <c r="J137" s="19"/>
      <c r="K137" s="19"/>
      <c r="L137" s="19"/>
      <c r="M137" s="19"/>
      <c r="N137" s="19"/>
      <c r="O137" s="19"/>
      <c r="P137" s="12">
        <f t="shared" si="37"/>
        <v>0</v>
      </c>
      <c r="Q137" s="36">
        <f t="shared" si="39"/>
        <v>0</v>
      </c>
    </row>
    <row r="138" spans="1:18" ht="13.5" hidden="1" customHeight="1" x14ac:dyDescent="0.2">
      <c r="A138" s="65" t="s">
        <v>259</v>
      </c>
      <c r="B138" s="25" t="s">
        <v>40</v>
      </c>
      <c r="C138" s="200">
        <f>50+80</f>
        <v>130</v>
      </c>
      <c r="D138" s="19">
        <f>30+32+30</f>
        <v>92</v>
      </c>
      <c r="E138" s="19">
        <v>10</v>
      </c>
      <c r="F138" s="19"/>
      <c r="G138" s="19"/>
      <c r="H138" s="19"/>
      <c r="I138" s="19"/>
      <c r="J138" s="19"/>
      <c r="K138" s="19"/>
      <c r="L138" s="19"/>
      <c r="M138" s="19">
        <f>168</f>
        <v>168</v>
      </c>
      <c r="N138" s="19">
        <v>20</v>
      </c>
      <c r="O138" s="19"/>
      <c r="P138" s="12">
        <f t="shared" si="37"/>
        <v>420</v>
      </c>
      <c r="Q138" s="36">
        <f t="shared" si="39"/>
        <v>420</v>
      </c>
    </row>
    <row r="139" spans="1:18" ht="13.5" hidden="1" customHeight="1" x14ac:dyDescent="0.2">
      <c r="A139" s="65"/>
      <c r="B139" s="25" t="s">
        <v>455</v>
      </c>
      <c r="C139" s="20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2">
        <f t="shared" si="37"/>
        <v>0</v>
      </c>
      <c r="Q139" s="36">
        <f t="shared" si="39"/>
        <v>0</v>
      </c>
    </row>
    <row r="140" spans="1:18" ht="13.5" hidden="1" customHeight="1" x14ac:dyDescent="0.2">
      <c r="A140" s="65"/>
      <c r="B140" s="25" t="s">
        <v>289</v>
      </c>
      <c r="C140" s="16">
        <f>50+35</f>
        <v>85</v>
      </c>
      <c r="D140" s="274"/>
      <c r="E140" s="19"/>
      <c r="F140" s="274"/>
      <c r="G140" s="19"/>
      <c r="H140" s="19"/>
      <c r="I140" s="19"/>
      <c r="J140" s="19"/>
      <c r="K140" s="19">
        <f>20+18</f>
        <v>38</v>
      </c>
      <c r="L140" s="19"/>
      <c r="M140" s="19">
        <f>111-111</f>
        <v>0</v>
      </c>
      <c r="N140" s="19"/>
      <c r="O140" s="19"/>
      <c r="P140" s="12">
        <f t="shared" si="37"/>
        <v>123</v>
      </c>
      <c r="Q140" s="36">
        <f t="shared" si="39"/>
        <v>123</v>
      </c>
    </row>
    <row r="141" spans="1:18" ht="13.5" hidden="1" customHeight="1" x14ac:dyDescent="0.2">
      <c r="A141" s="85" t="s">
        <v>270</v>
      </c>
      <c r="B141" s="145" t="s">
        <v>26</v>
      </c>
      <c r="C141" s="199">
        <f t="shared" ref="C141:O141" si="40">SUM(C95+C105+C108+C130+C133)</f>
        <v>3047</v>
      </c>
      <c r="D141" s="199">
        <f t="shared" si="40"/>
        <v>1707</v>
      </c>
      <c r="E141" s="199">
        <f t="shared" si="40"/>
        <v>846</v>
      </c>
      <c r="F141" s="199">
        <f t="shared" si="40"/>
        <v>188</v>
      </c>
      <c r="G141" s="199">
        <f t="shared" si="40"/>
        <v>1381</v>
      </c>
      <c r="H141" s="199">
        <f t="shared" si="40"/>
        <v>0</v>
      </c>
      <c r="I141" s="199">
        <f t="shared" si="40"/>
        <v>1726</v>
      </c>
      <c r="J141" s="199">
        <f t="shared" si="40"/>
        <v>23</v>
      </c>
      <c r="K141" s="199">
        <f t="shared" si="40"/>
        <v>873</v>
      </c>
      <c r="L141" s="199">
        <f t="shared" si="40"/>
        <v>0</v>
      </c>
      <c r="M141" s="199">
        <f t="shared" si="40"/>
        <v>3813</v>
      </c>
      <c r="N141" s="199">
        <f t="shared" si="40"/>
        <v>504</v>
      </c>
      <c r="O141" s="199">
        <f t="shared" si="40"/>
        <v>0</v>
      </c>
      <c r="P141" s="206">
        <f t="shared" si="37"/>
        <v>14108</v>
      </c>
      <c r="Q141" s="36">
        <f>SUM(P95+P105+P108+P130+P133)</f>
        <v>14108</v>
      </c>
    </row>
    <row r="142" spans="1:18" ht="13.5" hidden="1" customHeight="1" x14ac:dyDescent="0.2">
      <c r="A142" s="203" t="s">
        <v>269</v>
      </c>
      <c r="B142" s="145" t="s">
        <v>406</v>
      </c>
      <c r="C142" s="199">
        <f>100-100</f>
        <v>0</v>
      </c>
      <c r="D142" s="206"/>
      <c r="E142" s="199"/>
      <c r="F142" s="206"/>
      <c r="G142" s="206"/>
      <c r="H142" s="206"/>
      <c r="I142" s="206"/>
      <c r="J142" s="206">
        <f>422+3823+395</f>
        <v>4640</v>
      </c>
      <c r="K142" s="206"/>
      <c r="L142" s="206"/>
      <c r="M142" s="206"/>
      <c r="N142" s="206"/>
      <c r="O142" s="206"/>
      <c r="P142" s="206">
        <f t="shared" si="37"/>
        <v>4640</v>
      </c>
      <c r="Q142" s="36">
        <f>SUM(P142)</f>
        <v>4640</v>
      </c>
    </row>
    <row r="143" spans="1:18" ht="13.5" hidden="1" customHeight="1" x14ac:dyDescent="0.2">
      <c r="A143" s="203" t="s">
        <v>294</v>
      </c>
      <c r="B143" s="145" t="s">
        <v>33</v>
      </c>
      <c r="C143" s="199">
        <f>'4. Átadott p.eszk.'!C126</f>
        <v>0</v>
      </c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>
        <f>SUM(C143:O143)</f>
        <v>0</v>
      </c>
      <c r="Q143" s="36">
        <f>SUM(C143:O143)</f>
        <v>0</v>
      </c>
    </row>
    <row r="144" spans="1:18" ht="13.5" hidden="1" customHeight="1" thickBot="1" x14ac:dyDescent="0.25">
      <c r="A144" s="203" t="s">
        <v>295</v>
      </c>
      <c r="B144" s="202" t="s">
        <v>296</v>
      </c>
      <c r="C144" s="146">
        <f>SUM('3.felh'!C120)</f>
        <v>0</v>
      </c>
      <c r="D144" s="210"/>
      <c r="E144" s="206"/>
      <c r="F144" s="210"/>
      <c r="G144" s="210"/>
      <c r="H144" s="210"/>
      <c r="I144" s="210"/>
      <c r="J144" s="210"/>
      <c r="K144" s="210"/>
      <c r="L144" s="210"/>
      <c r="M144" s="210">
        <v>275</v>
      </c>
      <c r="N144" s="210"/>
      <c r="O144" s="210"/>
      <c r="P144" s="210">
        <f>SUM(C144:O144)</f>
        <v>275</v>
      </c>
      <c r="Q144" s="36">
        <f>SUM(C144:O144)</f>
        <v>275</v>
      </c>
    </row>
    <row r="145" spans="1:17" ht="22.5" hidden="1" customHeight="1" thickBot="1" x14ac:dyDescent="0.4">
      <c r="A145" s="201"/>
      <c r="B145" s="244" t="s">
        <v>5</v>
      </c>
      <c r="C145" s="211">
        <f t="shared" ref="C145:O145" si="41">SUM(C91+C94+C141+C142+C143+C144)</f>
        <v>9516</v>
      </c>
      <c r="D145" s="211">
        <f t="shared" si="41"/>
        <v>3071</v>
      </c>
      <c r="E145" s="211">
        <f t="shared" si="41"/>
        <v>4479</v>
      </c>
      <c r="F145" s="211">
        <f t="shared" si="41"/>
        <v>188</v>
      </c>
      <c r="G145" s="211">
        <f t="shared" si="41"/>
        <v>1381</v>
      </c>
      <c r="H145" s="211">
        <f t="shared" si="41"/>
        <v>0</v>
      </c>
      <c r="I145" s="211">
        <f t="shared" si="41"/>
        <v>1726</v>
      </c>
      <c r="J145" s="211">
        <f t="shared" si="41"/>
        <v>4663</v>
      </c>
      <c r="K145" s="211">
        <f t="shared" si="41"/>
        <v>873</v>
      </c>
      <c r="L145" s="211">
        <f t="shared" si="41"/>
        <v>0</v>
      </c>
      <c r="M145" s="211">
        <f t="shared" si="41"/>
        <v>4940</v>
      </c>
      <c r="N145" s="211">
        <f t="shared" si="41"/>
        <v>1070</v>
      </c>
      <c r="O145" s="211">
        <f t="shared" si="41"/>
        <v>4381</v>
      </c>
      <c r="P145" s="243">
        <f>SUM(C145:O145)</f>
        <v>36288</v>
      </c>
      <c r="Q145" s="36">
        <f>SUM(P91+P94+P141+P142+P143+P144)</f>
        <v>36288</v>
      </c>
    </row>
    <row r="146" spans="1:17" hidden="1" x14ac:dyDescent="0.2">
      <c r="A146" s="65"/>
      <c r="B146" s="83" t="s">
        <v>41</v>
      </c>
      <c r="C146" s="205"/>
      <c r="D146" s="207">
        <v>1</v>
      </c>
      <c r="E146" s="207">
        <v>1</v>
      </c>
      <c r="F146" s="207"/>
      <c r="G146" s="86"/>
      <c r="H146" s="86"/>
      <c r="I146" s="204"/>
      <c r="J146" s="204"/>
      <c r="K146" s="204"/>
      <c r="L146" s="204"/>
      <c r="M146" s="204"/>
      <c r="N146" s="204"/>
      <c r="O146" s="204">
        <v>6</v>
      </c>
      <c r="P146" s="204">
        <f>SUM(C146:O146)</f>
        <v>8</v>
      </c>
      <c r="Q146" s="36"/>
    </row>
    <row r="147" spans="1:17" hidden="1" x14ac:dyDescent="0.2">
      <c r="C147" s="3"/>
      <c r="D147" s="208"/>
      <c r="F147" s="208"/>
      <c r="G147" s="209"/>
      <c r="H147" s="209"/>
      <c r="I147" s="2"/>
      <c r="J147" s="2"/>
      <c r="K147" s="2"/>
      <c r="L147" s="2"/>
      <c r="M147" s="2"/>
      <c r="N147" s="2"/>
      <c r="O147" s="2"/>
      <c r="P147" s="9"/>
      <c r="Q147" s="35"/>
    </row>
    <row r="148" spans="1:17" ht="13.5" thickBot="1" x14ac:dyDescent="0.25"/>
    <row r="149" spans="1:17" ht="28.5" customHeight="1" thickBot="1" x14ac:dyDescent="0.25">
      <c r="A149" s="660" t="s">
        <v>99</v>
      </c>
      <c r="B149" s="662" t="s">
        <v>24</v>
      </c>
      <c r="C149" s="664" t="s">
        <v>682</v>
      </c>
      <c r="D149" s="665"/>
      <c r="E149" s="665"/>
      <c r="F149" s="665"/>
      <c r="G149" s="665"/>
      <c r="H149" s="665"/>
      <c r="I149" s="665"/>
      <c r="J149" s="665"/>
      <c r="K149" s="665"/>
      <c r="L149" s="665"/>
      <c r="M149" s="665"/>
      <c r="N149" s="665"/>
      <c r="O149" s="665"/>
      <c r="P149" s="666"/>
    </row>
    <row r="150" spans="1:17" ht="87" customHeight="1" thickBot="1" x14ac:dyDescent="0.25">
      <c r="A150" s="661"/>
      <c r="B150" s="663"/>
      <c r="C150" s="245" t="s">
        <v>290</v>
      </c>
      <c r="D150" s="246" t="s">
        <v>360</v>
      </c>
      <c r="E150" s="246" t="s">
        <v>361</v>
      </c>
      <c r="F150" s="246" t="s">
        <v>372</v>
      </c>
      <c r="G150" s="246" t="s">
        <v>362</v>
      </c>
      <c r="H150" s="246" t="s">
        <v>373</v>
      </c>
      <c r="I150" s="246" t="s">
        <v>431</v>
      </c>
      <c r="J150" s="245" t="s">
        <v>384</v>
      </c>
      <c r="K150" s="245" t="s">
        <v>364</v>
      </c>
      <c r="L150" s="245" t="s">
        <v>313</v>
      </c>
      <c r="M150" s="245" t="s">
        <v>462</v>
      </c>
      <c r="N150" s="245" t="s">
        <v>363</v>
      </c>
      <c r="O150" s="245" t="s">
        <v>333</v>
      </c>
      <c r="P150" s="247" t="s">
        <v>38</v>
      </c>
    </row>
    <row r="151" spans="1:17" ht="13.5" customHeight="1" x14ac:dyDescent="0.2">
      <c r="A151" s="212" t="s">
        <v>272</v>
      </c>
      <c r="B151" s="22" t="s">
        <v>273</v>
      </c>
      <c r="C151" s="44">
        <f t="shared" ref="C151:P151" si="42">SUM(C152:C155)</f>
        <v>0</v>
      </c>
      <c r="D151" s="44">
        <f t="shared" si="42"/>
        <v>1058</v>
      </c>
      <c r="E151" s="44">
        <f t="shared" si="42"/>
        <v>3074</v>
      </c>
      <c r="F151" s="44">
        <f t="shared" si="42"/>
        <v>0</v>
      </c>
      <c r="G151" s="44">
        <f t="shared" si="42"/>
        <v>0</v>
      </c>
      <c r="H151" s="44">
        <f t="shared" si="42"/>
        <v>0</v>
      </c>
      <c r="I151" s="44">
        <f t="shared" si="42"/>
        <v>0</v>
      </c>
      <c r="J151" s="44">
        <f t="shared" si="42"/>
        <v>0</v>
      </c>
      <c r="K151" s="44">
        <f t="shared" si="42"/>
        <v>0</v>
      </c>
      <c r="L151" s="44">
        <f t="shared" si="42"/>
        <v>0</v>
      </c>
      <c r="M151" s="44">
        <f t="shared" si="42"/>
        <v>483</v>
      </c>
      <c r="N151" s="44">
        <f t="shared" si="42"/>
        <v>0</v>
      </c>
      <c r="O151" s="44">
        <f t="shared" si="42"/>
        <v>4081</v>
      </c>
      <c r="P151" s="44">
        <f t="shared" si="42"/>
        <v>8696</v>
      </c>
      <c r="Q151" s="36">
        <f>SUM(C151:O151)</f>
        <v>8696</v>
      </c>
    </row>
    <row r="152" spans="1:17" ht="13.5" customHeight="1" x14ac:dyDescent="0.2">
      <c r="A152" s="212"/>
      <c r="B152" s="56" t="s">
        <v>303</v>
      </c>
      <c r="C152" s="215"/>
      <c r="D152" s="86">
        <f>302+562+106</f>
        <v>970</v>
      </c>
      <c r="E152" s="86">
        <f>2627+141</f>
        <v>2768</v>
      </c>
      <c r="F152" s="86"/>
      <c r="G152" s="86"/>
      <c r="H152" s="86"/>
      <c r="I152" s="86"/>
      <c r="J152" s="86"/>
      <c r="K152" s="86"/>
      <c r="L152" s="86"/>
      <c r="M152" s="86">
        <v>483</v>
      </c>
      <c r="N152" s="86"/>
      <c r="O152" s="86">
        <f>2936+1052</f>
        <v>3988</v>
      </c>
      <c r="P152" s="204">
        <f>SUM(C152:O152)</f>
        <v>8209</v>
      </c>
      <c r="Q152" s="36">
        <f>SUM(C152:O152)</f>
        <v>8209</v>
      </c>
    </row>
    <row r="153" spans="1:17" ht="13.5" customHeight="1" x14ac:dyDescent="0.2">
      <c r="A153" s="212"/>
      <c r="B153" s="56" t="s">
        <v>42</v>
      </c>
      <c r="C153" s="215"/>
      <c r="D153" s="86"/>
      <c r="E153" s="86">
        <f>110-11</f>
        <v>99</v>
      </c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204">
        <f>SUM(C153:O153)</f>
        <v>99</v>
      </c>
      <c r="Q153" s="36">
        <f>SUM(C153:O153)</f>
        <v>99</v>
      </c>
    </row>
    <row r="154" spans="1:17" ht="13.5" customHeight="1" x14ac:dyDescent="0.2">
      <c r="A154" s="212"/>
      <c r="B154" s="56" t="s">
        <v>395</v>
      </c>
      <c r="C154" s="215"/>
      <c r="D154" s="86"/>
      <c r="E154" s="86">
        <v>100</v>
      </c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204">
        <f>SUM(C154:O154)</f>
        <v>100</v>
      </c>
      <c r="Q154" s="36">
        <f>SUM(C154:O154)</f>
        <v>100</v>
      </c>
    </row>
    <row r="155" spans="1:17" ht="12.75" customHeight="1" x14ac:dyDescent="0.2">
      <c r="A155" s="65"/>
      <c r="B155" s="2" t="s">
        <v>491</v>
      </c>
      <c r="C155" s="19"/>
      <c r="D155" s="19">
        <f>(6+6+3)+17+56</f>
        <v>88</v>
      </c>
      <c r="E155" s="19">
        <f>96-17-68+121-25</f>
        <v>107</v>
      </c>
      <c r="F155" s="19"/>
      <c r="G155" s="19"/>
      <c r="H155" s="19"/>
      <c r="I155" s="19"/>
      <c r="J155" s="19"/>
      <c r="K155" s="19"/>
      <c r="L155" s="19"/>
      <c r="M155" s="19"/>
      <c r="N155" s="19"/>
      <c r="O155" s="19">
        <f>68+25</f>
        <v>93</v>
      </c>
      <c r="P155" s="204">
        <f t="shared" ref="P155:P165" si="43">SUM(C155:O155)</f>
        <v>288</v>
      </c>
      <c r="Q155" s="36">
        <f>SUM(C155:O155)</f>
        <v>288</v>
      </c>
    </row>
    <row r="156" spans="1:17" ht="12.75" customHeight="1" x14ac:dyDescent="0.2">
      <c r="A156" s="85" t="s">
        <v>274</v>
      </c>
      <c r="B156" s="28" t="s">
        <v>302</v>
      </c>
      <c r="C156" s="273">
        <f t="shared" ref="C156:O156" si="44">SUM(C157:C162)</f>
        <v>5453</v>
      </c>
      <c r="D156" s="273">
        <f t="shared" si="44"/>
        <v>100</v>
      </c>
      <c r="E156" s="273">
        <f t="shared" si="44"/>
        <v>0</v>
      </c>
      <c r="F156" s="273">
        <f t="shared" si="44"/>
        <v>0</v>
      </c>
      <c r="G156" s="273">
        <f t="shared" si="44"/>
        <v>0</v>
      </c>
      <c r="H156" s="273">
        <f t="shared" si="44"/>
        <v>0</v>
      </c>
      <c r="I156" s="273">
        <f t="shared" si="44"/>
        <v>0</v>
      </c>
      <c r="J156" s="273">
        <f t="shared" si="44"/>
        <v>0</v>
      </c>
      <c r="K156" s="273">
        <f t="shared" si="44"/>
        <v>0</v>
      </c>
      <c r="L156" s="273">
        <f t="shared" si="44"/>
        <v>0</v>
      </c>
      <c r="M156" s="273">
        <f t="shared" si="44"/>
        <v>178</v>
      </c>
      <c r="N156" s="273">
        <f t="shared" si="44"/>
        <v>490</v>
      </c>
      <c r="O156" s="273">
        <f t="shared" si="44"/>
        <v>0</v>
      </c>
      <c r="P156" s="338">
        <f t="shared" si="43"/>
        <v>6221</v>
      </c>
      <c r="Q156" s="36">
        <f>SUM(P157:P162)</f>
        <v>6221</v>
      </c>
    </row>
    <row r="157" spans="1:17" ht="12.75" customHeight="1" x14ac:dyDescent="0.2">
      <c r="A157" s="353"/>
      <c r="B157" s="25" t="s">
        <v>39</v>
      </c>
      <c r="C157" s="215">
        <v>3590</v>
      </c>
      <c r="D157" s="273"/>
      <c r="E157" s="273"/>
      <c r="F157" s="273"/>
      <c r="G157" s="273"/>
      <c r="H157" s="273"/>
      <c r="I157" s="273"/>
      <c r="J157" s="273"/>
      <c r="K157" s="273"/>
      <c r="L157" s="273"/>
      <c r="M157" s="273"/>
      <c r="N157" s="273"/>
      <c r="O157" s="273"/>
      <c r="P157" s="12">
        <f t="shared" si="43"/>
        <v>3590</v>
      </c>
      <c r="Q157" s="36">
        <f t="shared" ref="Q157:Q162" si="45">SUM(C157:O157)</f>
        <v>3590</v>
      </c>
    </row>
    <row r="158" spans="1:17" ht="12.75" customHeight="1" x14ac:dyDescent="0.2">
      <c r="A158" s="65"/>
      <c r="B158" s="216" t="s">
        <v>301</v>
      </c>
      <c r="C158" s="215">
        <v>539</v>
      </c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273"/>
      <c r="P158" s="12">
        <f t="shared" si="43"/>
        <v>539</v>
      </c>
      <c r="Q158" s="36">
        <f t="shared" si="45"/>
        <v>539</v>
      </c>
    </row>
    <row r="159" spans="1:17" ht="12.75" customHeight="1" x14ac:dyDescent="0.2">
      <c r="A159" s="353"/>
      <c r="B159" s="216" t="s">
        <v>395</v>
      </c>
      <c r="C159" s="215">
        <f>178+17</f>
        <v>195</v>
      </c>
      <c r="D159" s="273"/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12">
        <f t="shared" si="43"/>
        <v>195</v>
      </c>
      <c r="Q159" s="36">
        <f t="shared" si="45"/>
        <v>195</v>
      </c>
    </row>
    <row r="160" spans="1:17" ht="12.75" customHeight="1" x14ac:dyDescent="0.2">
      <c r="A160" s="353"/>
      <c r="B160" s="25" t="s">
        <v>338</v>
      </c>
      <c r="C160" s="19">
        <f>1092-46-17</f>
        <v>1029</v>
      </c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2">
        <f t="shared" si="43"/>
        <v>1029</v>
      </c>
      <c r="Q160" s="36">
        <f t="shared" si="45"/>
        <v>1029</v>
      </c>
    </row>
    <row r="161" spans="1:17" ht="13.5" customHeight="1" x14ac:dyDescent="0.2">
      <c r="A161" s="354"/>
      <c r="B161" s="21" t="s">
        <v>371</v>
      </c>
      <c r="C161" s="215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>
        <v>480</v>
      </c>
      <c r="O161" s="86"/>
      <c r="P161" s="204">
        <f t="shared" si="43"/>
        <v>480</v>
      </c>
      <c r="Q161" s="36">
        <f t="shared" si="45"/>
        <v>480</v>
      </c>
    </row>
    <row r="162" spans="1:17" ht="13.5" customHeight="1" x14ac:dyDescent="0.2">
      <c r="A162" s="354"/>
      <c r="B162" s="25" t="s">
        <v>652</v>
      </c>
      <c r="C162" s="19">
        <v>100</v>
      </c>
      <c r="D162" s="19">
        <v>100</v>
      </c>
      <c r="E162" s="19"/>
      <c r="F162" s="19"/>
      <c r="G162" s="19"/>
      <c r="H162" s="19"/>
      <c r="I162" s="19"/>
      <c r="J162" s="19"/>
      <c r="K162" s="19"/>
      <c r="L162" s="19"/>
      <c r="M162" s="86">
        <v>178</v>
      </c>
      <c r="N162" s="19">
        <v>10</v>
      </c>
      <c r="O162" s="19"/>
      <c r="P162" s="12">
        <f t="shared" si="43"/>
        <v>388</v>
      </c>
      <c r="Q162" s="36">
        <f t="shared" si="45"/>
        <v>388</v>
      </c>
    </row>
    <row r="163" spans="1:17" ht="13.5" customHeight="1" x14ac:dyDescent="0.2">
      <c r="A163" s="85" t="s">
        <v>196</v>
      </c>
      <c r="B163" s="145" t="s">
        <v>271</v>
      </c>
      <c r="C163" s="199">
        <f t="shared" ref="C163:O163" si="46">SUM(C151+C156)</f>
        <v>5453</v>
      </c>
      <c r="D163" s="199">
        <f t="shared" si="46"/>
        <v>1158</v>
      </c>
      <c r="E163" s="199">
        <f t="shared" si="46"/>
        <v>3074</v>
      </c>
      <c r="F163" s="199">
        <f t="shared" si="46"/>
        <v>0</v>
      </c>
      <c r="G163" s="199">
        <f t="shared" si="46"/>
        <v>0</v>
      </c>
      <c r="H163" s="199">
        <f t="shared" si="46"/>
        <v>0</v>
      </c>
      <c r="I163" s="199">
        <f t="shared" si="46"/>
        <v>0</v>
      </c>
      <c r="J163" s="199">
        <f t="shared" si="46"/>
        <v>0</v>
      </c>
      <c r="K163" s="199">
        <f t="shared" si="46"/>
        <v>0</v>
      </c>
      <c r="L163" s="199">
        <f t="shared" si="46"/>
        <v>0</v>
      </c>
      <c r="M163" s="199">
        <f t="shared" si="46"/>
        <v>661</v>
      </c>
      <c r="N163" s="199">
        <f t="shared" si="46"/>
        <v>490</v>
      </c>
      <c r="O163" s="199">
        <f t="shared" si="46"/>
        <v>4081</v>
      </c>
      <c r="P163" s="206">
        <f t="shared" si="43"/>
        <v>14917</v>
      </c>
      <c r="Q163" s="36">
        <f>SUM(P151+P156)</f>
        <v>14917</v>
      </c>
    </row>
    <row r="164" spans="1:17" ht="13.5" customHeight="1" x14ac:dyDescent="0.2">
      <c r="A164" s="65"/>
      <c r="B164" s="25" t="s">
        <v>25</v>
      </c>
      <c r="C164" s="16">
        <f>820+50-1-5</f>
        <v>864</v>
      </c>
      <c r="D164" s="19">
        <f>53+87+9+24+28</f>
        <v>201</v>
      </c>
      <c r="E164" s="19">
        <f>460+23+11+8</f>
        <v>502</v>
      </c>
      <c r="F164" s="19"/>
      <c r="G164" s="19"/>
      <c r="H164" s="19"/>
      <c r="I164" s="19"/>
      <c r="J164" s="19"/>
      <c r="K164" s="19"/>
      <c r="L164" s="19"/>
      <c r="M164" s="19">
        <f>128+32+1</f>
        <v>161</v>
      </c>
      <c r="N164" s="19">
        <v>76</v>
      </c>
      <c r="O164" s="19">
        <f>256+69+5</f>
        <v>330</v>
      </c>
      <c r="P164" s="19">
        <f t="shared" si="43"/>
        <v>2134</v>
      </c>
      <c r="Q164" s="36">
        <f t="shared" ref="Q164:Q176" si="47">SUM(C164:O164)</f>
        <v>2134</v>
      </c>
    </row>
    <row r="165" spans="1:17" x14ac:dyDescent="0.2">
      <c r="A165" s="65"/>
      <c r="B165" s="25" t="s">
        <v>97</v>
      </c>
      <c r="C165" s="19">
        <f>100-3</f>
        <v>97</v>
      </c>
      <c r="D165" s="19">
        <f>5+3</f>
        <v>8</v>
      </c>
      <c r="E165" s="19">
        <v>32</v>
      </c>
      <c r="F165" s="19"/>
      <c r="G165" s="19"/>
      <c r="H165" s="19"/>
      <c r="I165" s="19"/>
      <c r="J165" s="19"/>
      <c r="K165" s="19"/>
      <c r="L165" s="19"/>
      <c r="M165" s="19">
        <v>31</v>
      </c>
      <c r="N165" s="19"/>
      <c r="O165" s="19"/>
      <c r="P165" s="19">
        <f t="shared" si="43"/>
        <v>168</v>
      </c>
      <c r="Q165" s="36">
        <f t="shared" si="47"/>
        <v>168</v>
      </c>
    </row>
    <row r="166" spans="1:17" ht="13.5" customHeight="1" x14ac:dyDescent="0.2">
      <c r="A166" s="85" t="s">
        <v>197</v>
      </c>
      <c r="B166" s="145" t="s">
        <v>80</v>
      </c>
      <c r="C166" s="199">
        <f t="shared" ref="C166:P166" si="48">SUM(C164:C165)</f>
        <v>961</v>
      </c>
      <c r="D166" s="199">
        <f t="shared" si="48"/>
        <v>209</v>
      </c>
      <c r="E166" s="199">
        <f t="shared" si="48"/>
        <v>534</v>
      </c>
      <c r="F166" s="199">
        <f t="shared" si="48"/>
        <v>0</v>
      </c>
      <c r="G166" s="199">
        <f t="shared" si="48"/>
        <v>0</v>
      </c>
      <c r="H166" s="199">
        <f t="shared" si="48"/>
        <v>0</v>
      </c>
      <c r="I166" s="199">
        <f t="shared" si="48"/>
        <v>0</v>
      </c>
      <c r="J166" s="199">
        <f t="shared" si="48"/>
        <v>0</v>
      </c>
      <c r="K166" s="199">
        <f t="shared" si="48"/>
        <v>0</v>
      </c>
      <c r="L166" s="199">
        <f t="shared" si="48"/>
        <v>0</v>
      </c>
      <c r="M166" s="199">
        <f t="shared" si="48"/>
        <v>192</v>
      </c>
      <c r="N166" s="199">
        <f t="shared" si="48"/>
        <v>76</v>
      </c>
      <c r="O166" s="199">
        <f t="shared" si="48"/>
        <v>330</v>
      </c>
      <c r="P166" s="199">
        <f t="shared" si="48"/>
        <v>2302</v>
      </c>
      <c r="Q166" s="36">
        <f t="shared" si="47"/>
        <v>2302</v>
      </c>
    </row>
    <row r="167" spans="1:17" ht="13.5" customHeight="1" x14ac:dyDescent="0.2">
      <c r="A167" s="85" t="s">
        <v>237</v>
      </c>
      <c r="B167" s="28" t="s">
        <v>260</v>
      </c>
      <c r="C167" s="82">
        <f t="shared" ref="C167:P167" si="49">SUM(C168:C176)</f>
        <v>206</v>
      </c>
      <c r="D167" s="82">
        <f t="shared" si="49"/>
        <v>776</v>
      </c>
      <c r="E167" s="82">
        <f t="shared" si="49"/>
        <v>512</v>
      </c>
      <c r="F167" s="82">
        <f t="shared" si="49"/>
        <v>20</v>
      </c>
      <c r="G167" s="82">
        <f t="shared" si="49"/>
        <v>0</v>
      </c>
      <c r="H167" s="82">
        <f t="shared" si="49"/>
        <v>0</v>
      </c>
      <c r="I167" s="82">
        <f t="shared" si="49"/>
        <v>1</v>
      </c>
      <c r="J167" s="82">
        <f t="shared" si="49"/>
        <v>522</v>
      </c>
      <c r="K167" s="82">
        <f t="shared" si="49"/>
        <v>9</v>
      </c>
      <c r="L167" s="82">
        <f t="shared" si="49"/>
        <v>0</v>
      </c>
      <c r="M167" s="82">
        <f t="shared" si="49"/>
        <v>0</v>
      </c>
      <c r="N167" s="82">
        <f t="shared" si="49"/>
        <v>0</v>
      </c>
      <c r="O167" s="82">
        <f t="shared" si="49"/>
        <v>0</v>
      </c>
      <c r="P167" s="82">
        <f t="shared" si="49"/>
        <v>2046</v>
      </c>
      <c r="Q167" s="36">
        <f t="shared" si="47"/>
        <v>2046</v>
      </c>
    </row>
    <row r="168" spans="1:17" ht="13.5" customHeight="1" x14ac:dyDescent="0.2">
      <c r="A168" s="65" t="s">
        <v>238</v>
      </c>
      <c r="B168" s="25" t="s">
        <v>341</v>
      </c>
      <c r="C168" s="200">
        <f>40-38</f>
        <v>2</v>
      </c>
      <c r="D168" s="274"/>
      <c r="E168" s="274"/>
      <c r="F168" s="274"/>
      <c r="G168" s="19"/>
      <c r="H168" s="19"/>
      <c r="I168" s="19"/>
      <c r="J168" s="19"/>
      <c r="K168" s="19"/>
      <c r="L168" s="19"/>
      <c r="M168" s="19"/>
      <c r="N168" s="19"/>
      <c r="O168" s="19"/>
      <c r="P168" s="12">
        <f>SUM(C168:O168)</f>
        <v>2</v>
      </c>
      <c r="Q168" s="36">
        <f t="shared" si="47"/>
        <v>2</v>
      </c>
    </row>
    <row r="169" spans="1:17" ht="13.5" customHeight="1" x14ac:dyDescent="0.2">
      <c r="A169" s="65" t="s">
        <v>240</v>
      </c>
      <c r="B169" s="25" t="s">
        <v>261</v>
      </c>
      <c r="C169" s="200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2">
        <f t="shared" ref="P169:P189" si="50">SUM(C169:O169)</f>
        <v>0</v>
      </c>
      <c r="Q169" s="36">
        <f t="shared" si="47"/>
        <v>0</v>
      </c>
    </row>
    <row r="170" spans="1:17" ht="13.5" customHeight="1" x14ac:dyDescent="0.2">
      <c r="A170" s="65"/>
      <c r="B170" s="25" t="s">
        <v>282</v>
      </c>
      <c r="C170" s="200">
        <f>170-106-1+30</f>
        <v>93</v>
      </c>
      <c r="D170" s="19"/>
      <c r="E170" s="19">
        <v>5</v>
      </c>
      <c r="F170" s="19"/>
      <c r="G170" s="19"/>
      <c r="H170" s="19"/>
      <c r="I170" s="19">
        <v>1</v>
      </c>
      <c r="J170" s="19"/>
      <c r="K170" s="19"/>
      <c r="L170" s="19"/>
      <c r="M170" s="19"/>
      <c r="N170" s="19"/>
      <c r="O170" s="19"/>
      <c r="P170" s="12">
        <f t="shared" si="50"/>
        <v>99</v>
      </c>
      <c r="Q170" s="36">
        <f t="shared" si="47"/>
        <v>99</v>
      </c>
    </row>
    <row r="171" spans="1:17" ht="13.5" hidden="1" customHeight="1" x14ac:dyDescent="0.2">
      <c r="A171" s="65" t="s">
        <v>239</v>
      </c>
      <c r="B171" s="25" t="s">
        <v>262</v>
      </c>
      <c r="C171" s="200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2">
        <f t="shared" si="50"/>
        <v>0</v>
      </c>
      <c r="Q171" s="36">
        <f t="shared" si="47"/>
        <v>0</v>
      </c>
    </row>
    <row r="172" spans="1:17" ht="13.5" hidden="1" customHeight="1" x14ac:dyDescent="0.2">
      <c r="A172" s="65"/>
      <c r="B172" s="25" t="s">
        <v>314</v>
      </c>
      <c r="C172" s="20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2">
        <f t="shared" si="50"/>
        <v>0</v>
      </c>
      <c r="Q172" s="36">
        <f t="shared" si="47"/>
        <v>0</v>
      </c>
    </row>
    <row r="173" spans="1:17" ht="13.5" customHeight="1" x14ac:dyDescent="0.2">
      <c r="A173" s="65"/>
      <c r="B173" s="25" t="s">
        <v>283</v>
      </c>
      <c r="C173" s="200">
        <f>50-30-12</f>
        <v>8</v>
      </c>
      <c r="D173" s="19">
        <f>300+6+20+40</f>
        <v>366</v>
      </c>
      <c r="E173" s="19">
        <f>350-50+10</f>
        <v>310</v>
      </c>
      <c r="F173" s="19">
        <f>100-50-30</f>
        <v>20</v>
      </c>
      <c r="G173" s="19"/>
      <c r="H173" s="19"/>
      <c r="I173" s="19"/>
      <c r="J173" s="19"/>
      <c r="K173" s="19"/>
      <c r="L173" s="19"/>
      <c r="M173" s="19"/>
      <c r="N173" s="19"/>
      <c r="O173" s="19"/>
      <c r="P173" s="12">
        <f t="shared" si="50"/>
        <v>704</v>
      </c>
      <c r="Q173" s="36">
        <f t="shared" si="47"/>
        <v>704</v>
      </c>
    </row>
    <row r="174" spans="1:17" ht="13.5" customHeight="1" x14ac:dyDescent="0.2">
      <c r="A174" s="65"/>
      <c r="B174" s="25" t="s">
        <v>284</v>
      </c>
      <c r="C174" s="200">
        <v>75</v>
      </c>
      <c r="D174" s="19">
        <f>10-6</f>
        <v>4</v>
      </c>
      <c r="E174" s="19"/>
      <c r="F174" s="19"/>
      <c r="G174" s="19"/>
      <c r="H174" s="19"/>
      <c r="I174" s="19"/>
      <c r="J174" s="19"/>
      <c r="K174" s="19">
        <f>25-10-6</f>
        <v>9</v>
      </c>
      <c r="L174" s="19"/>
      <c r="M174" s="19"/>
      <c r="N174" s="19"/>
      <c r="O174" s="19"/>
      <c r="P174" s="12">
        <f t="shared" si="50"/>
        <v>88</v>
      </c>
      <c r="Q174" s="36">
        <f t="shared" si="47"/>
        <v>88</v>
      </c>
    </row>
    <row r="175" spans="1:17" ht="13.5" customHeight="1" x14ac:dyDescent="0.2">
      <c r="A175" s="65"/>
      <c r="B175" s="25" t="s">
        <v>315</v>
      </c>
      <c r="C175" s="200">
        <f>10+12+6</f>
        <v>28</v>
      </c>
      <c r="D175" s="19">
        <f>(250-48+30+30)+94</f>
        <v>356</v>
      </c>
      <c r="E175" s="19">
        <f>10+187</f>
        <v>197</v>
      </c>
      <c r="F175" s="19"/>
      <c r="G175" s="19"/>
      <c r="H175" s="19"/>
      <c r="I175" s="19"/>
      <c r="J175" s="19">
        <v>522</v>
      </c>
      <c r="K175" s="19">
        <f>150-60-10-30-30-20</f>
        <v>0</v>
      </c>
      <c r="L175" s="19"/>
      <c r="M175" s="19"/>
      <c r="N175" s="19">
        <f>40-40</f>
        <v>0</v>
      </c>
      <c r="O175" s="19"/>
      <c r="P175" s="12">
        <f t="shared" si="50"/>
        <v>1103</v>
      </c>
      <c r="Q175" s="36">
        <f t="shared" si="47"/>
        <v>1103</v>
      </c>
    </row>
    <row r="176" spans="1:17" ht="13.5" customHeight="1" x14ac:dyDescent="0.2">
      <c r="A176" s="65"/>
      <c r="B176" s="25" t="s">
        <v>293</v>
      </c>
      <c r="C176" s="200"/>
      <c r="D176" s="19">
        <f>20+30</f>
        <v>50</v>
      </c>
      <c r="E176" s="19">
        <f>10-10</f>
        <v>0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2">
        <f t="shared" si="50"/>
        <v>50</v>
      </c>
      <c r="Q176" s="36">
        <f t="shared" si="47"/>
        <v>50</v>
      </c>
    </row>
    <row r="177" spans="1:18" ht="13.5" customHeight="1" x14ac:dyDescent="0.2">
      <c r="A177" s="85" t="s">
        <v>241</v>
      </c>
      <c r="B177" s="28" t="s">
        <v>263</v>
      </c>
      <c r="C177" s="82">
        <f t="shared" ref="C177:O177" si="51">SUM(C178:C179)</f>
        <v>250</v>
      </c>
      <c r="D177" s="82">
        <f t="shared" si="51"/>
        <v>0</v>
      </c>
      <c r="E177" s="82">
        <f t="shared" si="51"/>
        <v>0</v>
      </c>
      <c r="F177" s="82">
        <f t="shared" si="51"/>
        <v>0</v>
      </c>
      <c r="G177" s="82">
        <f t="shared" si="51"/>
        <v>0</v>
      </c>
      <c r="H177" s="82">
        <f t="shared" si="51"/>
        <v>0</v>
      </c>
      <c r="I177" s="82">
        <f t="shared" si="51"/>
        <v>0</v>
      </c>
      <c r="J177" s="82">
        <f t="shared" si="51"/>
        <v>0</v>
      </c>
      <c r="K177" s="82">
        <f t="shared" si="51"/>
        <v>0</v>
      </c>
      <c r="L177" s="82">
        <f t="shared" si="51"/>
        <v>0</v>
      </c>
      <c r="M177" s="82">
        <f t="shared" si="51"/>
        <v>0</v>
      </c>
      <c r="N177" s="82">
        <f t="shared" si="51"/>
        <v>35</v>
      </c>
      <c r="O177" s="82">
        <f t="shared" si="51"/>
        <v>0</v>
      </c>
      <c r="P177" s="14">
        <f t="shared" si="50"/>
        <v>285</v>
      </c>
      <c r="Q177" s="36">
        <f>SUM(P178:P179)</f>
        <v>285</v>
      </c>
    </row>
    <row r="178" spans="1:18" ht="13.5" customHeight="1" x14ac:dyDescent="0.2">
      <c r="A178" s="65" t="s">
        <v>242</v>
      </c>
      <c r="B178" s="25" t="s">
        <v>337</v>
      </c>
      <c r="C178" s="200">
        <f>220-50</f>
        <v>170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>
        <v>35</v>
      </c>
      <c r="O178" s="19"/>
      <c r="P178" s="12">
        <f t="shared" si="50"/>
        <v>205</v>
      </c>
      <c r="Q178" s="36">
        <f>SUM(C178:O178)</f>
        <v>205</v>
      </c>
    </row>
    <row r="179" spans="1:18" ht="13.5" customHeight="1" x14ac:dyDescent="0.2">
      <c r="A179" s="65" t="s">
        <v>243</v>
      </c>
      <c r="B179" s="25" t="s">
        <v>285</v>
      </c>
      <c r="C179" s="200">
        <v>80</v>
      </c>
      <c r="D179" s="274"/>
      <c r="E179" s="274"/>
      <c r="F179" s="274"/>
      <c r="G179" s="19"/>
      <c r="H179" s="19"/>
      <c r="I179" s="19"/>
      <c r="J179" s="19"/>
      <c r="K179" s="19"/>
      <c r="L179" s="19"/>
      <c r="M179" s="19"/>
      <c r="N179" s="19"/>
      <c r="O179" s="19"/>
      <c r="P179" s="12">
        <f t="shared" si="50"/>
        <v>80</v>
      </c>
      <c r="Q179" s="36">
        <f>SUM(C179:O179)</f>
        <v>80</v>
      </c>
    </row>
    <row r="180" spans="1:18" ht="13.5" customHeight="1" x14ac:dyDescent="0.2">
      <c r="A180" s="85" t="s">
        <v>244</v>
      </c>
      <c r="B180" s="28" t="s">
        <v>264</v>
      </c>
      <c r="C180" s="82">
        <f t="shared" ref="C180:O180" si="52">SUM(C181:C201)</f>
        <v>1738</v>
      </c>
      <c r="D180" s="82">
        <f t="shared" si="52"/>
        <v>675</v>
      </c>
      <c r="E180" s="82">
        <f t="shared" si="52"/>
        <v>525</v>
      </c>
      <c r="F180" s="82">
        <f t="shared" si="52"/>
        <v>164</v>
      </c>
      <c r="G180" s="82">
        <f t="shared" si="52"/>
        <v>1007</v>
      </c>
      <c r="H180" s="82">
        <f t="shared" si="52"/>
        <v>0</v>
      </c>
      <c r="I180" s="82">
        <f t="shared" si="52"/>
        <v>1715</v>
      </c>
      <c r="J180" s="82">
        <f t="shared" si="52"/>
        <v>0</v>
      </c>
      <c r="K180" s="82">
        <f t="shared" si="52"/>
        <v>499</v>
      </c>
      <c r="L180" s="82">
        <f t="shared" si="52"/>
        <v>0</v>
      </c>
      <c r="M180" s="82">
        <f t="shared" si="52"/>
        <v>3570</v>
      </c>
      <c r="N180" s="82">
        <f t="shared" si="52"/>
        <v>310</v>
      </c>
      <c r="O180" s="82">
        <f t="shared" si="52"/>
        <v>0</v>
      </c>
      <c r="P180" s="14">
        <f t="shared" si="50"/>
        <v>10203</v>
      </c>
      <c r="Q180" s="36">
        <f>SUM(P181:P201)</f>
        <v>10203</v>
      </c>
      <c r="R180" s="81"/>
    </row>
    <row r="181" spans="1:18" ht="13.5" customHeight="1" x14ac:dyDescent="0.2">
      <c r="A181" s="65" t="s">
        <v>245</v>
      </c>
      <c r="B181" s="25" t="s">
        <v>281</v>
      </c>
      <c r="C181" s="200">
        <f>700-150</f>
        <v>550</v>
      </c>
      <c r="D181" s="19">
        <f>10+150</f>
        <v>160</v>
      </c>
      <c r="E181" s="19"/>
      <c r="F181" s="19">
        <v>20</v>
      </c>
      <c r="G181" s="19">
        <f>900-101</f>
        <v>799</v>
      </c>
      <c r="H181" s="19"/>
      <c r="I181" s="19"/>
      <c r="J181" s="19"/>
      <c r="K181" s="19">
        <f>400+200-107</f>
        <v>493</v>
      </c>
      <c r="L181" s="19"/>
      <c r="M181" s="19">
        <v>45</v>
      </c>
      <c r="N181" s="19">
        <f>210+100</f>
        <v>310</v>
      </c>
      <c r="O181" s="19"/>
      <c r="P181" s="12">
        <f t="shared" si="50"/>
        <v>2377</v>
      </c>
      <c r="Q181" s="36">
        <f t="shared" ref="Q181:Q189" si="53">SUM(C181:O181)</f>
        <v>2377</v>
      </c>
    </row>
    <row r="182" spans="1:18" ht="13.5" customHeight="1" x14ac:dyDescent="0.2">
      <c r="A182" s="65" t="s">
        <v>291</v>
      </c>
      <c r="B182" s="25" t="s">
        <v>292</v>
      </c>
      <c r="C182" s="200"/>
      <c r="D182" s="19"/>
      <c r="E182" s="19"/>
      <c r="F182" s="19"/>
      <c r="G182" s="19"/>
      <c r="H182" s="19"/>
      <c r="I182" s="19">
        <f>(696+584)+65+101+169</f>
        <v>1615</v>
      </c>
      <c r="J182" s="19"/>
      <c r="K182" s="19"/>
      <c r="L182" s="19"/>
      <c r="M182" s="19"/>
      <c r="N182" s="19"/>
      <c r="O182" s="19"/>
      <c r="P182" s="12">
        <f t="shared" si="50"/>
        <v>1615</v>
      </c>
      <c r="Q182" s="36">
        <f t="shared" si="53"/>
        <v>1615</v>
      </c>
    </row>
    <row r="183" spans="1:18" ht="13.5" customHeight="1" x14ac:dyDescent="0.2">
      <c r="A183" s="65" t="s">
        <v>246</v>
      </c>
      <c r="B183" s="25" t="s">
        <v>280</v>
      </c>
      <c r="C183" s="200">
        <f>50-6</f>
        <v>44</v>
      </c>
      <c r="D183" s="19">
        <v>6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2">
        <f t="shared" si="50"/>
        <v>50</v>
      </c>
      <c r="Q183" s="36">
        <f t="shared" si="53"/>
        <v>50</v>
      </c>
    </row>
    <row r="184" spans="1:18" ht="13.5" customHeight="1" x14ac:dyDescent="0.2">
      <c r="A184" s="65" t="s">
        <v>247</v>
      </c>
      <c r="B184" s="25" t="s">
        <v>279</v>
      </c>
      <c r="C184" s="200">
        <f>250-80-16-60</f>
        <v>94</v>
      </c>
      <c r="D184" s="19">
        <f>100+80+50+20+30+16</f>
        <v>296</v>
      </c>
      <c r="E184" s="19">
        <f>(100-30-20)+155+60+20</f>
        <v>285</v>
      </c>
      <c r="F184" s="19">
        <f>50-30-20</f>
        <v>0</v>
      </c>
      <c r="G184" s="19">
        <v>208</v>
      </c>
      <c r="H184" s="19"/>
      <c r="I184" s="19"/>
      <c r="J184" s="19"/>
      <c r="K184" s="19">
        <f>50-50</f>
        <v>0</v>
      </c>
      <c r="L184" s="19"/>
      <c r="M184" s="19"/>
      <c r="N184" s="19"/>
      <c r="O184" s="19"/>
      <c r="P184" s="12">
        <f t="shared" si="50"/>
        <v>883</v>
      </c>
      <c r="Q184" s="36">
        <f t="shared" si="53"/>
        <v>883</v>
      </c>
    </row>
    <row r="185" spans="1:18" ht="13.5" customHeight="1" x14ac:dyDescent="0.2">
      <c r="A185" s="65" t="s">
        <v>248</v>
      </c>
      <c r="B185" s="25" t="s">
        <v>278</v>
      </c>
      <c r="C185" s="20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2">
        <f t="shared" si="50"/>
        <v>0</v>
      </c>
      <c r="Q185" s="36">
        <f t="shared" si="53"/>
        <v>0</v>
      </c>
    </row>
    <row r="186" spans="1:18" ht="13.5" customHeight="1" x14ac:dyDescent="0.2">
      <c r="A186" s="65" t="s">
        <v>249</v>
      </c>
      <c r="B186" s="25" t="s">
        <v>277</v>
      </c>
      <c r="C186" s="200">
        <f>60-22</f>
        <v>38</v>
      </c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2">
        <f t="shared" si="50"/>
        <v>38</v>
      </c>
      <c r="Q186" s="36">
        <f t="shared" si="53"/>
        <v>38</v>
      </c>
    </row>
    <row r="187" spans="1:18" ht="13.5" customHeight="1" x14ac:dyDescent="0.2">
      <c r="A187" s="65"/>
      <c r="B187" s="25" t="s">
        <v>297</v>
      </c>
      <c r="C187" s="25">
        <f>10+22</f>
        <v>32</v>
      </c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2">
        <f t="shared" si="50"/>
        <v>32</v>
      </c>
      <c r="Q187" s="36">
        <f t="shared" si="53"/>
        <v>32</v>
      </c>
    </row>
    <row r="188" spans="1:18" ht="13.5" customHeight="1" x14ac:dyDescent="0.2">
      <c r="A188" s="65"/>
      <c r="B188" s="25" t="s">
        <v>620</v>
      </c>
      <c r="C188" s="25">
        <v>100</v>
      </c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2">
        <f t="shared" si="50"/>
        <v>100</v>
      </c>
      <c r="Q188" s="36">
        <f t="shared" si="53"/>
        <v>100</v>
      </c>
    </row>
    <row r="189" spans="1:18" ht="13.5" customHeight="1" x14ac:dyDescent="0.2">
      <c r="A189" s="65"/>
      <c r="B189" s="25" t="s">
        <v>490</v>
      </c>
      <c r="C189" s="25"/>
      <c r="D189" s="19"/>
      <c r="E189" s="19"/>
      <c r="F189" s="19"/>
      <c r="G189" s="19"/>
      <c r="H189" s="19"/>
      <c r="I189" s="19"/>
      <c r="J189" s="19"/>
      <c r="K189" s="19"/>
      <c r="L189" s="19"/>
      <c r="M189" s="19">
        <f>(2871+15)-168+779</f>
        <v>3497</v>
      </c>
      <c r="N189" s="19"/>
      <c r="O189" s="19"/>
      <c r="P189" s="12">
        <f t="shared" si="50"/>
        <v>3497</v>
      </c>
      <c r="Q189" s="36">
        <f t="shared" si="53"/>
        <v>3497</v>
      </c>
    </row>
    <row r="190" spans="1:18" ht="13.5" hidden="1" customHeight="1" x14ac:dyDescent="0.2">
      <c r="A190" s="65"/>
      <c r="B190" s="25" t="s">
        <v>78</v>
      </c>
      <c r="C190" s="25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2">
        <f>SUM(C190:O190)</f>
        <v>0</v>
      </c>
      <c r="Q190" s="36">
        <f>SUM(C190:O190)</f>
        <v>0</v>
      </c>
    </row>
    <row r="191" spans="1:18" ht="13.5" hidden="1" customHeight="1" x14ac:dyDescent="0.2">
      <c r="A191" s="65"/>
      <c r="B191" s="25" t="s">
        <v>298</v>
      </c>
      <c r="C191" s="25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2">
        <f>SUM(C191:O191)</f>
        <v>0</v>
      </c>
      <c r="Q191" s="36">
        <f>SUM(C191:O191)</f>
        <v>0</v>
      </c>
    </row>
    <row r="192" spans="1:18" ht="13.5" customHeight="1" x14ac:dyDescent="0.2">
      <c r="A192" s="65" t="s">
        <v>250</v>
      </c>
      <c r="B192" s="25" t="s">
        <v>276</v>
      </c>
      <c r="C192" s="20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2">
        <f t="shared" ref="P192:P199" si="54">SUM(C192:O192)</f>
        <v>0</v>
      </c>
      <c r="Q192" s="36">
        <f t="shared" ref="Q192:Q199" si="55">SUM(C192:O192)</f>
        <v>0</v>
      </c>
    </row>
    <row r="193" spans="1:18" ht="13.5" customHeight="1" x14ac:dyDescent="0.2">
      <c r="A193" s="65"/>
      <c r="B193" s="10" t="s">
        <v>339</v>
      </c>
      <c r="C193" s="19">
        <f>75-18</f>
        <v>57</v>
      </c>
      <c r="D193" s="19"/>
      <c r="E193" s="19"/>
      <c r="F193" s="19"/>
      <c r="G193" s="19"/>
      <c r="H193" s="19"/>
      <c r="I193" s="19"/>
      <c r="J193" s="19"/>
      <c r="K193" s="19"/>
      <c r="L193" s="19"/>
      <c r="M193" s="19">
        <f>45-37</f>
        <v>8</v>
      </c>
      <c r="N193" s="19"/>
      <c r="O193" s="19"/>
      <c r="P193" s="12">
        <f t="shared" si="54"/>
        <v>65</v>
      </c>
      <c r="Q193" s="36">
        <f t="shared" si="55"/>
        <v>65</v>
      </c>
    </row>
    <row r="194" spans="1:18" ht="13.5" customHeight="1" x14ac:dyDescent="0.2">
      <c r="A194" s="65"/>
      <c r="B194" s="10" t="s">
        <v>390</v>
      </c>
      <c r="C194" s="19">
        <f>370-70-6+18</f>
        <v>312</v>
      </c>
      <c r="D194" s="19"/>
      <c r="E194" s="19"/>
      <c r="F194" s="19"/>
      <c r="G194" s="19"/>
      <c r="H194" s="19"/>
      <c r="I194" s="19"/>
      <c r="J194" s="19"/>
      <c r="K194" s="19"/>
      <c r="L194" s="19"/>
      <c r="M194" s="19">
        <f>14+6</f>
        <v>20</v>
      </c>
      <c r="N194" s="19"/>
      <c r="O194" s="19"/>
      <c r="P194" s="12">
        <f t="shared" si="54"/>
        <v>332</v>
      </c>
      <c r="Q194" s="36">
        <f t="shared" si="55"/>
        <v>332</v>
      </c>
    </row>
    <row r="195" spans="1:18" x14ac:dyDescent="0.2">
      <c r="A195" s="65"/>
      <c r="B195" s="10" t="s">
        <v>288</v>
      </c>
      <c r="C195" s="19">
        <v>100</v>
      </c>
      <c r="D195" s="19">
        <f>15+11</f>
        <v>26</v>
      </c>
      <c r="E195" s="19">
        <v>190</v>
      </c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2">
        <f t="shared" si="54"/>
        <v>316</v>
      </c>
      <c r="Q195" s="36">
        <f t="shared" si="55"/>
        <v>316</v>
      </c>
    </row>
    <row r="196" spans="1:18" x14ac:dyDescent="0.2">
      <c r="A196" s="65"/>
      <c r="B196" s="10" t="s">
        <v>340</v>
      </c>
      <c r="C196" s="19"/>
      <c r="D196" s="19"/>
      <c r="E196" s="19">
        <f>60-60</f>
        <v>0</v>
      </c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2">
        <f t="shared" si="54"/>
        <v>0</v>
      </c>
      <c r="Q196" s="36">
        <f t="shared" si="55"/>
        <v>0</v>
      </c>
    </row>
    <row r="197" spans="1:18" x14ac:dyDescent="0.2">
      <c r="A197" s="65"/>
      <c r="B197" s="10" t="s">
        <v>342</v>
      </c>
      <c r="C197" s="19"/>
      <c r="D197" s="19">
        <f>50-50</f>
        <v>0</v>
      </c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2">
        <f t="shared" si="54"/>
        <v>0</v>
      </c>
      <c r="Q197" s="36">
        <f t="shared" si="55"/>
        <v>0</v>
      </c>
    </row>
    <row r="198" spans="1:18" x14ac:dyDescent="0.2">
      <c r="A198" s="65"/>
      <c r="B198" s="10" t="s">
        <v>453</v>
      </c>
      <c r="C198" s="19"/>
      <c r="D198" s="19">
        <f>100-100</f>
        <v>0</v>
      </c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2">
        <f t="shared" si="54"/>
        <v>0</v>
      </c>
      <c r="Q198" s="36">
        <f t="shared" si="55"/>
        <v>0</v>
      </c>
    </row>
    <row r="199" spans="1:18" x14ac:dyDescent="0.2">
      <c r="A199" s="65"/>
      <c r="B199" s="10" t="s">
        <v>287</v>
      </c>
      <c r="C199" s="19">
        <f>10+15</f>
        <v>25</v>
      </c>
      <c r="D199" s="19">
        <f>175-24-28-50-11-42</f>
        <v>20</v>
      </c>
      <c r="E199" s="19"/>
      <c r="F199" s="19">
        <f>15+42+60</f>
        <v>117</v>
      </c>
      <c r="G199" s="19"/>
      <c r="H199" s="19"/>
      <c r="I199" s="19"/>
      <c r="J199" s="19"/>
      <c r="K199" s="19"/>
      <c r="L199" s="19"/>
      <c r="M199" s="19"/>
      <c r="N199" s="19"/>
      <c r="O199" s="19"/>
      <c r="P199" s="12">
        <f t="shared" si="54"/>
        <v>162</v>
      </c>
      <c r="Q199" s="36">
        <f t="shared" si="55"/>
        <v>162</v>
      </c>
    </row>
    <row r="200" spans="1:18" x14ac:dyDescent="0.2">
      <c r="A200" s="65"/>
      <c r="B200" s="25" t="s">
        <v>335</v>
      </c>
      <c r="C200" s="200">
        <f>(300-150-15)+251</f>
        <v>386</v>
      </c>
      <c r="D200" s="19">
        <f>50+100+17</f>
        <v>167</v>
      </c>
      <c r="E200" s="19">
        <v>50</v>
      </c>
      <c r="F200" s="19">
        <f>50-6-17</f>
        <v>27</v>
      </c>
      <c r="G200" s="19"/>
      <c r="H200" s="19"/>
      <c r="I200" s="19">
        <v>100</v>
      </c>
      <c r="J200" s="19"/>
      <c r="K200" s="19">
        <f>60-60+6</f>
        <v>6</v>
      </c>
      <c r="L200" s="19"/>
      <c r="M200" s="19"/>
      <c r="N200" s="19">
        <f>50-50</f>
        <v>0</v>
      </c>
      <c r="O200" s="19"/>
      <c r="P200" s="12">
        <f>SUM(C200:O200)</f>
        <v>736</v>
      </c>
      <c r="Q200" s="36">
        <f>SUM(C200:O200)</f>
        <v>736</v>
      </c>
    </row>
    <row r="201" spans="1:18" x14ac:dyDescent="0.2">
      <c r="A201" s="65"/>
      <c r="B201" s="25" t="s">
        <v>455</v>
      </c>
      <c r="C201" s="200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2">
        <f>SUM(C201:O201)</f>
        <v>0</v>
      </c>
      <c r="Q201" s="36">
        <f>SUM(C201:O201)</f>
        <v>0</v>
      </c>
    </row>
    <row r="202" spans="1:18" ht="13.5" customHeight="1" x14ac:dyDescent="0.2">
      <c r="A202" s="85" t="s">
        <v>251</v>
      </c>
      <c r="B202" s="28" t="s">
        <v>235</v>
      </c>
      <c r="C202" s="82">
        <f t="shared" ref="C202:O202" si="56">SUM(C203:C204)</f>
        <v>20</v>
      </c>
      <c r="D202" s="82">
        <f t="shared" si="56"/>
        <v>0</v>
      </c>
      <c r="E202" s="82">
        <f t="shared" si="56"/>
        <v>0</v>
      </c>
      <c r="F202" s="82">
        <f t="shared" si="56"/>
        <v>0</v>
      </c>
      <c r="G202" s="82">
        <f t="shared" si="56"/>
        <v>0</v>
      </c>
      <c r="H202" s="82">
        <f t="shared" si="56"/>
        <v>0</v>
      </c>
      <c r="I202" s="82">
        <f t="shared" si="56"/>
        <v>0</v>
      </c>
      <c r="J202" s="82">
        <f t="shared" si="56"/>
        <v>0</v>
      </c>
      <c r="K202" s="82">
        <f t="shared" si="56"/>
        <v>0</v>
      </c>
      <c r="L202" s="82">
        <f t="shared" si="56"/>
        <v>0</v>
      </c>
      <c r="M202" s="82">
        <f t="shared" si="56"/>
        <v>0</v>
      </c>
      <c r="N202" s="82">
        <f t="shared" si="56"/>
        <v>0</v>
      </c>
      <c r="O202" s="82">
        <f t="shared" si="56"/>
        <v>0</v>
      </c>
      <c r="P202" s="14">
        <f t="shared" ref="P202:P214" si="57">SUM(C202:O202)</f>
        <v>20</v>
      </c>
      <c r="Q202" s="36">
        <f>SUM(C202:O202)</f>
        <v>20</v>
      </c>
    </row>
    <row r="203" spans="1:18" ht="13.5" customHeight="1" x14ac:dyDescent="0.2">
      <c r="A203" s="65" t="s">
        <v>252</v>
      </c>
      <c r="B203" s="25" t="s">
        <v>275</v>
      </c>
      <c r="C203" s="200"/>
      <c r="D203" s="274"/>
      <c r="E203" s="82"/>
      <c r="F203" s="274"/>
      <c r="G203" s="19"/>
      <c r="H203" s="19"/>
      <c r="I203" s="19"/>
      <c r="J203" s="19"/>
      <c r="K203" s="19"/>
      <c r="L203" s="19"/>
      <c r="M203" s="19"/>
      <c r="N203" s="19"/>
      <c r="O203" s="19"/>
      <c r="P203" s="12">
        <f t="shared" si="57"/>
        <v>0</v>
      </c>
      <c r="Q203" s="36">
        <f>SUM(C203:O203)</f>
        <v>0</v>
      </c>
    </row>
    <row r="204" spans="1:18" ht="13.5" customHeight="1" x14ac:dyDescent="0.2">
      <c r="A204" s="65" t="s">
        <v>253</v>
      </c>
      <c r="B204" s="25" t="s">
        <v>286</v>
      </c>
      <c r="C204" s="200">
        <f>50-30</f>
        <v>20</v>
      </c>
      <c r="D204" s="274"/>
      <c r="E204" s="274"/>
      <c r="F204" s="274"/>
      <c r="G204" s="19"/>
      <c r="H204" s="19"/>
      <c r="I204" s="19"/>
      <c r="J204" s="19"/>
      <c r="K204" s="19">
        <f>50-18-32</f>
        <v>0</v>
      </c>
      <c r="L204" s="19"/>
      <c r="M204" s="19"/>
      <c r="N204" s="19"/>
      <c r="O204" s="19"/>
      <c r="P204" s="12">
        <f t="shared" si="57"/>
        <v>20</v>
      </c>
      <c r="Q204" s="36">
        <f>SUM(C204:O204)</f>
        <v>20</v>
      </c>
    </row>
    <row r="205" spans="1:18" ht="13.5" customHeight="1" x14ac:dyDescent="0.2">
      <c r="A205" s="85" t="s">
        <v>254</v>
      </c>
      <c r="B205" s="28" t="s">
        <v>236</v>
      </c>
      <c r="C205" s="82">
        <f t="shared" ref="C205:O205" si="58">SUM(C206:C212)</f>
        <v>652</v>
      </c>
      <c r="D205" s="82">
        <f t="shared" si="58"/>
        <v>598</v>
      </c>
      <c r="E205" s="82">
        <f t="shared" si="58"/>
        <v>215</v>
      </c>
      <c r="F205" s="82">
        <f t="shared" si="58"/>
        <v>37</v>
      </c>
      <c r="G205" s="82">
        <f t="shared" si="58"/>
        <v>273</v>
      </c>
      <c r="H205" s="82">
        <f t="shared" si="58"/>
        <v>0</v>
      </c>
      <c r="I205" s="82">
        <f t="shared" si="58"/>
        <v>458</v>
      </c>
      <c r="J205" s="82">
        <f t="shared" si="58"/>
        <v>225</v>
      </c>
      <c r="K205" s="82">
        <f t="shared" si="58"/>
        <v>164</v>
      </c>
      <c r="L205" s="82">
        <f t="shared" si="58"/>
        <v>0</v>
      </c>
      <c r="M205" s="82">
        <f t="shared" si="58"/>
        <v>253</v>
      </c>
      <c r="N205" s="82">
        <f t="shared" si="58"/>
        <v>103</v>
      </c>
      <c r="O205" s="82">
        <f t="shared" si="58"/>
        <v>0</v>
      </c>
      <c r="P205" s="14">
        <f t="shared" si="57"/>
        <v>2978</v>
      </c>
      <c r="Q205" s="36">
        <f>SUM(Q206:Q212)</f>
        <v>2978</v>
      </c>
      <c r="R205" s="81"/>
    </row>
    <row r="206" spans="1:18" ht="13.5" customHeight="1" x14ac:dyDescent="0.2">
      <c r="A206" s="65" t="s">
        <v>255</v>
      </c>
      <c r="B206" s="25" t="s">
        <v>265</v>
      </c>
      <c r="C206" s="200">
        <f>650-90-23-2-10-43-37-113</f>
        <v>332</v>
      </c>
      <c r="D206" s="200">
        <f>400-55+37</f>
        <v>382</v>
      </c>
      <c r="E206" s="200">
        <f>161+54</f>
        <v>215</v>
      </c>
      <c r="F206" s="200">
        <f>63-30+2+2</f>
        <v>37</v>
      </c>
      <c r="G206" s="200">
        <f>243+30</f>
        <v>273</v>
      </c>
      <c r="H206" s="200">
        <v>0</v>
      </c>
      <c r="I206" s="200">
        <f>188+157+113</f>
        <v>458</v>
      </c>
      <c r="J206" s="200">
        <f>23+141+43+18</f>
        <v>225</v>
      </c>
      <c r="K206" s="200">
        <f>200-18-54-2</f>
        <v>126</v>
      </c>
      <c r="L206" s="200"/>
      <c r="M206" s="200">
        <f>804-779+48+2+10</f>
        <v>85</v>
      </c>
      <c r="N206" s="200">
        <v>99</v>
      </c>
      <c r="O206" s="200">
        <v>0</v>
      </c>
      <c r="P206" s="12">
        <f t="shared" si="57"/>
        <v>2232</v>
      </c>
      <c r="Q206" s="36">
        <f t="shared" ref="Q206:Q212" si="59">SUM(C206:O206)</f>
        <v>2232</v>
      </c>
    </row>
    <row r="207" spans="1:18" ht="13.5" customHeight="1" x14ac:dyDescent="0.2">
      <c r="A207" s="65" t="s">
        <v>256</v>
      </c>
      <c r="B207" s="25" t="s">
        <v>266</v>
      </c>
      <c r="C207" s="200">
        <v>50</v>
      </c>
      <c r="D207" s="274"/>
      <c r="E207" s="19"/>
      <c r="F207" s="274" t="s">
        <v>670</v>
      </c>
      <c r="G207" s="19"/>
      <c r="H207" s="19"/>
      <c r="I207" s="19"/>
      <c r="J207" s="19"/>
      <c r="K207" s="19"/>
      <c r="L207" s="19"/>
      <c r="M207" s="19"/>
      <c r="N207" s="19"/>
      <c r="O207" s="19"/>
      <c r="P207" s="12">
        <f t="shared" si="57"/>
        <v>50</v>
      </c>
      <c r="Q207" s="36">
        <f t="shared" si="59"/>
        <v>50</v>
      </c>
    </row>
    <row r="208" spans="1:18" ht="13.5" customHeight="1" x14ac:dyDescent="0.2">
      <c r="A208" s="65" t="s">
        <v>257</v>
      </c>
      <c r="B208" s="25" t="s">
        <v>267</v>
      </c>
      <c r="C208" s="200">
        <v>20</v>
      </c>
      <c r="D208" s="274"/>
      <c r="E208" s="274"/>
      <c r="F208" s="274"/>
      <c r="G208" s="19"/>
      <c r="H208" s="19"/>
      <c r="I208" s="19"/>
      <c r="J208" s="19"/>
      <c r="K208" s="19"/>
      <c r="L208" s="19"/>
      <c r="M208" s="19"/>
      <c r="N208" s="19"/>
      <c r="O208" s="19"/>
      <c r="P208" s="12">
        <f t="shared" si="57"/>
        <v>20</v>
      </c>
      <c r="Q208" s="36">
        <f t="shared" si="59"/>
        <v>20</v>
      </c>
    </row>
    <row r="209" spans="1:17" ht="13.5" customHeight="1" x14ac:dyDescent="0.2">
      <c r="A209" s="65" t="s">
        <v>258</v>
      </c>
      <c r="B209" s="25" t="s">
        <v>268</v>
      </c>
      <c r="C209" s="200"/>
      <c r="D209" s="274"/>
      <c r="E209" s="274"/>
      <c r="F209" s="274"/>
      <c r="G209" s="19"/>
      <c r="H209" s="19"/>
      <c r="I209" s="19"/>
      <c r="J209" s="19"/>
      <c r="K209" s="19"/>
      <c r="L209" s="19"/>
      <c r="M209" s="19"/>
      <c r="N209" s="19"/>
      <c r="O209" s="19"/>
      <c r="P209" s="12">
        <f t="shared" si="57"/>
        <v>0</v>
      </c>
      <c r="Q209" s="36">
        <f t="shared" si="59"/>
        <v>0</v>
      </c>
    </row>
    <row r="210" spans="1:17" ht="13.5" customHeight="1" x14ac:dyDescent="0.2">
      <c r="A210" s="65" t="s">
        <v>259</v>
      </c>
      <c r="B210" s="25" t="s">
        <v>40</v>
      </c>
      <c r="C210" s="200">
        <f>50+80+22</f>
        <v>152</v>
      </c>
      <c r="D210" s="19">
        <f>30+32+30+38+73+10+3</f>
        <v>216</v>
      </c>
      <c r="E210" s="19">
        <f>10-10</f>
        <v>0</v>
      </c>
      <c r="F210" s="19"/>
      <c r="G210" s="19"/>
      <c r="H210" s="19"/>
      <c r="I210" s="19"/>
      <c r="J210" s="19"/>
      <c r="K210" s="19"/>
      <c r="L210" s="19"/>
      <c r="M210" s="19">
        <f>168</f>
        <v>168</v>
      </c>
      <c r="N210" s="19">
        <f>20-13-3</f>
        <v>4</v>
      </c>
      <c r="O210" s="19"/>
      <c r="P210" s="12">
        <f t="shared" si="57"/>
        <v>540</v>
      </c>
      <c r="Q210" s="36">
        <f t="shared" si="59"/>
        <v>540</v>
      </c>
    </row>
    <row r="211" spans="1:17" ht="13.5" customHeight="1" x14ac:dyDescent="0.2">
      <c r="A211" s="65"/>
      <c r="B211" s="25" t="s">
        <v>455</v>
      </c>
      <c r="C211" s="200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2">
        <f t="shared" si="57"/>
        <v>0</v>
      </c>
      <c r="Q211" s="36">
        <f t="shared" si="59"/>
        <v>0</v>
      </c>
    </row>
    <row r="212" spans="1:17" ht="13.5" customHeight="1" x14ac:dyDescent="0.2">
      <c r="A212" s="65"/>
      <c r="B212" s="25" t="s">
        <v>289</v>
      </c>
      <c r="C212" s="16">
        <f>50+35+13</f>
        <v>98</v>
      </c>
      <c r="D212" s="274"/>
      <c r="E212" s="19"/>
      <c r="F212" s="274"/>
      <c r="G212" s="19"/>
      <c r="H212" s="19"/>
      <c r="I212" s="19"/>
      <c r="J212" s="19"/>
      <c r="K212" s="19">
        <f>20+18</f>
        <v>38</v>
      </c>
      <c r="L212" s="19"/>
      <c r="M212" s="19">
        <f>111-111</f>
        <v>0</v>
      </c>
      <c r="N212" s="19"/>
      <c r="O212" s="19"/>
      <c r="P212" s="12">
        <f t="shared" si="57"/>
        <v>136</v>
      </c>
      <c r="Q212" s="36">
        <f t="shared" si="59"/>
        <v>136</v>
      </c>
    </row>
    <row r="213" spans="1:17" ht="13.5" customHeight="1" x14ac:dyDescent="0.2">
      <c r="A213" s="85" t="s">
        <v>270</v>
      </c>
      <c r="B213" s="145" t="s">
        <v>26</v>
      </c>
      <c r="C213" s="199">
        <f t="shared" ref="C213:O213" si="60">SUM(C167+C177+C180+C202+C205)</f>
        <v>2866</v>
      </c>
      <c r="D213" s="199">
        <f t="shared" si="60"/>
        <v>2049</v>
      </c>
      <c r="E213" s="199">
        <f t="shared" si="60"/>
        <v>1252</v>
      </c>
      <c r="F213" s="199">
        <f t="shared" si="60"/>
        <v>221</v>
      </c>
      <c r="G213" s="199">
        <f t="shared" si="60"/>
        <v>1280</v>
      </c>
      <c r="H213" s="199">
        <f t="shared" si="60"/>
        <v>0</v>
      </c>
      <c r="I213" s="199">
        <f t="shared" si="60"/>
        <v>2174</v>
      </c>
      <c r="J213" s="199">
        <f t="shared" si="60"/>
        <v>747</v>
      </c>
      <c r="K213" s="199">
        <f t="shared" si="60"/>
        <v>672</v>
      </c>
      <c r="L213" s="199">
        <f t="shared" si="60"/>
        <v>0</v>
      </c>
      <c r="M213" s="199">
        <f t="shared" si="60"/>
        <v>3823</v>
      </c>
      <c r="N213" s="199">
        <f t="shared" si="60"/>
        <v>448</v>
      </c>
      <c r="O213" s="199">
        <f t="shared" si="60"/>
        <v>0</v>
      </c>
      <c r="P213" s="206">
        <f t="shared" si="57"/>
        <v>15532</v>
      </c>
      <c r="Q213" s="36">
        <f>SUM(P167+P177+P180+P202+P205)</f>
        <v>15532</v>
      </c>
    </row>
    <row r="214" spans="1:17" ht="13.5" customHeight="1" x14ac:dyDescent="0.2">
      <c r="A214" s="203" t="s">
        <v>269</v>
      </c>
      <c r="B214" s="145" t="s">
        <v>406</v>
      </c>
      <c r="C214" s="199">
        <f>100-100</f>
        <v>0</v>
      </c>
      <c r="D214" s="206"/>
      <c r="E214" s="199"/>
      <c r="F214" s="206"/>
      <c r="G214" s="206"/>
      <c r="H214" s="206"/>
      <c r="I214" s="206"/>
      <c r="J214" s="206">
        <f>422+3823+395</f>
        <v>4640</v>
      </c>
      <c r="K214" s="206"/>
      <c r="L214" s="206"/>
      <c r="M214" s="206"/>
      <c r="N214" s="206"/>
      <c r="O214" s="206"/>
      <c r="P214" s="206">
        <f t="shared" si="57"/>
        <v>4640</v>
      </c>
      <c r="Q214" s="36">
        <f>SUM(P214)</f>
        <v>4640</v>
      </c>
    </row>
    <row r="215" spans="1:17" ht="13.5" customHeight="1" x14ac:dyDescent="0.2">
      <c r="A215" s="203" t="s">
        <v>294</v>
      </c>
      <c r="B215" s="145" t="s">
        <v>33</v>
      </c>
      <c r="C215" s="199">
        <f>'4. Átadott p.eszk.'!C198</f>
        <v>0</v>
      </c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>
        <f>SUM(C215:O215)</f>
        <v>0</v>
      </c>
      <c r="Q215" s="36">
        <f>SUM(C215:O215)</f>
        <v>0</v>
      </c>
    </row>
    <row r="216" spans="1:17" ht="13.5" customHeight="1" thickBot="1" x14ac:dyDescent="0.25">
      <c r="A216" s="203" t="s">
        <v>295</v>
      </c>
      <c r="B216" s="202" t="s">
        <v>296</v>
      </c>
      <c r="C216" s="146">
        <f>SUM('3.felh'!C192)</f>
        <v>0</v>
      </c>
      <c r="D216" s="210"/>
      <c r="E216" s="206"/>
      <c r="F216" s="210"/>
      <c r="G216" s="210"/>
      <c r="H216" s="210"/>
      <c r="I216" s="210"/>
      <c r="J216" s="210"/>
      <c r="K216" s="210"/>
      <c r="L216" s="210"/>
      <c r="M216" s="210">
        <v>134</v>
      </c>
      <c r="N216" s="210"/>
      <c r="O216" s="210"/>
      <c r="P216" s="210">
        <f>SUM(C216:O216)</f>
        <v>134</v>
      </c>
      <c r="Q216" s="36">
        <f>SUM(C216:O216)</f>
        <v>134</v>
      </c>
    </row>
    <row r="217" spans="1:17" ht="22.5" customHeight="1" thickBot="1" x14ac:dyDescent="0.4">
      <c r="A217" s="201"/>
      <c r="B217" s="244" t="s">
        <v>5</v>
      </c>
      <c r="C217" s="211">
        <f t="shared" ref="C217:O217" si="61">SUM(C163+C166+C213+C214+C215+C216)</f>
        <v>9280</v>
      </c>
      <c r="D217" s="211">
        <f t="shared" si="61"/>
        <v>3416</v>
      </c>
      <c r="E217" s="211">
        <f t="shared" si="61"/>
        <v>4860</v>
      </c>
      <c r="F217" s="211">
        <f t="shared" si="61"/>
        <v>221</v>
      </c>
      <c r="G217" s="211">
        <f t="shared" si="61"/>
        <v>1280</v>
      </c>
      <c r="H217" s="211">
        <f t="shared" si="61"/>
        <v>0</v>
      </c>
      <c r="I217" s="211">
        <f t="shared" si="61"/>
        <v>2174</v>
      </c>
      <c r="J217" s="211">
        <f t="shared" si="61"/>
        <v>5387</v>
      </c>
      <c r="K217" s="211">
        <f t="shared" si="61"/>
        <v>672</v>
      </c>
      <c r="L217" s="211">
        <f t="shared" si="61"/>
        <v>0</v>
      </c>
      <c r="M217" s="211">
        <f t="shared" si="61"/>
        <v>4810</v>
      </c>
      <c r="N217" s="211">
        <f t="shared" si="61"/>
        <v>1014</v>
      </c>
      <c r="O217" s="211">
        <f t="shared" si="61"/>
        <v>4411</v>
      </c>
      <c r="P217" s="243">
        <f>SUM(C217:O217)</f>
        <v>37525</v>
      </c>
      <c r="Q217" s="36">
        <f>SUM(P163+P166+P213+P214+P215+P216)</f>
        <v>37525</v>
      </c>
    </row>
    <row r="218" spans="1:17" x14ac:dyDescent="0.2">
      <c r="A218" s="65"/>
      <c r="B218" s="83" t="s">
        <v>41</v>
      </c>
      <c r="C218" s="205"/>
      <c r="D218" s="207">
        <v>1</v>
      </c>
      <c r="E218" s="207">
        <v>1</v>
      </c>
      <c r="F218" s="207"/>
      <c r="G218" s="86"/>
      <c r="H218" s="86"/>
      <c r="I218" s="204"/>
      <c r="J218" s="204"/>
      <c r="K218" s="204"/>
      <c r="L218" s="204"/>
      <c r="M218" s="204"/>
      <c r="N218" s="204"/>
      <c r="O218" s="204">
        <v>6</v>
      </c>
      <c r="P218" s="204">
        <f>SUM(C218:O218)</f>
        <v>8</v>
      </c>
      <c r="Q218" s="36"/>
    </row>
    <row r="219" spans="1:17" x14ac:dyDescent="0.2">
      <c r="C219" s="3"/>
      <c r="D219" s="208"/>
      <c r="F219" s="208"/>
      <c r="G219" s="209"/>
      <c r="H219" s="209"/>
      <c r="I219" s="2"/>
      <c r="J219" s="2"/>
      <c r="K219" s="2"/>
      <c r="L219" s="2"/>
      <c r="M219" s="2"/>
      <c r="N219" s="2"/>
      <c r="O219" s="2"/>
      <c r="P219" s="9"/>
      <c r="Q219" s="35"/>
    </row>
    <row r="220" spans="1:17" ht="13.5" thickBot="1" x14ac:dyDescent="0.25"/>
    <row r="221" spans="1:17" ht="28.5" customHeight="1" thickBot="1" x14ac:dyDescent="0.25">
      <c r="A221" s="660" t="s">
        <v>99</v>
      </c>
      <c r="B221" s="662" t="s">
        <v>24</v>
      </c>
      <c r="C221" s="664" t="s">
        <v>683</v>
      </c>
      <c r="D221" s="665"/>
      <c r="E221" s="665"/>
      <c r="F221" s="665"/>
      <c r="G221" s="665"/>
      <c r="H221" s="665"/>
      <c r="I221" s="665"/>
      <c r="J221" s="665"/>
      <c r="K221" s="665"/>
      <c r="L221" s="665"/>
      <c r="M221" s="665"/>
      <c r="N221" s="665"/>
      <c r="O221" s="665"/>
      <c r="P221" s="666"/>
    </row>
    <row r="222" spans="1:17" ht="87" customHeight="1" thickBot="1" x14ac:dyDescent="0.25">
      <c r="A222" s="661"/>
      <c r="B222" s="663"/>
      <c r="C222" s="245" t="s">
        <v>290</v>
      </c>
      <c r="D222" s="246" t="s">
        <v>360</v>
      </c>
      <c r="E222" s="246" t="s">
        <v>361</v>
      </c>
      <c r="F222" s="246" t="s">
        <v>372</v>
      </c>
      <c r="G222" s="246" t="s">
        <v>362</v>
      </c>
      <c r="H222" s="246" t="s">
        <v>373</v>
      </c>
      <c r="I222" s="246" t="s">
        <v>431</v>
      </c>
      <c r="J222" s="245" t="s">
        <v>384</v>
      </c>
      <c r="K222" s="245" t="s">
        <v>364</v>
      </c>
      <c r="L222" s="245" t="s">
        <v>313</v>
      </c>
      <c r="M222" s="245" t="s">
        <v>462</v>
      </c>
      <c r="N222" s="245" t="s">
        <v>363</v>
      </c>
      <c r="O222" s="245" t="s">
        <v>333</v>
      </c>
      <c r="P222" s="247" t="s">
        <v>38</v>
      </c>
    </row>
    <row r="223" spans="1:17" ht="13.5" customHeight="1" x14ac:dyDescent="0.2">
      <c r="A223" s="212" t="s">
        <v>272</v>
      </c>
      <c r="B223" s="22" t="s">
        <v>273</v>
      </c>
      <c r="C223" s="44">
        <f t="shared" ref="C223:P223" si="62">SUM(C224:C227)</f>
        <v>0</v>
      </c>
      <c r="D223" s="44">
        <f t="shared" si="62"/>
        <v>1041</v>
      </c>
      <c r="E223" s="44">
        <f t="shared" si="62"/>
        <v>2931</v>
      </c>
      <c r="F223" s="44">
        <f t="shared" si="62"/>
        <v>0</v>
      </c>
      <c r="G223" s="44">
        <f t="shared" si="62"/>
        <v>0</v>
      </c>
      <c r="H223" s="44">
        <f t="shared" si="62"/>
        <v>0</v>
      </c>
      <c r="I223" s="44">
        <f t="shared" si="62"/>
        <v>0</v>
      </c>
      <c r="J223" s="44">
        <f t="shared" si="62"/>
        <v>0</v>
      </c>
      <c r="K223" s="44">
        <f t="shared" si="62"/>
        <v>0</v>
      </c>
      <c r="L223" s="44">
        <f t="shared" si="62"/>
        <v>0</v>
      </c>
      <c r="M223" s="44">
        <f t="shared" si="62"/>
        <v>483</v>
      </c>
      <c r="N223" s="44">
        <f t="shared" si="62"/>
        <v>0</v>
      </c>
      <c r="O223" s="44">
        <f t="shared" si="62"/>
        <v>3950</v>
      </c>
      <c r="P223" s="44">
        <f t="shared" si="62"/>
        <v>8405</v>
      </c>
      <c r="Q223" s="36">
        <f>SUM(C223:O223)</f>
        <v>8405</v>
      </c>
    </row>
    <row r="224" spans="1:17" ht="13.5" customHeight="1" x14ac:dyDescent="0.2">
      <c r="A224" s="212"/>
      <c r="B224" s="56" t="s">
        <v>303</v>
      </c>
      <c r="C224" s="215"/>
      <c r="D224" s="86">
        <v>964</v>
      </c>
      <c r="E224" s="86">
        <v>2753</v>
      </c>
      <c r="F224" s="86"/>
      <c r="G224" s="86"/>
      <c r="H224" s="86"/>
      <c r="I224" s="86"/>
      <c r="J224" s="86"/>
      <c r="K224" s="86"/>
      <c r="L224" s="86"/>
      <c r="M224" s="86">
        <v>483</v>
      </c>
      <c r="N224" s="86"/>
      <c r="O224" s="86">
        <v>3857</v>
      </c>
      <c r="P224" s="204">
        <f>SUM(C224:O224)</f>
        <v>8057</v>
      </c>
      <c r="Q224" s="36">
        <f>SUM(C224:O224)</f>
        <v>8057</v>
      </c>
    </row>
    <row r="225" spans="1:17" ht="13.5" customHeight="1" x14ac:dyDescent="0.2">
      <c r="A225" s="212"/>
      <c r="B225" s="56" t="s">
        <v>42</v>
      </c>
      <c r="C225" s="215"/>
      <c r="D225" s="86"/>
      <c r="E225" s="86">
        <v>52</v>
      </c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204">
        <f>SUM(C225:O225)</f>
        <v>52</v>
      </c>
      <c r="Q225" s="36">
        <f>SUM(C225:O225)</f>
        <v>52</v>
      </c>
    </row>
    <row r="226" spans="1:17" ht="13.5" customHeight="1" x14ac:dyDescent="0.2">
      <c r="A226" s="212"/>
      <c r="B226" s="56" t="s">
        <v>395</v>
      </c>
      <c r="C226" s="215"/>
      <c r="D226" s="86"/>
      <c r="E226" s="86">
        <v>96</v>
      </c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204">
        <f>SUM(C226:O226)</f>
        <v>96</v>
      </c>
      <c r="Q226" s="36">
        <f>SUM(C226:O226)</f>
        <v>96</v>
      </c>
    </row>
    <row r="227" spans="1:17" ht="12.75" customHeight="1" x14ac:dyDescent="0.2">
      <c r="A227" s="65"/>
      <c r="B227" s="2" t="s">
        <v>491</v>
      </c>
      <c r="C227" s="19"/>
      <c r="D227" s="19">
        <v>77</v>
      </c>
      <c r="E227" s="19">
        <v>30</v>
      </c>
      <c r="F227" s="19"/>
      <c r="G227" s="19"/>
      <c r="H227" s="19"/>
      <c r="I227" s="19"/>
      <c r="J227" s="19"/>
      <c r="K227" s="19"/>
      <c r="L227" s="19"/>
      <c r="M227" s="19"/>
      <c r="N227" s="19"/>
      <c r="O227" s="19">
        <v>93</v>
      </c>
      <c r="P227" s="204">
        <f t="shared" ref="P227:P237" si="63">SUM(C227:O227)</f>
        <v>200</v>
      </c>
      <c r="Q227" s="36">
        <f>SUM(C227:O227)</f>
        <v>200</v>
      </c>
    </row>
    <row r="228" spans="1:17" ht="12.75" customHeight="1" x14ac:dyDescent="0.2">
      <c r="A228" s="85" t="s">
        <v>274</v>
      </c>
      <c r="B228" s="28" t="s">
        <v>302</v>
      </c>
      <c r="C228" s="273">
        <f t="shared" ref="C228:O228" si="64">SUM(C229:C234)</f>
        <v>5432</v>
      </c>
      <c r="D228" s="273">
        <f t="shared" si="64"/>
        <v>58</v>
      </c>
      <c r="E228" s="273">
        <f t="shared" si="64"/>
        <v>0</v>
      </c>
      <c r="F228" s="273">
        <f t="shared" si="64"/>
        <v>0</v>
      </c>
      <c r="G228" s="273">
        <f t="shared" si="64"/>
        <v>0</v>
      </c>
      <c r="H228" s="273">
        <f t="shared" si="64"/>
        <v>0</v>
      </c>
      <c r="I228" s="273">
        <f t="shared" si="64"/>
        <v>0</v>
      </c>
      <c r="J228" s="273">
        <f t="shared" si="64"/>
        <v>0</v>
      </c>
      <c r="K228" s="273">
        <f t="shared" si="64"/>
        <v>0</v>
      </c>
      <c r="L228" s="273">
        <f t="shared" si="64"/>
        <v>0</v>
      </c>
      <c r="M228" s="273">
        <f t="shared" si="64"/>
        <v>177</v>
      </c>
      <c r="N228" s="273">
        <f t="shared" si="64"/>
        <v>457</v>
      </c>
      <c r="O228" s="273">
        <f t="shared" si="64"/>
        <v>0</v>
      </c>
      <c r="P228" s="338">
        <f t="shared" si="63"/>
        <v>6124</v>
      </c>
      <c r="Q228" s="36">
        <f>SUM(P229:P234)</f>
        <v>6124</v>
      </c>
    </row>
    <row r="229" spans="1:17" ht="12.75" customHeight="1" x14ac:dyDescent="0.2">
      <c r="A229" s="353"/>
      <c r="B229" s="25" t="s">
        <v>39</v>
      </c>
      <c r="C229" s="215">
        <v>3590</v>
      </c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12">
        <f t="shared" si="63"/>
        <v>3590</v>
      </c>
      <c r="Q229" s="36">
        <f t="shared" ref="Q229:Q234" si="65">SUM(C229:O229)</f>
        <v>3590</v>
      </c>
    </row>
    <row r="230" spans="1:17" ht="12.75" customHeight="1" x14ac:dyDescent="0.2">
      <c r="A230" s="65"/>
      <c r="B230" s="216" t="s">
        <v>301</v>
      </c>
      <c r="C230" s="215">
        <v>539</v>
      </c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12">
        <f t="shared" si="63"/>
        <v>539</v>
      </c>
      <c r="Q230" s="36">
        <f t="shared" si="65"/>
        <v>539</v>
      </c>
    </row>
    <row r="231" spans="1:17" ht="12.75" customHeight="1" x14ac:dyDescent="0.2">
      <c r="A231" s="353"/>
      <c r="B231" s="216" t="s">
        <v>395</v>
      </c>
      <c r="C231" s="215">
        <v>195</v>
      </c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12">
        <f t="shared" si="63"/>
        <v>195</v>
      </c>
      <c r="Q231" s="36">
        <f t="shared" si="65"/>
        <v>195</v>
      </c>
    </row>
    <row r="232" spans="1:17" ht="12.75" customHeight="1" x14ac:dyDescent="0.2">
      <c r="A232" s="353"/>
      <c r="B232" s="25" t="s">
        <v>338</v>
      </c>
      <c r="C232" s="19">
        <v>1028</v>
      </c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2">
        <f t="shared" si="63"/>
        <v>1028</v>
      </c>
      <c r="Q232" s="36">
        <f t="shared" si="65"/>
        <v>1028</v>
      </c>
    </row>
    <row r="233" spans="1:17" ht="13.5" customHeight="1" x14ac:dyDescent="0.2">
      <c r="A233" s="354"/>
      <c r="B233" s="21" t="s">
        <v>371</v>
      </c>
      <c r="C233" s="215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>
        <v>457</v>
      </c>
      <c r="O233" s="86"/>
      <c r="P233" s="204">
        <f t="shared" si="63"/>
        <v>457</v>
      </c>
      <c r="Q233" s="36">
        <f t="shared" si="65"/>
        <v>457</v>
      </c>
    </row>
    <row r="234" spans="1:17" ht="13.5" customHeight="1" x14ac:dyDescent="0.2">
      <c r="A234" s="354"/>
      <c r="B234" s="25" t="s">
        <v>652</v>
      </c>
      <c r="C234" s="19">
        <v>80</v>
      </c>
      <c r="D234" s="19">
        <v>58</v>
      </c>
      <c r="E234" s="19"/>
      <c r="F234" s="19"/>
      <c r="G234" s="19"/>
      <c r="H234" s="19"/>
      <c r="I234" s="19"/>
      <c r="J234" s="19"/>
      <c r="K234" s="19"/>
      <c r="L234" s="19"/>
      <c r="M234" s="86">
        <v>177</v>
      </c>
      <c r="N234" s="19">
        <v>0</v>
      </c>
      <c r="O234" s="19"/>
      <c r="P234" s="12">
        <f t="shared" si="63"/>
        <v>315</v>
      </c>
      <c r="Q234" s="36">
        <f t="shared" si="65"/>
        <v>315</v>
      </c>
    </row>
    <row r="235" spans="1:17" ht="13.5" customHeight="1" x14ac:dyDescent="0.2">
      <c r="A235" s="85" t="s">
        <v>196</v>
      </c>
      <c r="B235" s="145" t="s">
        <v>271</v>
      </c>
      <c r="C235" s="199">
        <f t="shared" ref="C235:O235" si="66">SUM(C223+C228)</f>
        <v>5432</v>
      </c>
      <c r="D235" s="199">
        <f t="shared" si="66"/>
        <v>1099</v>
      </c>
      <c r="E235" s="199">
        <f t="shared" si="66"/>
        <v>2931</v>
      </c>
      <c r="F235" s="199">
        <f t="shared" si="66"/>
        <v>0</v>
      </c>
      <c r="G235" s="199">
        <f t="shared" si="66"/>
        <v>0</v>
      </c>
      <c r="H235" s="199">
        <f t="shared" si="66"/>
        <v>0</v>
      </c>
      <c r="I235" s="199">
        <f t="shared" si="66"/>
        <v>0</v>
      </c>
      <c r="J235" s="199">
        <f t="shared" si="66"/>
        <v>0</v>
      </c>
      <c r="K235" s="199">
        <f t="shared" si="66"/>
        <v>0</v>
      </c>
      <c r="L235" s="199">
        <f t="shared" si="66"/>
        <v>0</v>
      </c>
      <c r="M235" s="199">
        <f t="shared" si="66"/>
        <v>660</v>
      </c>
      <c r="N235" s="199">
        <f t="shared" si="66"/>
        <v>457</v>
      </c>
      <c r="O235" s="199">
        <f t="shared" si="66"/>
        <v>3950</v>
      </c>
      <c r="P235" s="206">
        <f t="shared" si="63"/>
        <v>14529</v>
      </c>
      <c r="Q235" s="36">
        <f>SUM(P223+P228)</f>
        <v>14529</v>
      </c>
    </row>
    <row r="236" spans="1:17" ht="13.5" customHeight="1" x14ac:dyDescent="0.2">
      <c r="A236" s="65"/>
      <c r="B236" s="25" t="s">
        <v>25</v>
      </c>
      <c r="C236" s="16">
        <v>807</v>
      </c>
      <c r="D236" s="19">
        <v>194</v>
      </c>
      <c r="E236" s="19">
        <v>469</v>
      </c>
      <c r="F236" s="19"/>
      <c r="G236" s="19"/>
      <c r="H236" s="19"/>
      <c r="I236" s="19"/>
      <c r="J236" s="19"/>
      <c r="K236" s="19"/>
      <c r="L236" s="19"/>
      <c r="M236" s="19">
        <v>161</v>
      </c>
      <c r="N236" s="19">
        <v>72</v>
      </c>
      <c r="O236" s="19">
        <v>330</v>
      </c>
      <c r="P236" s="19">
        <f t="shared" si="63"/>
        <v>2033</v>
      </c>
      <c r="Q236" s="36">
        <f t="shared" ref="Q236:Q248" si="67">SUM(C236:O236)</f>
        <v>2033</v>
      </c>
    </row>
    <row r="237" spans="1:17" x14ac:dyDescent="0.2">
      <c r="A237" s="65"/>
      <c r="B237" s="25" t="s">
        <v>97</v>
      </c>
      <c r="C237" s="19">
        <v>64</v>
      </c>
      <c r="D237" s="19">
        <v>7</v>
      </c>
      <c r="E237" s="19">
        <v>14</v>
      </c>
      <c r="F237" s="19"/>
      <c r="G237" s="19"/>
      <c r="H237" s="19"/>
      <c r="I237" s="19"/>
      <c r="J237" s="19"/>
      <c r="K237" s="19"/>
      <c r="L237" s="19"/>
      <c r="M237" s="19">
        <v>31</v>
      </c>
      <c r="N237" s="19"/>
      <c r="O237" s="19"/>
      <c r="P237" s="19">
        <f t="shared" si="63"/>
        <v>116</v>
      </c>
      <c r="Q237" s="36">
        <f t="shared" si="67"/>
        <v>116</v>
      </c>
    </row>
    <row r="238" spans="1:17" ht="13.5" customHeight="1" x14ac:dyDescent="0.2">
      <c r="A238" s="85" t="s">
        <v>197</v>
      </c>
      <c r="B238" s="145" t="s">
        <v>80</v>
      </c>
      <c r="C238" s="199">
        <f t="shared" ref="C238:O238" si="68">SUM(C236:C237)</f>
        <v>871</v>
      </c>
      <c r="D238" s="199">
        <f t="shared" si="68"/>
        <v>201</v>
      </c>
      <c r="E238" s="199">
        <f t="shared" si="68"/>
        <v>483</v>
      </c>
      <c r="F238" s="199">
        <f t="shared" si="68"/>
        <v>0</v>
      </c>
      <c r="G238" s="199">
        <f t="shared" si="68"/>
        <v>0</v>
      </c>
      <c r="H238" s="199">
        <f t="shared" si="68"/>
        <v>0</v>
      </c>
      <c r="I238" s="199">
        <f t="shared" si="68"/>
        <v>0</v>
      </c>
      <c r="J238" s="199">
        <f t="shared" si="68"/>
        <v>0</v>
      </c>
      <c r="K238" s="199">
        <f t="shared" si="68"/>
        <v>0</v>
      </c>
      <c r="L238" s="199">
        <f t="shared" si="68"/>
        <v>0</v>
      </c>
      <c r="M238" s="199">
        <f t="shared" si="68"/>
        <v>192</v>
      </c>
      <c r="N238" s="199">
        <f t="shared" si="68"/>
        <v>72</v>
      </c>
      <c r="O238" s="199">
        <f t="shared" si="68"/>
        <v>330</v>
      </c>
      <c r="P238" s="199">
        <f>SUM(P236:P237)</f>
        <v>2149</v>
      </c>
      <c r="Q238" s="36">
        <f t="shared" si="67"/>
        <v>2149</v>
      </c>
    </row>
    <row r="239" spans="1:17" ht="13.5" customHeight="1" x14ac:dyDescent="0.2">
      <c r="A239" s="85" t="s">
        <v>237</v>
      </c>
      <c r="B239" s="28" t="s">
        <v>260</v>
      </c>
      <c r="C239" s="82">
        <f t="shared" ref="C239:O239" si="69">SUM(C240:C248)</f>
        <v>185</v>
      </c>
      <c r="D239" s="82">
        <f t="shared" si="69"/>
        <v>775</v>
      </c>
      <c r="E239" s="82">
        <f t="shared" si="69"/>
        <v>506</v>
      </c>
      <c r="F239" s="82">
        <f t="shared" si="69"/>
        <v>7</v>
      </c>
      <c r="G239" s="82">
        <f t="shared" si="69"/>
        <v>0</v>
      </c>
      <c r="H239" s="82">
        <f t="shared" si="69"/>
        <v>0</v>
      </c>
      <c r="I239" s="82">
        <f t="shared" si="69"/>
        <v>1</v>
      </c>
      <c r="J239" s="82">
        <f t="shared" si="69"/>
        <v>522</v>
      </c>
      <c r="K239" s="82">
        <f t="shared" si="69"/>
        <v>0</v>
      </c>
      <c r="L239" s="82">
        <f t="shared" si="69"/>
        <v>0</v>
      </c>
      <c r="M239" s="82">
        <f t="shared" si="69"/>
        <v>0</v>
      </c>
      <c r="N239" s="82">
        <f t="shared" si="69"/>
        <v>0</v>
      </c>
      <c r="O239" s="82">
        <f t="shared" si="69"/>
        <v>0</v>
      </c>
      <c r="P239" s="82">
        <f>SUM(P240:P248)</f>
        <v>1996</v>
      </c>
      <c r="Q239" s="36">
        <f t="shared" si="67"/>
        <v>1996</v>
      </c>
    </row>
    <row r="240" spans="1:17" ht="13.5" customHeight="1" x14ac:dyDescent="0.2">
      <c r="A240" s="65" t="s">
        <v>238</v>
      </c>
      <c r="B240" s="25" t="s">
        <v>341</v>
      </c>
      <c r="C240" s="200">
        <v>0</v>
      </c>
      <c r="D240" s="274"/>
      <c r="E240" s="274"/>
      <c r="F240" s="274"/>
      <c r="G240" s="19"/>
      <c r="H240" s="19"/>
      <c r="I240" s="19"/>
      <c r="J240" s="19"/>
      <c r="K240" s="19"/>
      <c r="L240" s="19"/>
      <c r="M240" s="19"/>
      <c r="N240" s="19"/>
      <c r="O240" s="19"/>
      <c r="P240" s="12">
        <f>SUM(C240:O240)</f>
        <v>0</v>
      </c>
      <c r="Q240" s="36">
        <f t="shared" si="67"/>
        <v>0</v>
      </c>
    </row>
    <row r="241" spans="1:18" ht="13.5" customHeight="1" x14ac:dyDescent="0.2">
      <c r="A241" s="65" t="s">
        <v>240</v>
      </c>
      <c r="B241" s="25" t="s">
        <v>261</v>
      </c>
      <c r="C241" s="200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2">
        <f t="shared" ref="P241:P261" si="70">SUM(C241:O241)</f>
        <v>0</v>
      </c>
      <c r="Q241" s="36">
        <f t="shared" si="67"/>
        <v>0</v>
      </c>
    </row>
    <row r="242" spans="1:18" ht="13.5" customHeight="1" x14ac:dyDescent="0.2">
      <c r="A242" s="65"/>
      <c r="B242" s="25" t="s">
        <v>282</v>
      </c>
      <c r="C242" s="200">
        <v>83</v>
      </c>
      <c r="D242" s="19"/>
      <c r="E242" s="19">
        <v>0</v>
      </c>
      <c r="F242" s="19"/>
      <c r="G242" s="19"/>
      <c r="H242" s="19"/>
      <c r="I242" s="19">
        <v>1</v>
      </c>
      <c r="J242" s="19"/>
      <c r="K242" s="19"/>
      <c r="L242" s="19"/>
      <c r="M242" s="19"/>
      <c r="N242" s="19"/>
      <c r="O242" s="19"/>
      <c r="P242" s="12">
        <f t="shared" si="70"/>
        <v>84</v>
      </c>
      <c r="Q242" s="36">
        <f t="shared" si="67"/>
        <v>84</v>
      </c>
    </row>
    <row r="243" spans="1:18" ht="13.5" hidden="1" customHeight="1" x14ac:dyDescent="0.2">
      <c r="A243" s="65" t="s">
        <v>239</v>
      </c>
      <c r="B243" s="25" t="s">
        <v>262</v>
      </c>
      <c r="C243" s="200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2">
        <f t="shared" si="70"/>
        <v>0</v>
      </c>
      <c r="Q243" s="36">
        <f t="shared" si="67"/>
        <v>0</v>
      </c>
    </row>
    <row r="244" spans="1:18" ht="13.5" hidden="1" customHeight="1" x14ac:dyDescent="0.2">
      <c r="A244" s="65"/>
      <c r="B244" s="25" t="s">
        <v>314</v>
      </c>
      <c r="C244" s="200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2">
        <f t="shared" si="70"/>
        <v>0</v>
      </c>
      <c r="Q244" s="36">
        <f t="shared" si="67"/>
        <v>0</v>
      </c>
    </row>
    <row r="245" spans="1:18" ht="13.5" customHeight="1" x14ac:dyDescent="0.2">
      <c r="A245" s="65"/>
      <c r="B245" s="25" t="s">
        <v>283</v>
      </c>
      <c r="C245" s="200">
        <v>0</v>
      </c>
      <c r="D245" s="19">
        <v>366</v>
      </c>
      <c r="E245" s="19">
        <v>309</v>
      </c>
      <c r="F245" s="19">
        <v>7</v>
      </c>
      <c r="G245" s="19"/>
      <c r="H245" s="19"/>
      <c r="I245" s="19"/>
      <c r="J245" s="19"/>
      <c r="K245" s="19"/>
      <c r="L245" s="19"/>
      <c r="M245" s="19"/>
      <c r="N245" s="19"/>
      <c r="O245" s="19"/>
      <c r="P245" s="12">
        <f t="shared" si="70"/>
        <v>682</v>
      </c>
      <c r="Q245" s="36">
        <f t="shared" si="67"/>
        <v>682</v>
      </c>
    </row>
    <row r="246" spans="1:18" ht="13.5" customHeight="1" x14ac:dyDescent="0.2">
      <c r="A246" s="65"/>
      <c r="B246" s="25" t="s">
        <v>284</v>
      </c>
      <c r="C246" s="200">
        <v>74</v>
      </c>
      <c r="D246" s="19">
        <v>4</v>
      </c>
      <c r="E246" s="19"/>
      <c r="F246" s="19"/>
      <c r="G246" s="19"/>
      <c r="H246" s="19"/>
      <c r="I246" s="19"/>
      <c r="J246" s="19"/>
      <c r="K246" s="19">
        <v>0</v>
      </c>
      <c r="L246" s="19"/>
      <c r="M246" s="19"/>
      <c r="N246" s="19"/>
      <c r="O246" s="19"/>
      <c r="P246" s="12">
        <f t="shared" si="70"/>
        <v>78</v>
      </c>
      <c r="Q246" s="36">
        <f t="shared" si="67"/>
        <v>78</v>
      </c>
    </row>
    <row r="247" spans="1:18" ht="13.5" customHeight="1" x14ac:dyDescent="0.2">
      <c r="A247" s="65"/>
      <c r="B247" s="25" t="s">
        <v>315</v>
      </c>
      <c r="C247" s="200">
        <v>28</v>
      </c>
      <c r="D247" s="19">
        <v>356</v>
      </c>
      <c r="E247" s="19">
        <v>197</v>
      </c>
      <c r="F247" s="19"/>
      <c r="G247" s="19"/>
      <c r="H247" s="19"/>
      <c r="I247" s="19"/>
      <c r="J247" s="19">
        <v>522</v>
      </c>
      <c r="K247" s="19">
        <v>0</v>
      </c>
      <c r="L247" s="19"/>
      <c r="M247" s="19"/>
      <c r="N247" s="19">
        <v>0</v>
      </c>
      <c r="O247" s="19"/>
      <c r="P247" s="12">
        <f t="shared" si="70"/>
        <v>1103</v>
      </c>
      <c r="Q247" s="36">
        <f t="shared" si="67"/>
        <v>1103</v>
      </c>
    </row>
    <row r="248" spans="1:18" ht="13.5" customHeight="1" x14ac:dyDescent="0.2">
      <c r="A248" s="65"/>
      <c r="B248" s="25" t="s">
        <v>293</v>
      </c>
      <c r="C248" s="200"/>
      <c r="D248" s="19">
        <v>49</v>
      </c>
      <c r="E248" s="19">
        <v>0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2">
        <f t="shared" si="70"/>
        <v>49</v>
      </c>
      <c r="Q248" s="36">
        <f t="shared" si="67"/>
        <v>49</v>
      </c>
    </row>
    <row r="249" spans="1:18" ht="13.5" customHeight="1" x14ac:dyDescent="0.2">
      <c r="A249" s="85" t="s">
        <v>241</v>
      </c>
      <c r="B249" s="28" t="s">
        <v>263</v>
      </c>
      <c r="C249" s="82">
        <f t="shared" ref="C249:O249" si="71">SUM(C250:C251)</f>
        <v>192</v>
      </c>
      <c r="D249" s="82">
        <f t="shared" si="71"/>
        <v>0</v>
      </c>
      <c r="E249" s="82">
        <f t="shared" si="71"/>
        <v>0</v>
      </c>
      <c r="F249" s="82">
        <f t="shared" si="71"/>
        <v>0</v>
      </c>
      <c r="G249" s="82">
        <f t="shared" si="71"/>
        <v>0</v>
      </c>
      <c r="H249" s="82">
        <f t="shared" si="71"/>
        <v>0</v>
      </c>
      <c r="I249" s="82">
        <f t="shared" si="71"/>
        <v>0</v>
      </c>
      <c r="J249" s="82">
        <f t="shared" si="71"/>
        <v>0</v>
      </c>
      <c r="K249" s="82">
        <f t="shared" si="71"/>
        <v>0</v>
      </c>
      <c r="L249" s="82">
        <f t="shared" si="71"/>
        <v>0</v>
      </c>
      <c r="M249" s="82">
        <f t="shared" si="71"/>
        <v>0</v>
      </c>
      <c r="N249" s="82">
        <f t="shared" si="71"/>
        <v>24</v>
      </c>
      <c r="O249" s="82">
        <f t="shared" si="71"/>
        <v>0</v>
      </c>
      <c r="P249" s="14">
        <f t="shared" si="70"/>
        <v>216</v>
      </c>
      <c r="Q249" s="36">
        <f>SUM(P250:P251)</f>
        <v>216</v>
      </c>
    </row>
    <row r="250" spans="1:18" ht="13.5" customHeight="1" x14ac:dyDescent="0.2">
      <c r="A250" s="65" t="s">
        <v>242</v>
      </c>
      <c r="B250" s="25" t="s">
        <v>337</v>
      </c>
      <c r="C250" s="200">
        <v>153</v>
      </c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>
        <v>24</v>
      </c>
      <c r="O250" s="19"/>
      <c r="P250" s="12">
        <f t="shared" si="70"/>
        <v>177</v>
      </c>
      <c r="Q250" s="36">
        <f>SUM(C250:O250)</f>
        <v>177</v>
      </c>
    </row>
    <row r="251" spans="1:18" ht="13.5" customHeight="1" x14ac:dyDescent="0.2">
      <c r="A251" s="65" t="s">
        <v>243</v>
      </c>
      <c r="B251" s="25" t="s">
        <v>285</v>
      </c>
      <c r="C251" s="200">
        <v>39</v>
      </c>
      <c r="D251" s="274"/>
      <c r="E251" s="274"/>
      <c r="F251" s="274"/>
      <c r="G251" s="19"/>
      <c r="H251" s="19"/>
      <c r="I251" s="19"/>
      <c r="J251" s="19"/>
      <c r="K251" s="19"/>
      <c r="L251" s="19"/>
      <c r="M251" s="19"/>
      <c r="N251" s="19"/>
      <c r="O251" s="19"/>
      <c r="P251" s="12">
        <f t="shared" si="70"/>
        <v>39</v>
      </c>
      <c r="Q251" s="36">
        <f>SUM(C251:O251)</f>
        <v>39</v>
      </c>
    </row>
    <row r="252" spans="1:18" ht="13.5" customHeight="1" x14ac:dyDescent="0.2">
      <c r="A252" s="85" t="s">
        <v>244</v>
      </c>
      <c r="B252" s="28" t="s">
        <v>264</v>
      </c>
      <c r="C252" s="82">
        <f t="shared" ref="C252:O252" si="72">SUM(C253:C273)</f>
        <v>1549</v>
      </c>
      <c r="D252" s="82">
        <f t="shared" si="72"/>
        <v>648</v>
      </c>
      <c r="E252" s="82">
        <f t="shared" si="72"/>
        <v>507</v>
      </c>
      <c r="F252" s="82">
        <f t="shared" si="72"/>
        <v>129</v>
      </c>
      <c r="G252" s="82">
        <f t="shared" si="72"/>
        <v>997</v>
      </c>
      <c r="H252" s="82">
        <f t="shared" si="72"/>
        <v>0</v>
      </c>
      <c r="I252" s="82">
        <f t="shared" si="72"/>
        <v>1695</v>
      </c>
      <c r="J252" s="82">
        <f t="shared" si="72"/>
        <v>0</v>
      </c>
      <c r="K252" s="82">
        <f t="shared" si="72"/>
        <v>408</v>
      </c>
      <c r="L252" s="82">
        <f t="shared" si="72"/>
        <v>0</v>
      </c>
      <c r="M252" s="82">
        <f t="shared" si="72"/>
        <v>3514</v>
      </c>
      <c r="N252" s="82">
        <f t="shared" si="72"/>
        <v>250</v>
      </c>
      <c r="O252" s="82">
        <f t="shared" si="72"/>
        <v>0</v>
      </c>
      <c r="P252" s="14">
        <f t="shared" si="70"/>
        <v>9697</v>
      </c>
      <c r="Q252" s="36">
        <f>SUM(P253:P273)</f>
        <v>9697</v>
      </c>
      <c r="R252" s="81"/>
    </row>
    <row r="253" spans="1:18" ht="13.5" customHeight="1" x14ac:dyDescent="0.2">
      <c r="A253" s="65" t="s">
        <v>245</v>
      </c>
      <c r="B253" s="25" t="s">
        <v>281</v>
      </c>
      <c r="C253" s="200">
        <v>536</v>
      </c>
      <c r="D253" s="19">
        <v>149</v>
      </c>
      <c r="E253" s="19"/>
      <c r="F253" s="19">
        <v>12</v>
      </c>
      <c r="G253" s="19">
        <v>789</v>
      </c>
      <c r="H253" s="19"/>
      <c r="I253" s="19"/>
      <c r="J253" s="19"/>
      <c r="K253" s="19">
        <v>403</v>
      </c>
      <c r="L253" s="19"/>
      <c r="M253" s="19">
        <v>0</v>
      </c>
      <c r="N253" s="19">
        <v>250</v>
      </c>
      <c r="O253" s="19"/>
      <c r="P253" s="12">
        <f t="shared" si="70"/>
        <v>2139</v>
      </c>
      <c r="Q253" s="36">
        <f t="shared" ref="Q253:Q261" si="73">SUM(C253:O253)</f>
        <v>2139</v>
      </c>
    </row>
    <row r="254" spans="1:18" ht="13.5" customHeight="1" x14ac:dyDescent="0.2">
      <c r="A254" s="65" t="s">
        <v>291</v>
      </c>
      <c r="B254" s="25" t="s">
        <v>292</v>
      </c>
      <c r="C254" s="200"/>
      <c r="D254" s="19"/>
      <c r="E254" s="19"/>
      <c r="F254" s="19"/>
      <c r="G254" s="19"/>
      <c r="H254" s="19"/>
      <c r="I254" s="19">
        <v>1613</v>
      </c>
      <c r="J254" s="19"/>
      <c r="K254" s="19"/>
      <c r="L254" s="19"/>
      <c r="M254" s="19"/>
      <c r="N254" s="19"/>
      <c r="O254" s="19"/>
      <c r="P254" s="12">
        <f t="shared" si="70"/>
        <v>1613</v>
      </c>
      <c r="Q254" s="36">
        <f t="shared" si="73"/>
        <v>1613</v>
      </c>
    </row>
    <row r="255" spans="1:18" ht="13.5" customHeight="1" x14ac:dyDescent="0.2">
      <c r="A255" s="65" t="s">
        <v>246</v>
      </c>
      <c r="B255" s="25" t="s">
        <v>280</v>
      </c>
      <c r="C255" s="200">
        <v>0</v>
      </c>
      <c r="D255" s="19">
        <v>6</v>
      </c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2">
        <f t="shared" si="70"/>
        <v>6</v>
      </c>
      <c r="Q255" s="36">
        <f t="shared" si="73"/>
        <v>6</v>
      </c>
    </row>
    <row r="256" spans="1:18" ht="13.5" customHeight="1" x14ac:dyDescent="0.2">
      <c r="A256" s="65" t="s">
        <v>247</v>
      </c>
      <c r="B256" s="25" t="s">
        <v>279</v>
      </c>
      <c r="C256" s="200">
        <v>94</v>
      </c>
      <c r="D256" s="19">
        <v>296</v>
      </c>
      <c r="E256" s="19">
        <v>285</v>
      </c>
      <c r="F256" s="19">
        <v>0</v>
      </c>
      <c r="G256" s="19">
        <v>208</v>
      </c>
      <c r="H256" s="19"/>
      <c r="I256" s="19"/>
      <c r="J256" s="19"/>
      <c r="K256" s="19">
        <v>0</v>
      </c>
      <c r="L256" s="19"/>
      <c r="M256" s="19"/>
      <c r="N256" s="19"/>
      <c r="O256" s="19"/>
      <c r="P256" s="12">
        <f t="shared" si="70"/>
        <v>883</v>
      </c>
      <c r="Q256" s="36">
        <f t="shared" si="73"/>
        <v>883</v>
      </c>
    </row>
    <row r="257" spans="1:17" ht="13.5" customHeight="1" x14ac:dyDescent="0.2">
      <c r="A257" s="65" t="s">
        <v>248</v>
      </c>
      <c r="B257" s="25" t="s">
        <v>278</v>
      </c>
      <c r="C257" s="200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2">
        <f t="shared" si="70"/>
        <v>0</v>
      </c>
      <c r="Q257" s="36">
        <f t="shared" si="73"/>
        <v>0</v>
      </c>
    </row>
    <row r="258" spans="1:17" ht="13.5" customHeight="1" x14ac:dyDescent="0.2">
      <c r="A258" s="65" t="s">
        <v>249</v>
      </c>
      <c r="B258" s="25" t="s">
        <v>277</v>
      </c>
      <c r="C258" s="200">
        <v>30</v>
      </c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2">
        <f t="shared" si="70"/>
        <v>30</v>
      </c>
      <c r="Q258" s="36">
        <f t="shared" si="73"/>
        <v>30</v>
      </c>
    </row>
    <row r="259" spans="1:17" ht="13.5" customHeight="1" x14ac:dyDescent="0.2">
      <c r="A259" s="65"/>
      <c r="B259" s="25" t="s">
        <v>297</v>
      </c>
      <c r="C259" s="25">
        <v>32</v>
      </c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2">
        <f t="shared" si="70"/>
        <v>32</v>
      </c>
      <c r="Q259" s="36">
        <f t="shared" si="73"/>
        <v>32</v>
      </c>
    </row>
    <row r="260" spans="1:17" ht="13.5" customHeight="1" x14ac:dyDescent="0.2">
      <c r="A260" s="65"/>
      <c r="B260" s="25" t="s">
        <v>620</v>
      </c>
      <c r="C260" s="25">
        <v>40</v>
      </c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2">
        <f t="shared" si="70"/>
        <v>40</v>
      </c>
      <c r="Q260" s="36">
        <f t="shared" si="73"/>
        <v>40</v>
      </c>
    </row>
    <row r="261" spans="1:17" ht="13.5" customHeight="1" x14ac:dyDescent="0.2">
      <c r="A261" s="65"/>
      <c r="B261" s="25" t="s">
        <v>490</v>
      </c>
      <c r="C261" s="25"/>
      <c r="D261" s="19"/>
      <c r="E261" s="19"/>
      <c r="F261" s="19"/>
      <c r="G261" s="19"/>
      <c r="H261" s="19"/>
      <c r="I261" s="19"/>
      <c r="J261" s="19"/>
      <c r="K261" s="19"/>
      <c r="L261" s="19"/>
      <c r="M261" s="19">
        <v>3497</v>
      </c>
      <c r="N261" s="19"/>
      <c r="O261" s="19"/>
      <c r="P261" s="12">
        <f t="shared" si="70"/>
        <v>3497</v>
      </c>
      <c r="Q261" s="36">
        <f t="shared" si="73"/>
        <v>3497</v>
      </c>
    </row>
    <row r="262" spans="1:17" ht="13.5" hidden="1" customHeight="1" x14ac:dyDescent="0.2">
      <c r="A262" s="65"/>
      <c r="B262" s="25" t="s">
        <v>78</v>
      </c>
      <c r="C262" s="25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2">
        <f>SUM(C262:O262)</f>
        <v>0</v>
      </c>
      <c r="Q262" s="36">
        <f>SUM(C262:O262)</f>
        <v>0</v>
      </c>
    </row>
    <row r="263" spans="1:17" ht="13.5" hidden="1" customHeight="1" x14ac:dyDescent="0.2">
      <c r="A263" s="65"/>
      <c r="B263" s="25" t="s">
        <v>298</v>
      </c>
      <c r="C263" s="25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2">
        <f>SUM(C263:O263)</f>
        <v>0</v>
      </c>
      <c r="Q263" s="36">
        <f>SUM(C263:O263)</f>
        <v>0</v>
      </c>
    </row>
    <row r="264" spans="1:17" ht="13.5" customHeight="1" x14ac:dyDescent="0.2">
      <c r="A264" s="65" t="s">
        <v>250</v>
      </c>
      <c r="B264" s="25" t="s">
        <v>276</v>
      </c>
      <c r="C264" s="200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2">
        <f t="shared" ref="P264:P271" si="74">SUM(C264:O264)</f>
        <v>0</v>
      </c>
      <c r="Q264" s="36">
        <f t="shared" ref="Q264:Q271" si="75">SUM(C264:O264)</f>
        <v>0</v>
      </c>
    </row>
    <row r="265" spans="1:17" ht="13.5" customHeight="1" x14ac:dyDescent="0.2">
      <c r="A265" s="65"/>
      <c r="B265" s="10" t="s">
        <v>339</v>
      </c>
      <c r="C265" s="19">
        <v>5</v>
      </c>
      <c r="D265" s="19"/>
      <c r="E265" s="19"/>
      <c r="F265" s="19"/>
      <c r="G265" s="19"/>
      <c r="H265" s="19"/>
      <c r="I265" s="19"/>
      <c r="J265" s="19"/>
      <c r="K265" s="19"/>
      <c r="L265" s="19"/>
      <c r="M265" s="19">
        <v>0</v>
      </c>
      <c r="N265" s="19"/>
      <c r="O265" s="19"/>
      <c r="P265" s="12">
        <f t="shared" si="74"/>
        <v>5</v>
      </c>
      <c r="Q265" s="36">
        <f t="shared" si="75"/>
        <v>5</v>
      </c>
    </row>
    <row r="266" spans="1:17" ht="13.5" customHeight="1" x14ac:dyDescent="0.2">
      <c r="A266" s="65"/>
      <c r="B266" s="10" t="s">
        <v>390</v>
      </c>
      <c r="C266" s="19">
        <v>312</v>
      </c>
      <c r="D266" s="19"/>
      <c r="E266" s="19"/>
      <c r="F266" s="19"/>
      <c r="G266" s="19"/>
      <c r="H266" s="19"/>
      <c r="I266" s="19"/>
      <c r="J266" s="19"/>
      <c r="K266" s="19"/>
      <c r="L266" s="19"/>
      <c r="M266" s="19">
        <v>17</v>
      </c>
      <c r="N266" s="19"/>
      <c r="O266" s="19"/>
      <c r="P266" s="12">
        <f t="shared" si="74"/>
        <v>329</v>
      </c>
      <c r="Q266" s="36">
        <f t="shared" si="75"/>
        <v>329</v>
      </c>
    </row>
    <row r="267" spans="1:17" x14ac:dyDescent="0.2">
      <c r="A267" s="65"/>
      <c r="B267" s="10" t="s">
        <v>288</v>
      </c>
      <c r="C267" s="19">
        <v>97</v>
      </c>
      <c r="D267" s="19">
        <v>26</v>
      </c>
      <c r="E267" s="19">
        <v>185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2">
        <f t="shared" si="74"/>
        <v>308</v>
      </c>
      <c r="Q267" s="36">
        <f t="shared" si="75"/>
        <v>308</v>
      </c>
    </row>
    <row r="268" spans="1:17" x14ac:dyDescent="0.2">
      <c r="A268" s="65"/>
      <c r="B268" s="10" t="s">
        <v>340</v>
      </c>
      <c r="C268" s="19"/>
      <c r="D268" s="19"/>
      <c r="E268" s="19">
        <v>0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2">
        <f t="shared" si="74"/>
        <v>0</v>
      </c>
      <c r="Q268" s="36">
        <f t="shared" si="75"/>
        <v>0</v>
      </c>
    </row>
    <row r="269" spans="1:17" x14ac:dyDescent="0.2">
      <c r="A269" s="65"/>
      <c r="B269" s="10" t="s">
        <v>342</v>
      </c>
      <c r="C269" s="19"/>
      <c r="D269" s="19">
        <v>0</v>
      </c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2">
        <f t="shared" si="74"/>
        <v>0</v>
      </c>
      <c r="Q269" s="36">
        <f t="shared" si="75"/>
        <v>0</v>
      </c>
    </row>
    <row r="270" spans="1:17" x14ac:dyDescent="0.2">
      <c r="A270" s="65"/>
      <c r="B270" s="10" t="s">
        <v>453</v>
      </c>
      <c r="C270" s="19"/>
      <c r="D270" s="19">
        <v>0</v>
      </c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2">
        <f t="shared" si="74"/>
        <v>0</v>
      </c>
      <c r="Q270" s="36">
        <f t="shared" si="75"/>
        <v>0</v>
      </c>
    </row>
    <row r="271" spans="1:17" x14ac:dyDescent="0.2">
      <c r="A271" s="65"/>
      <c r="B271" s="10" t="s">
        <v>287</v>
      </c>
      <c r="C271" s="19">
        <v>17</v>
      </c>
      <c r="D271" s="19">
        <v>4</v>
      </c>
      <c r="E271" s="19"/>
      <c r="F271" s="19">
        <v>117</v>
      </c>
      <c r="G271" s="19"/>
      <c r="H271" s="19"/>
      <c r="I271" s="19"/>
      <c r="J271" s="19"/>
      <c r="K271" s="19"/>
      <c r="L271" s="19"/>
      <c r="M271" s="19"/>
      <c r="N271" s="19"/>
      <c r="O271" s="19"/>
      <c r="P271" s="12">
        <f t="shared" si="74"/>
        <v>138</v>
      </c>
      <c r="Q271" s="36">
        <f t="shared" si="75"/>
        <v>138</v>
      </c>
    </row>
    <row r="272" spans="1:17" x14ac:dyDescent="0.2">
      <c r="A272" s="65"/>
      <c r="B272" s="25" t="s">
        <v>335</v>
      </c>
      <c r="C272" s="200">
        <v>386</v>
      </c>
      <c r="D272" s="19">
        <v>167</v>
      </c>
      <c r="E272" s="19">
        <v>37</v>
      </c>
      <c r="F272" s="19">
        <v>0</v>
      </c>
      <c r="G272" s="19"/>
      <c r="H272" s="19"/>
      <c r="I272" s="19">
        <v>82</v>
      </c>
      <c r="J272" s="19"/>
      <c r="K272" s="19">
        <v>5</v>
      </c>
      <c r="L272" s="19"/>
      <c r="M272" s="19"/>
      <c r="N272" s="19">
        <v>0</v>
      </c>
      <c r="O272" s="19"/>
      <c r="P272" s="12">
        <f>SUM(C272:O272)</f>
        <v>677</v>
      </c>
      <c r="Q272" s="36">
        <f>SUM(C272:O272)</f>
        <v>677</v>
      </c>
    </row>
    <row r="273" spans="1:18" x14ac:dyDescent="0.2">
      <c r="A273" s="65"/>
      <c r="B273" s="25" t="s">
        <v>455</v>
      </c>
      <c r="C273" s="200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2">
        <f>SUM(C273:O273)</f>
        <v>0</v>
      </c>
      <c r="Q273" s="36">
        <f>SUM(C273:O273)</f>
        <v>0</v>
      </c>
    </row>
    <row r="274" spans="1:18" ht="13.5" customHeight="1" x14ac:dyDescent="0.2">
      <c r="A274" s="85" t="s">
        <v>251</v>
      </c>
      <c r="B274" s="28" t="s">
        <v>235</v>
      </c>
      <c r="C274" s="82">
        <f t="shared" ref="C274:O274" si="76">SUM(C275:C276)</f>
        <v>0</v>
      </c>
      <c r="D274" s="82">
        <f t="shared" si="76"/>
        <v>0</v>
      </c>
      <c r="E274" s="82">
        <f t="shared" si="76"/>
        <v>0</v>
      </c>
      <c r="F274" s="82">
        <f t="shared" si="76"/>
        <v>0</v>
      </c>
      <c r="G274" s="82">
        <f t="shared" si="76"/>
        <v>0</v>
      </c>
      <c r="H274" s="82">
        <f t="shared" si="76"/>
        <v>0</v>
      </c>
      <c r="I274" s="82">
        <f t="shared" si="76"/>
        <v>0</v>
      </c>
      <c r="J274" s="82">
        <f t="shared" si="76"/>
        <v>0</v>
      </c>
      <c r="K274" s="82">
        <f t="shared" si="76"/>
        <v>0</v>
      </c>
      <c r="L274" s="82">
        <f t="shared" si="76"/>
        <v>0</v>
      </c>
      <c r="M274" s="82">
        <f t="shared" si="76"/>
        <v>0</v>
      </c>
      <c r="N274" s="82">
        <f t="shared" si="76"/>
        <v>0</v>
      </c>
      <c r="O274" s="82">
        <f t="shared" si="76"/>
        <v>0</v>
      </c>
      <c r="P274" s="14">
        <f t="shared" ref="P274:P286" si="77">SUM(C274:O274)</f>
        <v>0</v>
      </c>
      <c r="Q274" s="36">
        <f>SUM(C274:O274)</f>
        <v>0</v>
      </c>
    </row>
    <row r="275" spans="1:18" ht="13.5" customHeight="1" x14ac:dyDescent="0.2">
      <c r="A275" s="65" t="s">
        <v>252</v>
      </c>
      <c r="B275" s="25" t="s">
        <v>275</v>
      </c>
      <c r="C275" s="200"/>
      <c r="D275" s="274"/>
      <c r="E275" s="82"/>
      <c r="F275" s="274"/>
      <c r="G275" s="19"/>
      <c r="H275" s="19"/>
      <c r="I275" s="19"/>
      <c r="J275" s="19"/>
      <c r="K275" s="19"/>
      <c r="L275" s="19"/>
      <c r="M275" s="19"/>
      <c r="N275" s="19"/>
      <c r="O275" s="19"/>
      <c r="P275" s="12">
        <f t="shared" si="77"/>
        <v>0</v>
      </c>
      <c r="Q275" s="36">
        <f>SUM(C275:O275)</f>
        <v>0</v>
      </c>
    </row>
    <row r="276" spans="1:18" ht="13.5" customHeight="1" x14ac:dyDescent="0.2">
      <c r="A276" s="65" t="s">
        <v>253</v>
      </c>
      <c r="B276" s="25" t="s">
        <v>286</v>
      </c>
      <c r="C276" s="200">
        <v>0</v>
      </c>
      <c r="D276" s="274"/>
      <c r="E276" s="274"/>
      <c r="F276" s="274"/>
      <c r="G276" s="19"/>
      <c r="H276" s="19"/>
      <c r="I276" s="19"/>
      <c r="J276" s="19"/>
      <c r="K276" s="19">
        <v>0</v>
      </c>
      <c r="L276" s="19"/>
      <c r="M276" s="19"/>
      <c r="N276" s="19"/>
      <c r="O276" s="19"/>
      <c r="P276" s="12">
        <f t="shared" si="77"/>
        <v>0</v>
      </c>
      <c r="Q276" s="36">
        <f>SUM(C276:O276)</f>
        <v>0</v>
      </c>
    </row>
    <row r="277" spans="1:18" ht="13.5" customHeight="1" x14ac:dyDescent="0.2">
      <c r="A277" s="85" t="s">
        <v>254</v>
      </c>
      <c r="B277" s="28" t="s">
        <v>236</v>
      </c>
      <c r="C277" s="82">
        <f t="shared" ref="C277:O277" si="78">SUM(C278:C284)</f>
        <v>585</v>
      </c>
      <c r="D277" s="82">
        <f t="shared" si="78"/>
        <v>598</v>
      </c>
      <c r="E277" s="82">
        <f t="shared" si="78"/>
        <v>214</v>
      </c>
      <c r="F277" s="82">
        <f t="shared" si="78"/>
        <v>37</v>
      </c>
      <c r="G277" s="82">
        <f t="shared" si="78"/>
        <v>251</v>
      </c>
      <c r="H277" s="82">
        <f t="shared" si="78"/>
        <v>0</v>
      </c>
      <c r="I277" s="82">
        <f t="shared" si="78"/>
        <v>458</v>
      </c>
      <c r="J277" s="82">
        <f t="shared" si="78"/>
        <v>225</v>
      </c>
      <c r="K277" s="82">
        <f t="shared" si="78"/>
        <v>158</v>
      </c>
      <c r="L277" s="82">
        <f t="shared" si="78"/>
        <v>0</v>
      </c>
      <c r="M277" s="82">
        <f t="shared" si="78"/>
        <v>253</v>
      </c>
      <c r="N277" s="82">
        <f t="shared" si="78"/>
        <v>70</v>
      </c>
      <c r="O277" s="82">
        <f t="shared" si="78"/>
        <v>0</v>
      </c>
      <c r="P277" s="14">
        <f t="shared" si="77"/>
        <v>2849</v>
      </c>
      <c r="Q277" s="36">
        <f>SUM(Q278:Q284)</f>
        <v>2849</v>
      </c>
      <c r="R277" s="81"/>
    </row>
    <row r="278" spans="1:18" ht="13.5" customHeight="1" x14ac:dyDescent="0.2">
      <c r="A278" s="65" t="s">
        <v>255</v>
      </c>
      <c r="B278" s="25" t="s">
        <v>265</v>
      </c>
      <c r="C278" s="200">
        <v>331</v>
      </c>
      <c r="D278" s="200">
        <v>382</v>
      </c>
      <c r="E278" s="200">
        <v>214</v>
      </c>
      <c r="F278" s="200">
        <v>37</v>
      </c>
      <c r="G278" s="200">
        <v>251</v>
      </c>
      <c r="H278" s="200">
        <v>0</v>
      </c>
      <c r="I278" s="200">
        <v>458</v>
      </c>
      <c r="J278" s="200">
        <v>225</v>
      </c>
      <c r="K278" s="200">
        <v>120</v>
      </c>
      <c r="L278" s="200"/>
      <c r="M278" s="200">
        <v>85</v>
      </c>
      <c r="N278" s="200">
        <v>70</v>
      </c>
      <c r="O278" s="200">
        <v>0</v>
      </c>
      <c r="P278" s="12">
        <f t="shared" si="77"/>
        <v>2173</v>
      </c>
      <c r="Q278" s="36">
        <f t="shared" ref="Q278:Q284" si="79">SUM(C278:O278)</f>
        <v>2173</v>
      </c>
    </row>
    <row r="279" spans="1:18" ht="13.5" customHeight="1" x14ac:dyDescent="0.2">
      <c r="A279" s="65" t="s">
        <v>256</v>
      </c>
      <c r="B279" s="25" t="s">
        <v>266</v>
      </c>
      <c r="C279" s="200">
        <v>5</v>
      </c>
      <c r="D279" s="274"/>
      <c r="E279" s="19"/>
      <c r="F279" s="274" t="s">
        <v>670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2">
        <f t="shared" si="77"/>
        <v>5</v>
      </c>
      <c r="Q279" s="36">
        <f t="shared" si="79"/>
        <v>5</v>
      </c>
    </row>
    <row r="280" spans="1:18" ht="13.5" customHeight="1" x14ac:dyDescent="0.2">
      <c r="A280" s="65" t="s">
        <v>257</v>
      </c>
      <c r="B280" s="25" t="s">
        <v>267</v>
      </c>
      <c r="C280" s="200">
        <v>0</v>
      </c>
      <c r="D280" s="274"/>
      <c r="E280" s="274"/>
      <c r="F280" s="274"/>
      <c r="G280" s="19"/>
      <c r="H280" s="19"/>
      <c r="I280" s="19"/>
      <c r="J280" s="19"/>
      <c r="K280" s="19"/>
      <c r="L280" s="19"/>
      <c r="M280" s="19"/>
      <c r="N280" s="19"/>
      <c r="O280" s="19"/>
      <c r="P280" s="12">
        <f t="shared" si="77"/>
        <v>0</v>
      </c>
      <c r="Q280" s="36">
        <f t="shared" si="79"/>
        <v>0</v>
      </c>
    </row>
    <row r="281" spans="1:18" ht="13.5" customHeight="1" x14ac:dyDescent="0.2">
      <c r="A281" s="65" t="s">
        <v>258</v>
      </c>
      <c r="B281" s="25" t="s">
        <v>268</v>
      </c>
      <c r="C281" s="200"/>
      <c r="D281" s="274"/>
      <c r="E281" s="274"/>
      <c r="F281" s="274"/>
      <c r="G281" s="19"/>
      <c r="H281" s="19"/>
      <c r="I281" s="19"/>
      <c r="J281" s="19"/>
      <c r="K281" s="19"/>
      <c r="L281" s="19"/>
      <c r="M281" s="19"/>
      <c r="N281" s="19"/>
      <c r="O281" s="19"/>
      <c r="P281" s="12">
        <f t="shared" si="77"/>
        <v>0</v>
      </c>
      <c r="Q281" s="36">
        <f t="shared" si="79"/>
        <v>0</v>
      </c>
    </row>
    <row r="282" spans="1:18" ht="13.5" customHeight="1" x14ac:dyDescent="0.2">
      <c r="A282" s="65" t="s">
        <v>259</v>
      </c>
      <c r="B282" s="25" t="s">
        <v>40</v>
      </c>
      <c r="C282" s="200">
        <v>152</v>
      </c>
      <c r="D282" s="19">
        <v>216</v>
      </c>
      <c r="E282" s="19">
        <v>0</v>
      </c>
      <c r="F282" s="19"/>
      <c r="G282" s="19"/>
      <c r="H282" s="19"/>
      <c r="I282" s="19"/>
      <c r="J282" s="19"/>
      <c r="K282" s="19"/>
      <c r="L282" s="19"/>
      <c r="M282" s="19">
        <v>168</v>
      </c>
      <c r="N282" s="19">
        <v>0</v>
      </c>
      <c r="O282" s="19"/>
      <c r="P282" s="12">
        <f t="shared" si="77"/>
        <v>536</v>
      </c>
      <c r="Q282" s="36">
        <f t="shared" si="79"/>
        <v>536</v>
      </c>
    </row>
    <row r="283" spans="1:18" ht="13.5" customHeight="1" x14ac:dyDescent="0.2">
      <c r="A283" s="65"/>
      <c r="B283" s="25" t="s">
        <v>455</v>
      </c>
      <c r="C283" s="200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2">
        <f t="shared" si="77"/>
        <v>0</v>
      </c>
      <c r="Q283" s="36">
        <f t="shared" si="79"/>
        <v>0</v>
      </c>
    </row>
    <row r="284" spans="1:18" ht="13.5" customHeight="1" x14ac:dyDescent="0.2">
      <c r="A284" s="65"/>
      <c r="B284" s="25" t="s">
        <v>289</v>
      </c>
      <c r="C284" s="16">
        <v>97</v>
      </c>
      <c r="D284" s="274"/>
      <c r="E284" s="19"/>
      <c r="F284" s="274"/>
      <c r="G284" s="19"/>
      <c r="H284" s="19"/>
      <c r="I284" s="19"/>
      <c r="J284" s="19"/>
      <c r="K284" s="19">
        <v>38</v>
      </c>
      <c r="L284" s="19"/>
      <c r="M284" s="19">
        <v>0</v>
      </c>
      <c r="N284" s="19"/>
      <c r="O284" s="19"/>
      <c r="P284" s="12">
        <f t="shared" si="77"/>
        <v>135</v>
      </c>
      <c r="Q284" s="36">
        <f t="shared" si="79"/>
        <v>135</v>
      </c>
    </row>
    <row r="285" spans="1:18" ht="13.5" customHeight="1" x14ac:dyDescent="0.2">
      <c r="A285" s="85" t="s">
        <v>270</v>
      </c>
      <c r="B285" s="145" t="s">
        <v>26</v>
      </c>
      <c r="C285" s="199">
        <f t="shared" ref="C285:O285" si="80">SUM(C239+C249+C252+C274+C277)</f>
        <v>2511</v>
      </c>
      <c r="D285" s="199">
        <f t="shared" si="80"/>
        <v>2021</v>
      </c>
      <c r="E285" s="199">
        <f t="shared" si="80"/>
        <v>1227</v>
      </c>
      <c r="F285" s="199">
        <f t="shared" si="80"/>
        <v>173</v>
      </c>
      <c r="G285" s="199">
        <f t="shared" si="80"/>
        <v>1248</v>
      </c>
      <c r="H285" s="199">
        <f t="shared" si="80"/>
        <v>0</v>
      </c>
      <c r="I285" s="199">
        <f t="shared" si="80"/>
        <v>2154</v>
      </c>
      <c r="J285" s="199">
        <f t="shared" si="80"/>
        <v>747</v>
      </c>
      <c r="K285" s="199">
        <f t="shared" si="80"/>
        <v>566</v>
      </c>
      <c r="L285" s="199">
        <f t="shared" si="80"/>
        <v>0</v>
      </c>
      <c r="M285" s="199">
        <f t="shared" si="80"/>
        <v>3767</v>
      </c>
      <c r="N285" s="199">
        <f t="shared" si="80"/>
        <v>344</v>
      </c>
      <c r="O285" s="199">
        <f t="shared" si="80"/>
        <v>0</v>
      </c>
      <c r="P285" s="206">
        <f t="shared" si="77"/>
        <v>14758</v>
      </c>
      <c r="Q285" s="36">
        <f>SUM(P239+P249+P252+P274+P277)</f>
        <v>14758</v>
      </c>
    </row>
    <row r="286" spans="1:18" ht="13.5" customHeight="1" x14ac:dyDescent="0.2">
      <c r="A286" s="203" t="s">
        <v>269</v>
      </c>
      <c r="B286" s="145" t="s">
        <v>406</v>
      </c>
      <c r="C286" s="199">
        <f>100-100</f>
        <v>0</v>
      </c>
      <c r="D286" s="206"/>
      <c r="E286" s="199"/>
      <c r="F286" s="206"/>
      <c r="G286" s="206"/>
      <c r="H286" s="206"/>
      <c r="I286" s="206"/>
      <c r="J286" s="206">
        <f>1995+1345</f>
        <v>3340</v>
      </c>
      <c r="K286" s="206"/>
      <c r="L286" s="206"/>
      <c r="M286" s="206"/>
      <c r="N286" s="206"/>
      <c r="O286" s="206"/>
      <c r="P286" s="206">
        <f t="shared" si="77"/>
        <v>3340</v>
      </c>
      <c r="Q286" s="36">
        <f>SUM(P286)</f>
        <v>3340</v>
      </c>
    </row>
    <row r="287" spans="1:18" ht="13.5" customHeight="1" x14ac:dyDescent="0.2">
      <c r="A287" s="203" t="s">
        <v>294</v>
      </c>
      <c r="B287" s="145" t="s">
        <v>33</v>
      </c>
      <c r="C287" s="199">
        <f>'4. Átadott p.eszk.'!C270</f>
        <v>0</v>
      </c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06"/>
      <c r="P287" s="206">
        <f>SUM(C287:O287)</f>
        <v>0</v>
      </c>
      <c r="Q287" s="36">
        <f>SUM(C287:O287)</f>
        <v>0</v>
      </c>
    </row>
    <row r="288" spans="1:18" ht="13.5" customHeight="1" thickBot="1" x14ac:dyDescent="0.25">
      <c r="A288" s="203" t="s">
        <v>295</v>
      </c>
      <c r="B288" s="202" t="s">
        <v>296</v>
      </c>
      <c r="C288" s="146">
        <f>SUM('3.felh'!C264)</f>
        <v>0</v>
      </c>
      <c r="D288" s="210"/>
      <c r="E288" s="206"/>
      <c r="F288" s="210"/>
      <c r="G288" s="210"/>
      <c r="H288" s="210"/>
      <c r="I288" s="210"/>
      <c r="J288" s="210"/>
      <c r="K288" s="210"/>
      <c r="L288" s="210"/>
      <c r="M288" s="210">
        <v>134</v>
      </c>
      <c r="N288" s="210"/>
      <c r="O288" s="210"/>
      <c r="P288" s="210">
        <f>SUM(C288:O288)</f>
        <v>134</v>
      </c>
      <c r="Q288" s="36">
        <f>SUM(C288:O288)</f>
        <v>134</v>
      </c>
    </row>
    <row r="289" spans="1:17" ht="22.5" customHeight="1" thickBot="1" x14ac:dyDescent="0.4">
      <c r="A289" s="201"/>
      <c r="B289" s="244" t="s">
        <v>5</v>
      </c>
      <c r="C289" s="211">
        <f t="shared" ref="C289:O289" si="81">SUM(C235+C238+C285+C286+C287+C288)</f>
        <v>8814</v>
      </c>
      <c r="D289" s="211">
        <f t="shared" si="81"/>
        <v>3321</v>
      </c>
      <c r="E289" s="211">
        <f t="shared" si="81"/>
        <v>4641</v>
      </c>
      <c r="F289" s="211">
        <f t="shared" si="81"/>
        <v>173</v>
      </c>
      <c r="G289" s="211">
        <f t="shared" si="81"/>
        <v>1248</v>
      </c>
      <c r="H289" s="211">
        <f t="shared" si="81"/>
        <v>0</v>
      </c>
      <c r="I289" s="211">
        <f t="shared" si="81"/>
        <v>2154</v>
      </c>
      <c r="J289" s="211">
        <f t="shared" si="81"/>
        <v>4087</v>
      </c>
      <c r="K289" s="211">
        <f t="shared" si="81"/>
        <v>566</v>
      </c>
      <c r="L289" s="211">
        <f t="shared" si="81"/>
        <v>0</v>
      </c>
      <c r="M289" s="211">
        <f t="shared" si="81"/>
        <v>4753</v>
      </c>
      <c r="N289" s="211">
        <f t="shared" si="81"/>
        <v>873</v>
      </c>
      <c r="O289" s="211">
        <f t="shared" si="81"/>
        <v>4280</v>
      </c>
      <c r="P289" s="243">
        <f>SUM(C289:O289)</f>
        <v>34910</v>
      </c>
      <c r="Q289" s="36">
        <f>SUM(P235+P238+P285+P286+P287+P288)</f>
        <v>34910</v>
      </c>
    </row>
    <row r="290" spans="1:17" x14ac:dyDescent="0.2">
      <c r="A290" s="65"/>
      <c r="B290" s="83" t="s">
        <v>41</v>
      </c>
      <c r="C290" s="205"/>
      <c r="D290" s="207">
        <v>1</v>
      </c>
      <c r="E290" s="207">
        <v>1</v>
      </c>
      <c r="F290" s="207"/>
      <c r="G290" s="86"/>
      <c r="H290" s="86"/>
      <c r="I290" s="204"/>
      <c r="J290" s="204"/>
      <c r="K290" s="204"/>
      <c r="L290" s="204"/>
      <c r="M290" s="204"/>
      <c r="N290" s="204"/>
      <c r="O290" s="204">
        <v>4</v>
      </c>
      <c r="P290" s="204">
        <f>SUM(C290:O290)</f>
        <v>6</v>
      </c>
      <c r="Q290" s="36"/>
    </row>
  </sheetData>
  <mergeCells count="15">
    <mergeCell ref="A221:A222"/>
    <mergeCell ref="B221:B222"/>
    <mergeCell ref="C221:P221"/>
    <mergeCell ref="B3:P3"/>
    <mergeCell ref="B4:P4"/>
    <mergeCell ref="A149:A150"/>
    <mergeCell ref="B149:B150"/>
    <mergeCell ref="C149:P149"/>
    <mergeCell ref="B5:J5"/>
    <mergeCell ref="A77:A78"/>
    <mergeCell ref="B77:B78"/>
    <mergeCell ref="C77:P77"/>
    <mergeCell ref="B6:B7"/>
    <mergeCell ref="A6:A7"/>
    <mergeCell ref="C6:P6"/>
  </mergeCells>
  <pageMargins left="0.36" right="7.874015748031496E-2" top="0.28999999999999998" bottom="0.15748031496062992" header="0.23622047244094491" footer="0.15748031496062992"/>
  <pageSetup paperSize="9" scale="74" orientation="landscape" r:id="rId1"/>
  <headerFooter alignWithMargins="0"/>
  <rowBreaks count="5" manualBreakCount="5">
    <brk id="41" max="15" man="1"/>
    <brk id="147" max="15" man="1"/>
    <brk id="185" max="15" man="1"/>
    <brk id="219" max="15" man="1"/>
    <brk id="257" max="15" man="1"/>
  </rowBreaks>
  <colBreaks count="1" manualBreakCount="1">
    <brk id="16" max="7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17</vt:i4>
      </vt:variant>
    </vt:vector>
  </HeadingPairs>
  <TitlesOfParts>
    <vt:vector size="39" baseType="lpstr">
      <vt:lpstr>Összesítő</vt:lpstr>
      <vt:lpstr>finansz. feladatonként</vt:lpstr>
      <vt:lpstr>1.Bev-kiad.</vt:lpstr>
      <vt:lpstr>2.működés</vt:lpstr>
      <vt:lpstr>3.felh</vt:lpstr>
      <vt:lpstr>4. Átadott p.eszk.</vt:lpstr>
      <vt:lpstr>5.Bev.össz.</vt:lpstr>
      <vt:lpstr>6.Kiad.össz.</vt:lpstr>
      <vt:lpstr>7.Önk.</vt:lpstr>
      <vt:lpstr>8.Többéves</vt:lpstr>
      <vt:lpstr>9.Adósság</vt:lpstr>
      <vt:lpstr>10.Likviditás</vt:lpstr>
      <vt:lpstr>11.Eu projekt</vt:lpstr>
      <vt:lpstr>10.Maradványkimutatás</vt:lpstr>
      <vt:lpstr>11.Mérleg</vt:lpstr>
      <vt:lpstr>12.Eredménykimutatás</vt:lpstr>
      <vt:lpstr>13.Vagyonkimutatás</vt:lpstr>
      <vt:lpstr>14.Előirányzat felh.terv</vt:lpstr>
      <vt:lpstr>15.Részesedések</vt:lpstr>
      <vt:lpstr>16.Gördülő tervezés</vt:lpstr>
      <vt:lpstr>17.Vezetői nyilatkozat</vt:lpstr>
      <vt:lpstr>TKT felosztás 2020</vt:lpstr>
      <vt:lpstr>'5.Bev.össz.'!Nyomtatási_cím</vt:lpstr>
      <vt:lpstr>'6.Kiad.össz.'!Nyomtatási_cím</vt:lpstr>
      <vt:lpstr>'1.Bev-kiad.'!Nyomtatási_terület</vt:lpstr>
      <vt:lpstr>'10.Likviditás'!Nyomtatási_terület</vt:lpstr>
      <vt:lpstr>'11.Eu projekt'!Nyomtatási_terület</vt:lpstr>
      <vt:lpstr>'13.Vagyonkimutatás'!Nyomtatási_terület</vt:lpstr>
      <vt:lpstr>'16.Gördülő tervezés'!Nyomtatási_terület</vt:lpstr>
      <vt:lpstr>'2.működés'!Nyomtatási_terület</vt:lpstr>
      <vt:lpstr>'3.felh'!Nyomtatási_terület</vt:lpstr>
      <vt:lpstr>'4. Átadott p.eszk.'!Nyomtatási_terület</vt:lpstr>
      <vt:lpstr>'5.Bev.össz.'!Nyomtatási_terület</vt:lpstr>
      <vt:lpstr>'6.Kiad.össz.'!Nyomtatási_terület</vt:lpstr>
      <vt:lpstr>'7.Önk.'!Nyomtatási_terület</vt:lpstr>
      <vt:lpstr>'8.Többéves'!Nyomtatási_terület</vt:lpstr>
      <vt:lpstr>'9.Adósság'!Nyomtatási_terület</vt:lpstr>
      <vt:lpstr>'finansz. feladatonként'!Nyomtatási_terület</vt:lpstr>
      <vt:lpstr>'TKT felosztás 2020'!Nyomtatási_terület</vt:lpstr>
    </vt:vector>
  </TitlesOfParts>
  <Company>Önkormányzat Bföldvár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Belovics Emilné</dc:creator>
  <cp:lastModifiedBy>MagorineA</cp:lastModifiedBy>
  <cp:lastPrinted>2021-05-18T09:51:38Z</cp:lastPrinted>
  <dcterms:created xsi:type="dcterms:W3CDTF">2009-11-11T14:39:35Z</dcterms:created>
  <dcterms:modified xsi:type="dcterms:W3CDTF">2021-05-27T08:31:52Z</dcterms:modified>
</cp:coreProperties>
</file>