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0.évi költségvetés\Módosítás - 2021 április\Borsfa\"/>
    </mc:Choice>
  </mc:AlternateContent>
  <xr:revisionPtr revIDLastSave="0" documentId="8_{2B16B209-0044-4A51-BFF5-FFBF5860DB0C}" xr6:coauthVersionLast="46" xr6:coauthVersionMax="46" xr10:uidLastSave="{00000000-0000-0000-0000-000000000000}"/>
  <bookViews>
    <workbookView xWindow="-108" yWindow="-108" windowWidth="23256" windowHeight="12576"/>
  </bookViews>
  <sheets>
    <sheet name="1.m. kiemelt bev." sheetId="1" r:id="rId1"/>
    <sheet name="2.m. kiemelt kiad." sheetId="2" r:id="rId2"/>
    <sheet name="3.m. ksgv. mérleg" sheetId="7" r:id="rId3"/>
    <sheet name="4.m. felhalm.feladat" sheetId="6" r:id="rId4"/>
    <sheet name="5.m. tartalékok" sheetId="29" r:id="rId5"/>
    <sheet name="6.m. létszámkeret" sheetId="26" r:id="rId6"/>
    <sheet name="7.m. önk-i feladatok" sheetId="10" r:id="rId7"/>
    <sheet name="8.m. felh.ütemterv bev." sheetId="14" r:id="rId8"/>
    <sheet name="9.m. felh.ütemterv kiad." sheetId="13" r:id="rId9"/>
    <sheet name="10.m. többéves kihat." sheetId="27" r:id="rId10"/>
    <sheet name="11.m. közvetett tám." sheetId="33" r:id="rId11"/>
    <sheet name="12.m. középtávú terv" sheetId="34" r:id="rId12"/>
    <sheet name="13.m. adósságot kel. ügylet" sheetId="35" r:id="rId13"/>
    <sheet name="14.m. szoc. juttatások" sheetId="30" r:id="rId14"/>
    <sheet name="15.m. Támogatások" sheetId="32" r:id="rId15"/>
    <sheet name="16.m. Önk. rovat+cofog" sheetId="23" r:id="rId16"/>
    <sheet name="17.m. Óvoda rovat+cofog" sheetId="24" r:id="rId17"/>
    <sheet name="18.m. Konyha rovat+cofog" sheetId="31" r:id="rId18"/>
    <sheet name="aládolgozó számítások" sheetId="22" state="hidden" r:id="rId19"/>
  </sheets>
  <definedNames>
    <definedName name="_xlnm.Print_Area" localSheetId="10">'11.m. közvetett tám.'!$A$1:$E$25</definedName>
    <definedName name="_xlnm.Print_Area" localSheetId="11">'12.m. középtávú terv'!$A$1:$F$28</definedName>
    <definedName name="_xlnm.Print_Area" localSheetId="15">'16.m. Önk. rovat+cofog'!$A$1:$AY$149</definedName>
    <definedName name="_xlnm.Print_Area" localSheetId="1">'2.m. kiemelt kiad.'!$A$1:$Y$14</definedName>
    <definedName name="_xlnm.Print_Area" localSheetId="3">'4.m. felhalm.feladat'!$A$1:$J$59</definedName>
    <definedName name="_xlnm.Print_Area" localSheetId="7">'8.m. felh.ütemterv bev.'!$A$1:$O$23</definedName>
  </definedNames>
  <calcPr calcId="181029"/>
</workbook>
</file>

<file path=xl/calcChain.xml><?xml version="1.0" encoding="utf-8"?>
<calcChain xmlns="http://schemas.openxmlformats.org/spreadsheetml/2006/main">
  <c r="F23" i="34" l="1"/>
  <c r="E23" i="34"/>
  <c r="D23" i="34"/>
  <c r="C18" i="34"/>
  <c r="C17" i="34"/>
  <c r="J30" i="6"/>
  <c r="J36" i="6"/>
  <c r="M13" i="2"/>
  <c r="E12" i="29"/>
  <c r="E17" i="29"/>
  <c r="U15" i="1"/>
  <c r="AY57" i="23"/>
  <c r="U14" i="1"/>
  <c r="AX57" i="23"/>
  <c r="T14" i="1"/>
  <c r="T15" i="1"/>
  <c r="C30" i="7"/>
  <c r="D58" i="23"/>
  <c r="E58" i="23"/>
  <c r="F58" i="23"/>
  <c r="G58" i="23"/>
  <c r="H58" i="23"/>
  <c r="I58" i="23"/>
  <c r="J58" i="23"/>
  <c r="K58" i="23"/>
  <c r="L58" i="23"/>
  <c r="L59" i="23"/>
  <c r="L147" i="23"/>
  <c r="M58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AC58" i="23"/>
  <c r="AD58" i="23"/>
  <c r="AE58" i="23"/>
  <c r="AF58" i="23"/>
  <c r="AG58" i="23"/>
  <c r="AH58" i="23"/>
  <c r="AI58" i="23"/>
  <c r="AJ58" i="23"/>
  <c r="AK58" i="23"/>
  <c r="AL58" i="23"/>
  <c r="AM58" i="23"/>
  <c r="AN58" i="23"/>
  <c r="AO58" i="23"/>
  <c r="AP58" i="23"/>
  <c r="AQ58" i="23"/>
  <c r="AR58" i="23"/>
  <c r="AS58" i="23"/>
  <c r="AT58" i="23"/>
  <c r="AU58" i="23"/>
  <c r="AV58" i="23"/>
  <c r="AW58" i="23"/>
  <c r="M40" i="23"/>
  <c r="G40" i="23"/>
  <c r="G45" i="23"/>
  <c r="I40" i="23"/>
  <c r="K40" i="23"/>
  <c r="K45" i="23"/>
  <c r="W40" i="23"/>
  <c r="W45" i="23"/>
  <c r="AG40" i="23"/>
  <c r="AS15" i="23"/>
  <c r="AS19" i="23"/>
  <c r="Q134" i="23"/>
  <c r="AY133" i="23"/>
  <c r="K134" i="23"/>
  <c r="W134" i="23"/>
  <c r="W135" i="23"/>
  <c r="K126" i="23"/>
  <c r="AI122" i="23"/>
  <c r="AY122" i="23"/>
  <c r="M83" i="23"/>
  <c r="U83" i="23"/>
  <c r="AG69" i="23"/>
  <c r="AS69" i="23"/>
  <c r="AG77" i="23"/>
  <c r="AS83" i="23"/>
  <c r="AS87" i="23"/>
  <c r="AO142" i="23"/>
  <c r="G90" i="24"/>
  <c r="E90" i="24"/>
  <c r="E35" i="31"/>
  <c r="G35" i="31"/>
  <c r="I94" i="31"/>
  <c r="I93" i="31"/>
  <c r="E94" i="31"/>
  <c r="E93" i="31"/>
  <c r="I86" i="31"/>
  <c r="E86" i="31"/>
  <c r="I83" i="31"/>
  <c r="E83" i="31"/>
  <c r="E78" i="31"/>
  <c r="I76" i="31"/>
  <c r="I78" i="31"/>
  <c r="E76" i="31"/>
  <c r="I75" i="31"/>
  <c r="E75" i="31"/>
  <c r="I73" i="31"/>
  <c r="E73" i="31"/>
  <c r="I70" i="31"/>
  <c r="I71" i="31"/>
  <c r="I69" i="31"/>
  <c r="E70" i="31"/>
  <c r="E71" i="31"/>
  <c r="E69" i="31"/>
  <c r="I66" i="31"/>
  <c r="E66" i="31"/>
  <c r="E68" i="31"/>
  <c r="I63" i="31"/>
  <c r="E63" i="31"/>
  <c r="I60" i="31"/>
  <c r="E60" i="31"/>
  <c r="I53" i="31"/>
  <c r="E53" i="31"/>
  <c r="J47" i="6"/>
  <c r="J15" i="6"/>
  <c r="AR89" i="23"/>
  <c r="AR91" i="23"/>
  <c r="AQ130" i="23"/>
  <c r="Q27" i="23"/>
  <c r="D16" i="35"/>
  <c r="C14" i="35"/>
  <c r="C10" i="35"/>
  <c r="G27" i="35"/>
  <c r="F27" i="35"/>
  <c r="E27" i="35"/>
  <c r="D27" i="35"/>
  <c r="C27" i="35"/>
  <c r="G16" i="35"/>
  <c r="F16" i="35"/>
  <c r="E16" i="35"/>
  <c r="E24" i="34"/>
  <c r="F24" i="34"/>
  <c r="F25" i="34"/>
  <c r="E21" i="33"/>
  <c r="E25" i="33"/>
  <c r="E16" i="33"/>
  <c r="E11" i="29"/>
  <c r="C19" i="32"/>
  <c r="C14" i="32"/>
  <c r="W22" i="23"/>
  <c r="AY22" i="23"/>
  <c r="AU15" i="23"/>
  <c r="AU19" i="23"/>
  <c r="AM14" i="23"/>
  <c r="W13" i="23"/>
  <c r="G13" i="23"/>
  <c r="AO15" i="23"/>
  <c r="F13" i="23"/>
  <c r="F19" i="23"/>
  <c r="AX14" i="23"/>
  <c r="AX16" i="23"/>
  <c r="AX17" i="23"/>
  <c r="AX18" i="23"/>
  <c r="J57" i="6"/>
  <c r="J52" i="6"/>
  <c r="J40" i="6"/>
  <c r="J35" i="6"/>
  <c r="I57" i="6"/>
  <c r="I52" i="6"/>
  <c r="I47" i="6"/>
  <c r="I40" i="6"/>
  <c r="I35" i="6"/>
  <c r="I30" i="6"/>
  <c r="I36" i="6"/>
  <c r="I15" i="6"/>
  <c r="AC113" i="23"/>
  <c r="W129" i="23"/>
  <c r="Y129" i="23"/>
  <c r="Q131" i="23"/>
  <c r="Q135" i="23"/>
  <c r="AY131" i="23"/>
  <c r="M129" i="23"/>
  <c r="G83" i="23"/>
  <c r="AQ40" i="23"/>
  <c r="AQ45" i="23"/>
  <c r="AG45" i="23"/>
  <c r="U40" i="23"/>
  <c r="AO19" i="23"/>
  <c r="AG83" i="23"/>
  <c r="AK143" i="23"/>
  <c r="AJ143" i="23"/>
  <c r="AK139" i="23"/>
  <c r="AJ139" i="23"/>
  <c r="AK135" i="23"/>
  <c r="AJ135" i="23"/>
  <c r="AK130" i="23"/>
  <c r="AJ130" i="23"/>
  <c r="AK124" i="23"/>
  <c r="AJ124" i="23"/>
  <c r="AK116" i="23"/>
  <c r="AJ116" i="23"/>
  <c r="AK113" i="23"/>
  <c r="AK98" i="23"/>
  <c r="AK105" i="23"/>
  <c r="AJ98" i="23"/>
  <c r="AJ105" i="23"/>
  <c r="AK94" i="23"/>
  <c r="AJ94" i="23"/>
  <c r="AK91" i="23"/>
  <c r="AK114" i="23"/>
  <c r="AJ91" i="23"/>
  <c r="AK87" i="23"/>
  <c r="AJ87" i="23"/>
  <c r="AK81" i="23"/>
  <c r="AJ81" i="23"/>
  <c r="AK77" i="23"/>
  <c r="AK82" i="23"/>
  <c r="AJ77" i="23"/>
  <c r="AJ82" i="23"/>
  <c r="AK54" i="23"/>
  <c r="AJ54" i="23"/>
  <c r="AK51" i="23"/>
  <c r="AJ51" i="23"/>
  <c r="AK48" i="23"/>
  <c r="AJ48" i="23"/>
  <c r="AK45" i="23"/>
  <c r="AJ45" i="23"/>
  <c r="AK34" i="23"/>
  <c r="AJ34" i="23"/>
  <c r="AK28" i="23"/>
  <c r="AJ28" i="23"/>
  <c r="AK19" i="23"/>
  <c r="AK23" i="23"/>
  <c r="AK59" i="23"/>
  <c r="AK147" i="23"/>
  <c r="AJ19" i="23"/>
  <c r="AJ23" i="23"/>
  <c r="AJ59" i="23"/>
  <c r="AJ147" i="23"/>
  <c r="AO129" i="23"/>
  <c r="AG16" i="23"/>
  <c r="AY16" i="23"/>
  <c r="D125" i="22"/>
  <c r="D124" i="22"/>
  <c r="D111" i="22"/>
  <c r="G111" i="22"/>
  <c r="D132" i="22"/>
  <c r="D131" i="22"/>
  <c r="D130" i="22"/>
  <c r="D129" i="22"/>
  <c r="D128" i="22"/>
  <c r="D135" i="22"/>
  <c r="I15" i="31"/>
  <c r="D123" i="22"/>
  <c r="D122" i="22"/>
  <c r="D121" i="22"/>
  <c r="D120" i="22"/>
  <c r="D118" i="22"/>
  <c r="D119" i="22"/>
  <c r="D109" i="22"/>
  <c r="E109" i="22"/>
  <c r="D106" i="22"/>
  <c r="D107" i="22"/>
  <c r="D110" i="22"/>
  <c r="D113" i="22"/>
  <c r="I64" i="31"/>
  <c r="I65" i="31"/>
  <c r="D108" i="22"/>
  <c r="D103" i="22"/>
  <c r="E103" i="22"/>
  <c r="D101" i="22"/>
  <c r="F101" i="22"/>
  <c r="AM134" i="23"/>
  <c r="AM129" i="23"/>
  <c r="AM124" i="23"/>
  <c r="G44" i="22"/>
  <c r="G52" i="22"/>
  <c r="I44" i="22"/>
  <c r="F44" i="22"/>
  <c r="F52" i="22"/>
  <c r="E44" i="22"/>
  <c r="D44" i="22"/>
  <c r="H44" i="22"/>
  <c r="L44" i="22"/>
  <c r="I52" i="22"/>
  <c r="AY145" i="23"/>
  <c r="AX145" i="23"/>
  <c r="AY70" i="23"/>
  <c r="AY71" i="23"/>
  <c r="AY72" i="23"/>
  <c r="AY73" i="23"/>
  <c r="AY74" i="23"/>
  <c r="AY75" i="23"/>
  <c r="AY76" i="23"/>
  <c r="AY78" i="23"/>
  <c r="AY79" i="23"/>
  <c r="AY80" i="23"/>
  <c r="AY84" i="23"/>
  <c r="AY85" i="23"/>
  <c r="AY86" i="23"/>
  <c r="AY88" i="23"/>
  <c r="AY89" i="23"/>
  <c r="AY90" i="23"/>
  <c r="AY92" i="23"/>
  <c r="AY93" i="23"/>
  <c r="AY95" i="23"/>
  <c r="AY96" i="23"/>
  <c r="AY97" i="23"/>
  <c r="AY99" i="23"/>
  <c r="AY100" i="23"/>
  <c r="AY101" i="23"/>
  <c r="AY102" i="23"/>
  <c r="AY103" i="23"/>
  <c r="AY104" i="23"/>
  <c r="AY106" i="23"/>
  <c r="AY107" i="23"/>
  <c r="AY109" i="23"/>
  <c r="AY110" i="23"/>
  <c r="AY111" i="23"/>
  <c r="AY112" i="23"/>
  <c r="AY115" i="23"/>
  <c r="AY117" i="23"/>
  <c r="AY118" i="23"/>
  <c r="AY119" i="23"/>
  <c r="AY120" i="23"/>
  <c r="AY121" i="23"/>
  <c r="AY123" i="23"/>
  <c r="AY125" i="23"/>
  <c r="AY127" i="23"/>
  <c r="AY128" i="23"/>
  <c r="AY132" i="23"/>
  <c r="AY136" i="23"/>
  <c r="AY137" i="23"/>
  <c r="AY138" i="23"/>
  <c r="AY140" i="23"/>
  <c r="AY141" i="23"/>
  <c r="S13" i="2"/>
  <c r="S14" i="2"/>
  <c r="AX70" i="23"/>
  <c r="AX71" i="23"/>
  <c r="AX72" i="23"/>
  <c r="AX73" i="23"/>
  <c r="AX74" i="23"/>
  <c r="AX75" i="23"/>
  <c r="AX76" i="23"/>
  <c r="AX79" i="23"/>
  <c r="AX80" i="23"/>
  <c r="AX85" i="23"/>
  <c r="AX88" i="23"/>
  <c r="AX90" i="23"/>
  <c r="AX92" i="23"/>
  <c r="AX93" i="23"/>
  <c r="AX95" i="23"/>
  <c r="AX96" i="23"/>
  <c r="AX97" i="23"/>
  <c r="AX99" i="23"/>
  <c r="AX100" i="23"/>
  <c r="AX101" i="23"/>
  <c r="AX102" i="23"/>
  <c r="AX104" i="23"/>
  <c r="AX106" i="23"/>
  <c r="AX107" i="23"/>
  <c r="AX110" i="23"/>
  <c r="AX111" i="23"/>
  <c r="AX112" i="23"/>
  <c r="AX115" i="23"/>
  <c r="AX117" i="23"/>
  <c r="AX118" i="23"/>
  <c r="AX119" i="23"/>
  <c r="AX120" i="23"/>
  <c r="AX121" i="23"/>
  <c r="AX123" i="23"/>
  <c r="L13" i="2"/>
  <c r="L14" i="2"/>
  <c r="F16" i="7"/>
  <c r="AX125" i="23"/>
  <c r="AX126" i="23"/>
  <c r="AX127" i="23"/>
  <c r="AX128" i="23"/>
  <c r="AX132" i="23"/>
  <c r="AX133" i="23"/>
  <c r="AX136" i="23"/>
  <c r="AX137" i="23"/>
  <c r="AX138" i="23"/>
  <c r="AX140" i="23"/>
  <c r="AX141" i="23"/>
  <c r="AY17" i="23"/>
  <c r="AY18" i="23"/>
  <c r="AY20" i="23"/>
  <c r="AY21" i="23"/>
  <c r="AY24" i="23"/>
  <c r="AY25" i="23"/>
  <c r="AY26" i="23"/>
  <c r="AY27" i="23"/>
  <c r="AY29" i="23"/>
  <c r="AY30" i="23"/>
  <c r="AY31" i="23"/>
  <c r="AY32" i="23"/>
  <c r="AY33" i="23"/>
  <c r="AY35" i="23"/>
  <c r="AY36" i="23"/>
  <c r="AY37" i="23"/>
  <c r="AY38" i="23"/>
  <c r="AY39" i="23"/>
  <c r="AY41" i="23"/>
  <c r="AY42" i="23"/>
  <c r="AY43" i="23"/>
  <c r="AY44" i="23"/>
  <c r="AY46" i="23"/>
  <c r="AY47" i="23"/>
  <c r="AY49" i="23"/>
  <c r="AY50" i="23"/>
  <c r="AY52" i="23"/>
  <c r="AY53" i="23"/>
  <c r="AY55" i="23"/>
  <c r="AY56" i="23"/>
  <c r="W14" i="1"/>
  <c r="W15" i="1"/>
  <c r="AY13" i="23"/>
  <c r="AX20" i="23"/>
  <c r="AX21" i="23"/>
  <c r="AX24" i="23"/>
  <c r="AX25" i="23"/>
  <c r="AX26" i="23"/>
  <c r="AX27" i="23"/>
  <c r="AX29" i="23"/>
  <c r="AX30" i="23"/>
  <c r="AX31" i="23"/>
  <c r="AX32" i="23"/>
  <c r="AX33" i="23"/>
  <c r="AX35" i="23"/>
  <c r="AX36" i="23"/>
  <c r="AX37" i="23"/>
  <c r="AX38" i="23"/>
  <c r="AX39" i="23"/>
  <c r="AX41" i="23"/>
  <c r="AX42" i="23"/>
  <c r="AX43" i="23"/>
  <c r="AX44" i="23"/>
  <c r="AX46" i="23"/>
  <c r="AX47" i="23"/>
  <c r="AX49" i="23"/>
  <c r="AX50" i="23"/>
  <c r="AX52" i="23"/>
  <c r="AX53" i="23"/>
  <c r="AX55" i="23"/>
  <c r="AX56" i="23"/>
  <c r="AN131" i="23"/>
  <c r="AF134" i="23"/>
  <c r="AF135" i="23"/>
  <c r="P131" i="23"/>
  <c r="AX131" i="23"/>
  <c r="L83" i="23"/>
  <c r="L87" i="23"/>
  <c r="L129" i="23"/>
  <c r="L130" i="23"/>
  <c r="H134" i="23"/>
  <c r="D89" i="24"/>
  <c r="D90" i="24"/>
  <c r="F36" i="22"/>
  <c r="E36" i="22"/>
  <c r="D36" i="22"/>
  <c r="H31" i="22"/>
  <c r="G31" i="22"/>
  <c r="G39" i="22"/>
  <c r="F31" i="22"/>
  <c r="E31" i="22"/>
  <c r="E39" i="22"/>
  <c r="D31" i="22"/>
  <c r="F39" i="22"/>
  <c r="J51" i="22"/>
  <c r="J50" i="22"/>
  <c r="E48" i="24"/>
  <c r="K48" i="24"/>
  <c r="F49" i="22"/>
  <c r="E49" i="22"/>
  <c r="D49" i="22"/>
  <c r="J48" i="22"/>
  <c r="E46" i="24"/>
  <c r="J47" i="22"/>
  <c r="E45" i="24"/>
  <c r="K45" i="24"/>
  <c r="J46" i="22"/>
  <c r="E44" i="24"/>
  <c r="K44" i="24"/>
  <c r="J45" i="22"/>
  <c r="E43" i="24"/>
  <c r="D58" i="22"/>
  <c r="D60" i="22"/>
  <c r="G60" i="22"/>
  <c r="E60" i="22"/>
  <c r="H60" i="22"/>
  <c r="D61" i="22"/>
  <c r="D62" i="22"/>
  <c r="K94" i="31"/>
  <c r="J94" i="31"/>
  <c r="K80" i="31"/>
  <c r="D102" i="22"/>
  <c r="G102" i="22"/>
  <c r="D99" i="22"/>
  <c r="G112" i="22"/>
  <c r="F112" i="22"/>
  <c r="H112" i="22"/>
  <c r="E112" i="22"/>
  <c r="G110" i="22"/>
  <c r="G109" i="22"/>
  <c r="G108" i="22"/>
  <c r="H108" i="22"/>
  <c r="I25" i="22"/>
  <c r="I24" i="22"/>
  <c r="I23" i="22"/>
  <c r="I22" i="22"/>
  <c r="I21" i="22"/>
  <c r="I20" i="22"/>
  <c r="I19" i="22"/>
  <c r="K18" i="22"/>
  <c r="J18" i="22"/>
  <c r="H18" i="22"/>
  <c r="H26" i="22"/>
  <c r="G18" i="22"/>
  <c r="G26" i="22"/>
  <c r="F18" i="22"/>
  <c r="F26" i="22"/>
  <c r="E18" i="22"/>
  <c r="E26" i="22"/>
  <c r="D18" i="22"/>
  <c r="D26" i="22"/>
  <c r="I26" i="22"/>
  <c r="H66" i="31"/>
  <c r="H68" i="31"/>
  <c r="J68" i="31"/>
  <c r="D66" i="31"/>
  <c r="G70" i="22"/>
  <c r="F70" i="22"/>
  <c r="H70" i="22"/>
  <c r="E70" i="22"/>
  <c r="D69" i="22"/>
  <c r="D68" i="22"/>
  <c r="E68" i="22"/>
  <c r="D67" i="22"/>
  <c r="D66" i="22"/>
  <c r="G66" i="22"/>
  <c r="D65" i="22"/>
  <c r="H78" i="31"/>
  <c r="D78" i="31"/>
  <c r="H75" i="31"/>
  <c r="D75" i="31"/>
  <c r="H71" i="31"/>
  <c r="H70" i="31"/>
  <c r="H69" i="31"/>
  <c r="H72" i="31"/>
  <c r="D71" i="31"/>
  <c r="D70" i="31"/>
  <c r="D69" i="31"/>
  <c r="D72" i="31"/>
  <c r="D35" i="31"/>
  <c r="J35" i="31"/>
  <c r="H12" i="1"/>
  <c r="D90" i="22"/>
  <c r="D89" i="22"/>
  <c r="D88" i="22"/>
  <c r="D87" i="22"/>
  <c r="D86" i="22"/>
  <c r="D92" i="22"/>
  <c r="H15" i="31"/>
  <c r="K5" i="22"/>
  <c r="J5" i="22"/>
  <c r="K59" i="31"/>
  <c r="H5" i="22"/>
  <c r="G5" i="22"/>
  <c r="G13" i="22"/>
  <c r="F5" i="22"/>
  <c r="F13" i="22"/>
  <c r="E5" i="22"/>
  <c r="E13" i="22"/>
  <c r="D5" i="22"/>
  <c r="D13" i="22"/>
  <c r="D83" i="22"/>
  <c r="D76" i="22"/>
  <c r="D77" i="22"/>
  <c r="D82" i="22"/>
  <c r="D81" i="22"/>
  <c r="D79" i="22"/>
  <c r="D80" i="22"/>
  <c r="D78" i="22"/>
  <c r="D84" i="22"/>
  <c r="AN134" i="23"/>
  <c r="Q143" i="23"/>
  <c r="P143" i="23"/>
  <c r="Q139" i="23"/>
  <c r="P139" i="23"/>
  <c r="Q130" i="23"/>
  <c r="P130" i="23"/>
  <c r="Q124" i="23"/>
  <c r="P124" i="23"/>
  <c r="Q116" i="23"/>
  <c r="P116" i="23"/>
  <c r="Q98" i="23"/>
  <c r="Q105" i="23"/>
  <c r="P98" i="23"/>
  <c r="P105" i="23"/>
  <c r="Q94" i="23"/>
  <c r="P94" i="23"/>
  <c r="Q91" i="23"/>
  <c r="Q108" i="23"/>
  <c r="Q113" i="23"/>
  <c r="P91" i="23"/>
  <c r="Q87" i="23"/>
  <c r="P87" i="23"/>
  <c r="Q81" i="23"/>
  <c r="P81" i="23"/>
  <c r="Q77" i="23"/>
  <c r="P77" i="23"/>
  <c r="P82" i="23"/>
  <c r="Q54" i="23"/>
  <c r="P54" i="23"/>
  <c r="Q51" i="23"/>
  <c r="P51" i="23"/>
  <c r="Q48" i="23"/>
  <c r="P48" i="23"/>
  <c r="Q45" i="23"/>
  <c r="P45" i="23"/>
  <c r="Q34" i="23"/>
  <c r="P34" i="23"/>
  <c r="Q28" i="23"/>
  <c r="P28" i="23"/>
  <c r="Q19" i="23"/>
  <c r="Q23" i="23"/>
  <c r="Q59" i="23"/>
  <c r="Q147" i="23"/>
  <c r="P19" i="23"/>
  <c r="P23" i="23"/>
  <c r="AX89" i="23"/>
  <c r="AR69" i="23"/>
  <c r="Z103" i="23"/>
  <c r="R13" i="2"/>
  <c r="R14" i="2"/>
  <c r="F29" i="7"/>
  <c r="V14" i="1"/>
  <c r="AH122" i="23"/>
  <c r="AD103" i="23"/>
  <c r="AX103" i="23"/>
  <c r="AD22" i="23"/>
  <c r="AE143" i="23"/>
  <c r="AD143" i="23"/>
  <c r="AE139" i="23"/>
  <c r="AD139" i="23"/>
  <c r="AE135" i="23"/>
  <c r="AD135" i="23"/>
  <c r="AE130" i="23"/>
  <c r="AD130" i="23"/>
  <c r="AE124" i="23"/>
  <c r="AD124" i="23"/>
  <c r="AE116" i="23"/>
  <c r="AD116" i="23"/>
  <c r="AE113" i="23"/>
  <c r="AE98" i="23"/>
  <c r="AE105" i="23"/>
  <c r="AD98" i="23"/>
  <c r="AD105" i="23"/>
  <c r="AE94" i="23"/>
  <c r="AY94" i="23"/>
  <c r="AD94" i="23"/>
  <c r="AE91" i="23"/>
  <c r="AE114" i="23"/>
  <c r="AD91" i="23"/>
  <c r="AE87" i="23"/>
  <c r="AY87" i="23"/>
  <c r="E13" i="2"/>
  <c r="AD87" i="23"/>
  <c r="AE81" i="23"/>
  <c r="AY81" i="23"/>
  <c r="AD81" i="23"/>
  <c r="AE77" i="23"/>
  <c r="AE82" i="23"/>
  <c r="AE144" i="23"/>
  <c r="AE148" i="23"/>
  <c r="AD77" i="23"/>
  <c r="AD82" i="23"/>
  <c r="AD144" i="23"/>
  <c r="AE54" i="23"/>
  <c r="AD54" i="23"/>
  <c r="AX54" i="23"/>
  <c r="P14" i="1"/>
  <c r="P15" i="1"/>
  <c r="C28" i="7"/>
  <c r="AE51" i="23"/>
  <c r="AD51" i="23"/>
  <c r="AX51" i="23"/>
  <c r="J14" i="1"/>
  <c r="AE48" i="23"/>
  <c r="AD48" i="23"/>
  <c r="AE45" i="23"/>
  <c r="AD45" i="23"/>
  <c r="AX45" i="23"/>
  <c r="B14" i="1"/>
  <c r="AE34" i="23"/>
  <c r="AD34" i="23"/>
  <c r="AX34" i="23"/>
  <c r="D14" i="1"/>
  <c r="AE28" i="23"/>
  <c r="AD28" i="23"/>
  <c r="AX28" i="23"/>
  <c r="N14" i="1"/>
  <c r="N15" i="1"/>
  <c r="C27" i="7"/>
  <c r="C31" i="7"/>
  <c r="AE19" i="23"/>
  <c r="AE23" i="23"/>
  <c r="AE59" i="23"/>
  <c r="AE147" i="23"/>
  <c r="AD19" i="23"/>
  <c r="V40" i="23"/>
  <c r="V45" i="23"/>
  <c r="F78" i="23"/>
  <c r="F81" i="23"/>
  <c r="J80" i="31"/>
  <c r="U14" i="2"/>
  <c r="AQ143" i="23"/>
  <c r="AP143" i="23"/>
  <c r="AQ139" i="23"/>
  <c r="AP139" i="23"/>
  <c r="AQ135" i="23"/>
  <c r="AP135" i="23"/>
  <c r="AP130" i="23"/>
  <c r="AQ124" i="23"/>
  <c r="AP124" i="23"/>
  <c r="AQ116" i="23"/>
  <c r="AP116" i="23"/>
  <c r="AQ98" i="23"/>
  <c r="AQ105" i="23"/>
  <c r="AP98" i="23"/>
  <c r="AP105" i="23"/>
  <c r="AQ94" i="23"/>
  <c r="AP94" i="23"/>
  <c r="AQ91" i="23"/>
  <c r="AP91" i="23"/>
  <c r="AQ87" i="23"/>
  <c r="AP87" i="23"/>
  <c r="AQ81" i="23"/>
  <c r="AP81" i="23"/>
  <c r="AQ77" i="23"/>
  <c r="AP77" i="23"/>
  <c r="AQ54" i="23"/>
  <c r="AP54" i="23"/>
  <c r="AQ51" i="23"/>
  <c r="AP51" i="23"/>
  <c r="AQ48" i="23"/>
  <c r="AP48" i="23"/>
  <c r="AP45" i="23"/>
  <c r="AQ34" i="23"/>
  <c r="AP34" i="23"/>
  <c r="AQ28" i="23"/>
  <c r="AP28" i="23"/>
  <c r="AQ19" i="23"/>
  <c r="AQ23" i="23"/>
  <c r="AQ59" i="23"/>
  <c r="AQ147" i="23"/>
  <c r="AP19" i="23"/>
  <c r="AP23" i="23"/>
  <c r="AP59" i="23"/>
  <c r="AP147" i="23"/>
  <c r="AN15" i="23"/>
  <c r="V13" i="23"/>
  <c r="V19" i="23"/>
  <c r="V23" i="23"/>
  <c r="U143" i="23"/>
  <c r="T143" i="23"/>
  <c r="AX143" i="23"/>
  <c r="U139" i="23"/>
  <c r="T139" i="23"/>
  <c r="AX139" i="23"/>
  <c r="P13" i="2"/>
  <c r="P14" i="2"/>
  <c r="F28" i="7"/>
  <c r="U135" i="23"/>
  <c r="T135" i="23"/>
  <c r="U130" i="23"/>
  <c r="T130" i="23"/>
  <c r="AX130" i="23"/>
  <c r="U124" i="23"/>
  <c r="T124" i="23"/>
  <c r="U116" i="23"/>
  <c r="T116" i="23"/>
  <c r="U98" i="23"/>
  <c r="U105" i="23"/>
  <c r="T98" i="23"/>
  <c r="T105" i="23"/>
  <c r="U94" i="23"/>
  <c r="U108" i="23"/>
  <c r="U113" i="23"/>
  <c r="T94" i="23"/>
  <c r="U91" i="23"/>
  <c r="U114" i="23"/>
  <c r="T91" i="23"/>
  <c r="T86" i="23"/>
  <c r="T84" i="23"/>
  <c r="U81" i="23"/>
  <c r="T81" i="23"/>
  <c r="T69" i="23"/>
  <c r="U54" i="23"/>
  <c r="T54" i="23"/>
  <c r="U51" i="23"/>
  <c r="T51" i="23"/>
  <c r="U48" i="23"/>
  <c r="T48" i="23"/>
  <c r="U45" i="23"/>
  <c r="T40" i="23"/>
  <c r="T109" i="23"/>
  <c r="U34" i="23"/>
  <c r="T34" i="23"/>
  <c r="U28" i="23"/>
  <c r="T28" i="23"/>
  <c r="U19" i="23"/>
  <c r="U23" i="23"/>
  <c r="T19" i="23"/>
  <c r="T23" i="23"/>
  <c r="V83" i="23"/>
  <c r="AS143" i="23"/>
  <c r="AR143" i="23"/>
  <c r="AS139" i="23"/>
  <c r="AR139" i="23"/>
  <c r="AS135" i="23"/>
  <c r="AR135" i="23"/>
  <c r="AS130" i="23"/>
  <c r="AR130" i="23"/>
  <c r="AS124" i="23"/>
  <c r="AR124" i="23"/>
  <c r="AS116" i="23"/>
  <c r="AR116" i="23"/>
  <c r="AS98" i="23"/>
  <c r="AS105" i="23"/>
  <c r="AS108" i="23"/>
  <c r="AR98" i="23"/>
  <c r="AR105" i="23"/>
  <c r="AS94" i="23"/>
  <c r="AR94" i="23"/>
  <c r="AS91" i="23"/>
  <c r="AS81" i="23"/>
  <c r="AR81" i="23"/>
  <c r="AS54" i="23"/>
  <c r="AR54" i="23"/>
  <c r="AS51" i="23"/>
  <c r="AR51" i="23"/>
  <c r="AS48" i="23"/>
  <c r="AR48" i="23"/>
  <c r="AS45" i="23"/>
  <c r="AR45" i="23"/>
  <c r="AS34" i="23"/>
  <c r="AR34" i="23"/>
  <c r="AS28" i="23"/>
  <c r="AR28" i="23"/>
  <c r="AR19" i="23"/>
  <c r="AL142" i="23"/>
  <c r="AX142" i="23"/>
  <c r="V13" i="2"/>
  <c r="AF69" i="23"/>
  <c r="H39" i="22"/>
  <c r="H13" i="22"/>
  <c r="AG98" i="23"/>
  <c r="AG105" i="23"/>
  <c r="S98" i="23"/>
  <c r="S105" i="23"/>
  <c r="I6" i="22"/>
  <c r="D47" i="31"/>
  <c r="J47" i="31"/>
  <c r="I7" i="22"/>
  <c r="D48" i="31"/>
  <c r="J48" i="31"/>
  <c r="I8" i="22"/>
  <c r="D49" i="31"/>
  <c r="J49" i="31"/>
  <c r="I9" i="22"/>
  <c r="D50" i="31"/>
  <c r="I10" i="22"/>
  <c r="D51" i="31"/>
  <c r="J51" i="31"/>
  <c r="I11" i="22"/>
  <c r="D52" i="31"/>
  <c r="J52" i="31"/>
  <c r="I12" i="22"/>
  <c r="D53" i="31"/>
  <c r="J53" i="31"/>
  <c r="I32" i="22"/>
  <c r="I33" i="22"/>
  <c r="D44" i="24"/>
  <c r="J44" i="24"/>
  <c r="I34" i="22"/>
  <c r="D45" i="24"/>
  <c r="J45" i="24"/>
  <c r="I35" i="22"/>
  <c r="D46" i="24"/>
  <c r="I37" i="22"/>
  <c r="D48" i="24"/>
  <c r="J48" i="24"/>
  <c r="I38" i="22"/>
  <c r="D49" i="24"/>
  <c r="J49" i="24"/>
  <c r="J12" i="31"/>
  <c r="K12" i="31"/>
  <c r="J13" i="31"/>
  <c r="K13" i="31"/>
  <c r="J14" i="31"/>
  <c r="K14" i="31"/>
  <c r="J16" i="31"/>
  <c r="K16" i="31"/>
  <c r="J17" i="31"/>
  <c r="K17" i="31"/>
  <c r="J20" i="31"/>
  <c r="K20" i="31"/>
  <c r="J21" i="31"/>
  <c r="K21" i="31"/>
  <c r="J22" i="31"/>
  <c r="K22" i="31"/>
  <c r="J23" i="31"/>
  <c r="K23" i="31"/>
  <c r="F24" i="31"/>
  <c r="G24" i="31"/>
  <c r="J25" i="31"/>
  <c r="K25" i="31"/>
  <c r="D26" i="31"/>
  <c r="E26" i="31"/>
  <c r="F26" i="31"/>
  <c r="G26" i="31"/>
  <c r="H26" i="31"/>
  <c r="I26" i="31"/>
  <c r="J27" i="31"/>
  <c r="K27" i="31"/>
  <c r="J28" i="31"/>
  <c r="K28" i="31"/>
  <c r="D29" i="31"/>
  <c r="E29" i="31"/>
  <c r="F29" i="31"/>
  <c r="J29" i="31"/>
  <c r="G29" i="31"/>
  <c r="H29" i="31"/>
  <c r="I29" i="31"/>
  <c r="J30" i="31"/>
  <c r="K30" i="31"/>
  <c r="J31" i="31"/>
  <c r="K31" i="31"/>
  <c r="D32" i="31"/>
  <c r="E32" i="31"/>
  <c r="F32" i="31"/>
  <c r="G32" i="31"/>
  <c r="H32" i="31"/>
  <c r="I32" i="31"/>
  <c r="J33" i="31"/>
  <c r="K33" i="31"/>
  <c r="J34" i="31"/>
  <c r="K34" i="31"/>
  <c r="M12" i="1"/>
  <c r="D36" i="31"/>
  <c r="F36" i="31"/>
  <c r="G36" i="31"/>
  <c r="G37" i="31"/>
  <c r="G102" i="31"/>
  <c r="H36" i="31"/>
  <c r="I36" i="31"/>
  <c r="K47" i="31"/>
  <c r="K48" i="31"/>
  <c r="K49" i="31"/>
  <c r="H61" i="31"/>
  <c r="K50" i="31"/>
  <c r="K51" i="31"/>
  <c r="K52" i="31"/>
  <c r="F54" i="31"/>
  <c r="G54" i="31"/>
  <c r="J55" i="31"/>
  <c r="K55" i="31"/>
  <c r="J56" i="31"/>
  <c r="K56" i="31"/>
  <c r="D57" i="31"/>
  <c r="E57" i="31"/>
  <c r="F57" i="31"/>
  <c r="F58" i="31"/>
  <c r="F99" i="31"/>
  <c r="G57" i="31"/>
  <c r="H57" i="31"/>
  <c r="I57" i="31"/>
  <c r="J60" i="31"/>
  <c r="K61" i="31"/>
  <c r="F62" i="31"/>
  <c r="G62" i="31"/>
  <c r="J63" i="31"/>
  <c r="F65" i="31"/>
  <c r="G65" i="31"/>
  <c r="G82" i="31"/>
  <c r="D67" i="31"/>
  <c r="H67" i="31"/>
  <c r="K67" i="31"/>
  <c r="F68" i="31"/>
  <c r="G68" i="31"/>
  <c r="I68" i="31"/>
  <c r="F72" i="31"/>
  <c r="F79" i="31"/>
  <c r="G72" i="31"/>
  <c r="D73" i="31"/>
  <c r="H73" i="31"/>
  <c r="D74" i="31"/>
  <c r="H74" i="31"/>
  <c r="K74" i="31"/>
  <c r="J76" i="31"/>
  <c r="J77" i="31"/>
  <c r="J81" i="31"/>
  <c r="K81" i="31"/>
  <c r="D83" i="31"/>
  <c r="H83" i="31"/>
  <c r="J84" i="31"/>
  <c r="K84" i="31"/>
  <c r="J85" i="31"/>
  <c r="K85" i="31"/>
  <c r="J86" i="31"/>
  <c r="J90" i="31"/>
  <c r="K90" i="31"/>
  <c r="J91" i="31"/>
  <c r="K91" i="31"/>
  <c r="J92" i="31"/>
  <c r="K92" i="31"/>
  <c r="D95" i="31"/>
  <c r="F95" i="31"/>
  <c r="G95" i="31"/>
  <c r="H95" i="31"/>
  <c r="J96" i="31"/>
  <c r="K96" i="31"/>
  <c r="J97" i="31"/>
  <c r="K97" i="31"/>
  <c r="J98" i="31"/>
  <c r="K98" i="31"/>
  <c r="K100" i="31"/>
  <c r="J12" i="24"/>
  <c r="K12" i="24"/>
  <c r="J13" i="24"/>
  <c r="K13" i="24"/>
  <c r="J14" i="24"/>
  <c r="K14" i="24"/>
  <c r="J15" i="24"/>
  <c r="K15" i="24"/>
  <c r="J16" i="24"/>
  <c r="K16" i="24"/>
  <c r="J17" i="24"/>
  <c r="K17" i="24"/>
  <c r="J18" i="24"/>
  <c r="K18" i="24"/>
  <c r="J19" i="24"/>
  <c r="K19" i="24"/>
  <c r="D20" i="24"/>
  <c r="E20" i="24"/>
  <c r="F20" i="24"/>
  <c r="G20" i="24"/>
  <c r="H20" i="24"/>
  <c r="I20" i="24"/>
  <c r="K20" i="24"/>
  <c r="J21" i="24"/>
  <c r="K21" i="24"/>
  <c r="D22" i="24"/>
  <c r="E22" i="24"/>
  <c r="F22" i="24"/>
  <c r="G22" i="24"/>
  <c r="H22" i="24"/>
  <c r="I22" i="24"/>
  <c r="J22" i="24"/>
  <c r="K22" i="24"/>
  <c r="J23" i="24"/>
  <c r="K23" i="24"/>
  <c r="J24" i="24"/>
  <c r="K24" i="24"/>
  <c r="D25" i="24"/>
  <c r="E25" i="24"/>
  <c r="F25" i="24"/>
  <c r="G25" i="24"/>
  <c r="H25" i="24"/>
  <c r="I25" i="24"/>
  <c r="J25" i="24"/>
  <c r="K25" i="24"/>
  <c r="J26" i="24"/>
  <c r="K26" i="24"/>
  <c r="J27" i="24"/>
  <c r="K27" i="24"/>
  <c r="D28" i="24"/>
  <c r="E28" i="24"/>
  <c r="F28" i="24"/>
  <c r="G28" i="24"/>
  <c r="H28" i="24"/>
  <c r="I28" i="24"/>
  <c r="J28" i="24"/>
  <c r="K28" i="24"/>
  <c r="J29" i="24"/>
  <c r="K29" i="24"/>
  <c r="J30" i="24"/>
  <c r="K30" i="24"/>
  <c r="D32" i="24"/>
  <c r="E32" i="24"/>
  <c r="F32" i="24"/>
  <c r="G32" i="24"/>
  <c r="F33" i="24"/>
  <c r="F97" i="24"/>
  <c r="J43" i="24"/>
  <c r="K46" i="24"/>
  <c r="K49" i="24"/>
  <c r="F50" i="24"/>
  <c r="G50" i="24"/>
  <c r="H50" i="24"/>
  <c r="I50" i="24"/>
  <c r="J51" i="24"/>
  <c r="K51" i="24"/>
  <c r="J52" i="24"/>
  <c r="K52" i="24"/>
  <c r="D53" i="24"/>
  <c r="E53" i="24"/>
  <c r="F53" i="24"/>
  <c r="G53" i="24"/>
  <c r="H53" i="24"/>
  <c r="I53" i="24"/>
  <c r="J53" i="24"/>
  <c r="K53" i="24"/>
  <c r="F54" i="24"/>
  <c r="G54" i="24"/>
  <c r="H54" i="24"/>
  <c r="I54" i="24"/>
  <c r="K56" i="24"/>
  <c r="K57" i="24"/>
  <c r="F58" i="24"/>
  <c r="G58" i="24"/>
  <c r="H58" i="24"/>
  <c r="I58" i="24"/>
  <c r="J59" i="24"/>
  <c r="K59" i="24"/>
  <c r="J60" i="24"/>
  <c r="K60" i="24"/>
  <c r="D61" i="24"/>
  <c r="E61" i="24"/>
  <c r="E78" i="24"/>
  <c r="E82" i="24"/>
  <c r="F61" i="24"/>
  <c r="G61" i="24"/>
  <c r="H61" i="24"/>
  <c r="I61" i="24"/>
  <c r="J62" i="24"/>
  <c r="K62" i="24"/>
  <c r="J63" i="24"/>
  <c r="K63" i="24"/>
  <c r="D64" i="24"/>
  <c r="E64" i="24"/>
  <c r="F64" i="24"/>
  <c r="G64" i="24"/>
  <c r="K64" i="24"/>
  <c r="H64" i="24"/>
  <c r="I64" i="24"/>
  <c r="J65" i="24"/>
  <c r="K65" i="24"/>
  <c r="J66" i="24"/>
  <c r="K66" i="24"/>
  <c r="J67" i="24"/>
  <c r="K67" i="24"/>
  <c r="D68" i="24"/>
  <c r="E68" i="24"/>
  <c r="F68" i="24"/>
  <c r="G68" i="24"/>
  <c r="H68" i="24"/>
  <c r="I68" i="24"/>
  <c r="I75" i="24"/>
  <c r="J68" i="24"/>
  <c r="K68" i="24"/>
  <c r="J69" i="24"/>
  <c r="K69" i="24"/>
  <c r="J70" i="24"/>
  <c r="K70" i="24"/>
  <c r="J71" i="24"/>
  <c r="K71" i="24"/>
  <c r="J72" i="24"/>
  <c r="K72" i="24"/>
  <c r="J73" i="24"/>
  <c r="K73" i="24"/>
  <c r="J74" i="24"/>
  <c r="K74" i="24"/>
  <c r="D75" i="24"/>
  <c r="E75" i="24"/>
  <c r="F75" i="24"/>
  <c r="G75" i="24"/>
  <c r="H75" i="24"/>
  <c r="H83" i="24"/>
  <c r="J76" i="24"/>
  <c r="K76" i="24"/>
  <c r="J77" i="24"/>
  <c r="K77" i="24"/>
  <c r="J79" i="24"/>
  <c r="K79" i="24"/>
  <c r="J80" i="24"/>
  <c r="K80" i="24"/>
  <c r="J81" i="24"/>
  <c r="K81" i="24"/>
  <c r="H82" i="24"/>
  <c r="I82" i="24"/>
  <c r="J84" i="24"/>
  <c r="K84" i="24"/>
  <c r="J85" i="24"/>
  <c r="K85" i="24"/>
  <c r="J86" i="24"/>
  <c r="K86" i="24"/>
  <c r="J87" i="24"/>
  <c r="K87" i="24"/>
  <c r="J88" i="24"/>
  <c r="K88" i="24"/>
  <c r="F89" i="24"/>
  <c r="F90" i="24"/>
  <c r="J90" i="24"/>
  <c r="H90" i="24"/>
  <c r="I90" i="24"/>
  <c r="K90" i="24"/>
  <c r="J91" i="24"/>
  <c r="K91" i="24"/>
  <c r="J92" i="24"/>
  <c r="K92" i="24"/>
  <c r="Q12" i="2"/>
  <c r="J93" i="24"/>
  <c r="K93" i="24"/>
  <c r="J95" i="24"/>
  <c r="C11" i="26"/>
  <c r="K95" i="24"/>
  <c r="D19" i="23"/>
  <c r="E19" i="23"/>
  <c r="G19" i="23"/>
  <c r="G23" i="23"/>
  <c r="H19" i="23"/>
  <c r="H23" i="23"/>
  <c r="I19" i="23"/>
  <c r="I23" i="23"/>
  <c r="I59" i="23"/>
  <c r="I147" i="23"/>
  <c r="J19" i="23"/>
  <c r="J23" i="23"/>
  <c r="J59" i="23"/>
  <c r="J147" i="23"/>
  <c r="K19" i="23"/>
  <c r="K23" i="23"/>
  <c r="L19" i="23"/>
  <c r="L23" i="23"/>
  <c r="M19" i="23"/>
  <c r="M23" i="23"/>
  <c r="N19" i="23"/>
  <c r="N23" i="23"/>
  <c r="O19" i="23"/>
  <c r="O23" i="23"/>
  <c r="R19" i="23"/>
  <c r="R23" i="23"/>
  <c r="S19" i="23"/>
  <c r="S23" i="23"/>
  <c r="W19" i="23"/>
  <c r="X19" i="23"/>
  <c r="X23" i="23"/>
  <c r="Y19" i="23"/>
  <c r="Y23" i="23"/>
  <c r="Z19" i="23"/>
  <c r="Z23" i="23"/>
  <c r="AA19" i="23"/>
  <c r="AA23" i="23"/>
  <c r="AB19" i="23"/>
  <c r="AB23" i="23"/>
  <c r="AC19" i="23"/>
  <c r="AC23" i="23"/>
  <c r="AF19" i="23"/>
  <c r="AF23" i="23"/>
  <c r="AG19" i="23"/>
  <c r="AH19" i="23"/>
  <c r="AH23" i="23"/>
  <c r="AI19" i="23"/>
  <c r="AI23" i="23"/>
  <c r="AL19" i="23"/>
  <c r="AL23" i="23"/>
  <c r="AT19" i="23"/>
  <c r="AT23" i="23"/>
  <c r="AV19" i="23"/>
  <c r="AV23" i="23"/>
  <c r="AW19" i="23"/>
  <c r="E23" i="23"/>
  <c r="AW23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R28" i="23"/>
  <c r="S28" i="23"/>
  <c r="V28" i="23"/>
  <c r="W28" i="23"/>
  <c r="X28" i="23"/>
  <c r="Y28" i="23"/>
  <c r="Z28" i="23"/>
  <c r="AA28" i="23"/>
  <c r="AB28" i="23"/>
  <c r="AC28" i="23"/>
  <c r="AF28" i="23"/>
  <c r="AG28" i="23"/>
  <c r="AH28" i="23"/>
  <c r="AI28" i="23"/>
  <c r="AL28" i="23"/>
  <c r="AM28" i="23"/>
  <c r="AN28" i="23"/>
  <c r="AO28" i="23"/>
  <c r="AT28" i="23"/>
  <c r="AU28" i="23"/>
  <c r="AV28" i="23"/>
  <c r="AW28" i="23"/>
  <c r="D34" i="23"/>
  <c r="E34" i="23"/>
  <c r="F34" i="23"/>
  <c r="G34" i="23"/>
  <c r="H34" i="23"/>
  <c r="I34" i="23"/>
  <c r="J34" i="23"/>
  <c r="K34" i="23"/>
  <c r="L34" i="23"/>
  <c r="M34" i="23"/>
  <c r="N34" i="23"/>
  <c r="O34" i="23"/>
  <c r="R34" i="23"/>
  <c r="S34" i="23"/>
  <c r="V34" i="23"/>
  <c r="W34" i="23"/>
  <c r="X34" i="23"/>
  <c r="Y34" i="23"/>
  <c r="Z34" i="23"/>
  <c r="AA34" i="23"/>
  <c r="AB34" i="23"/>
  <c r="AC34" i="23"/>
  <c r="AF34" i="23"/>
  <c r="AG34" i="23"/>
  <c r="AH34" i="23"/>
  <c r="AI34" i="23"/>
  <c r="AL34" i="23"/>
  <c r="AM34" i="23"/>
  <c r="AN34" i="23"/>
  <c r="AO34" i="23"/>
  <c r="AT34" i="23"/>
  <c r="AU34" i="23"/>
  <c r="AV34" i="23"/>
  <c r="AW34" i="23"/>
  <c r="D45" i="23"/>
  <c r="E45" i="23"/>
  <c r="F45" i="23"/>
  <c r="H45" i="23"/>
  <c r="I45" i="23"/>
  <c r="J45" i="23"/>
  <c r="L45" i="23"/>
  <c r="M45" i="23"/>
  <c r="N45" i="23"/>
  <c r="O45" i="23"/>
  <c r="R45" i="23"/>
  <c r="S45" i="23"/>
  <c r="X45" i="23"/>
  <c r="Y45" i="23"/>
  <c r="Z45" i="23"/>
  <c r="AA45" i="23"/>
  <c r="AB45" i="23"/>
  <c r="AC45" i="23"/>
  <c r="AF45" i="23"/>
  <c r="AH45" i="23"/>
  <c r="AI45" i="23"/>
  <c r="AL45" i="23"/>
  <c r="AM45" i="23"/>
  <c r="AN45" i="23"/>
  <c r="AO45" i="23"/>
  <c r="AT45" i="23"/>
  <c r="AU45" i="23"/>
  <c r="AV45" i="23"/>
  <c r="AW45" i="23"/>
  <c r="D48" i="23"/>
  <c r="E48" i="23"/>
  <c r="F48" i="23"/>
  <c r="G48" i="23"/>
  <c r="H48" i="23"/>
  <c r="I48" i="23"/>
  <c r="J48" i="23"/>
  <c r="K48" i="23"/>
  <c r="L48" i="23"/>
  <c r="M48" i="23"/>
  <c r="N48" i="23"/>
  <c r="O48" i="23"/>
  <c r="R48" i="23"/>
  <c r="S48" i="23"/>
  <c r="V48" i="23"/>
  <c r="W48" i="23"/>
  <c r="X48" i="23"/>
  <c r="Y48" i="23"/>
  <c r="Z48" i="23"/>
  <c r="AA48" i="23"/>
  <c r="AB48" i="23"/>
  <c r="AC48" i="23"/>
  <c r="AF48" i="23"/>
  <c r="AG48" i="23"/>
  <c r="AH48" i="23"/>
  <c r="AI48" i="23"/>
  <c r="AL48" i="23"/>
  <c r="AM48" i="23"/>
  <c r="AN48" i="23"/>
  <c r="AO48" i="23"/>
  <c r="AT48" i="23"/>
  <c r="AU48" i="23"/>
  <c r="AV48" i="23"/>
  <c r="AW48" i="23"/>
  <c r="D51" i="23"/>
  <c r="E51" i="23"/>
  <c r="F51" i="23"/>
  <c r="G51" i="23"/>
  <c r="H51" i="23"/>
  <c r="I51" i="23"/>
  <c r="J51" i="23"/>
  <c r="K51" i="23"/>
  <c r="L51" i="23"/>
  <c r="M51" i="23"/>
  <c r="N51" i="23"/>
  <c r="O51" i="23"/>
  <c r="R51" i="23"/>
  <c r="S51" i="23"/>
  <c r="V51" i="23"/>
  <c r="W51" i="23"/>
  <c r="X51" i="23"/>
  <c r="Y51" i="23"/>
  <c r="Z51" i="23"/>
  <c r="AA51" i="23"/>
  <c r="AB51" i="23"/>
  <c r="AC51" i="23"/>
  <c r="AF51" i="23"/>
  <c r="AG51" i="23"/>
  <c r="AH51" i="23"/>
  <c r="AI51" i="23"/>
  <c r="AL51" i="23"/>
  <c r="AM51" i="23"/>
  <c r="AN51" i="23"/>
  <c r="AO51" i="23"/>
  <c r="AT51" i="23"/>
  <c r="AU51" i="23"/>
  <c r="AV51" i="23"/>
  <c r="AW51" i="23"/>
  <c r="D54" i="23"/>
  <c r="E54" i="23"/>
  <c r="AY54" i="23"/>
  <c r="Q14" i="1"/>
  <c r="Q15" i="1"/>
  <c r="D28" i="7"/>
  <c r="F54" i="23"/>
  <c r="G54" i="23"/>
  <c r="H54" i="23"/>
  <c r="I54" i="23"/>
  <c r="J54" i="23"/>
  <c r="K54" i="23"/>
  <c r="L54" i="23"/>
  <c r="M54" i="23"/>
  <c r="N54" i="23"/>
  <c r="O54" i="23"/>
  <c r="R54" i="23"/>
  <c r="S54" i="23"/>
  <c r="V54" i="23"/>
  <c r="W54" i="23"/>
  <c r="X54" i="23"/>
  <c r="Y54" i="23"/>
  <c r="Z54" i="23"/>
  <c r="AA54" i="23"/>
  <c r="AB54" i="23"/>
  <c r="AC54" i="23"/>
  <c r="AF54" i="23"/>
  <c r="AG54" i="23"/>
  <c r="AH54" i="23"/>
  <c r="AI54" i="23"/>
  <c r="AL54" i="23"/>
  <c r="AM54" i="23"/>
  <c r="AN54" i="23"/>
  <c r="AO54" i="23"/>
  <c r="AT54" i="23"/>
  <c r="AT59" i="23"/>
  <c r="AU54" i="23"/>
  <c r="AV54" i="23"/>
  <c r="AW54" i="23"/>
  <c r="L77" i="23"/>
  <c r="L82" i="23"/>
  <c r="AF84" i="23"/>
  <c r="D77" i="23"/>
  <c r="D82" i="23"/>
  <c r="E77" i="23"/>
  <c r="F77" i="23"/>
  <c r="F82" i="23"/>
  <c r="G77" i="23"/>
  <c r="H77" i="23"/>
  <c r="H82" i="23"/>
  <c r="I77" i="23"/>
  <c r="I82" i="23"/>
  <c r="J77" i="23"/>
  <c r="K77" i="23"/>
  <c r="K82" i="23"/>
  <c r="M77" i="23"/>
  <c r="M82" i="23"/>
  <c r="N77" i="23"/>
  <c r="O77" i="23"/>
  <c r="O82" i="23"/>
  <c r="R77" i="23"/>
  <c r="S77" i="23"/>
  <c r="S82" i="23"/>
  <c r="W77" i="23"/>
  <c r="W82" i="23"/>
  <c r="X77" i="23"/>
  <c r="Y77" i="23"/>
  <c r="Y82" i="23"/>
  <c r="Z77" i="23"/>
  <c r="AA77" i="23"/>
  <c r="AA82" i="23"/>
  <c r="AB77" i="23"/>
  <c r="AC77" i="23"/>
  <c r="AH77" i="23"/>
  <c r="AI77" i="23"/>
  <c r="AN77" i="23"/>
  <c r="AO77" i="23"/>
  <c r="AT77" i="23"/>
  <c r="AU77" i="23"/>
  <c r="AV77" i="23"/>
  <c r="AW77" i="23"/>
  <c r="D81" i="23"/>
  <c r="E81" i="23"/>
  <c r="G81" i="23"/>
  <c r="G82" i="23"/>
  <c r="H81" i="23"/>
  <c r="I81" i="23"/>
  <c r="J81" i="23"/>
  <c r="K81" i="23"/>
  <c r="L81" i="23"/>
  <c r="M81" i="23"/>
  <c r="N81" i="23"/>
  <c r="O81" i="23"/>
  <c r="R81" i="23"/>
  <c r="S81" i="23"/>
  <c r="V81" i="23"/>
  <c r="W81" i="23"/>
  <c r="X81" i="23"/>
  <c r="Y81" i="23"/>
  <c r="Z81" i="23"/>
  <c r="AA81" i="23"/>
  <c r="AB81" i="23"/>
  <c r="AC81" i="23"/>
  <c r="AC82" i="23"/>
  <c r="AF81" i="23"/>
  <c r="AG81" i="23"/>
  <c r="AG82" i="23"/>
  <c r="AH81" i="23"/>
  <c r="AI81" i="23"/>
  <c r="AL81" i="23"/>
  <c r="AM81" i="23"/>
  <c r="AN81" i="23"/>
  <c r="AO81" i="23"/>
  <c r="AT81" i="23"/>
  <c r="AU81" i="23"/>
  <c r="AV81" i="23"/>
  <c r="AW81" i="23"/>
  <c r="AW82" i="23"/>
  <c r="AL83" i="23"/>
  <c r="AL87" i="23"/>
  <c r="V84" i="23"/>
  <c r="V87" i="23"/>
  <c r="V86" i="23"/>
  <c r="D87" i="23"/>
  <c r="E87" i="23"/>
  <c r="H87" i="23"/>
  <c r="I87" i="23"/>
  <c r="J87" i="23"/>
  <c r="K87" i="23"/>
  <c r="M87" i="23"/>
  <c r="N87" i="23"/>
  <c r="O87" i="23"/>
  <c r="R87" i="23"/>
  <c r="S87" i="23"/>
  <c r="W87" i="23"/>
  <c r="X87" i="23"/>
  <c r="Y87" i="23"/>
  <c r="Z87" i="23"/>
  <c r="AA87" i="23"/>
  <c r="AB87" i="23"/>
  <c r="AC87" i="23"/>
  <c r="AG87" i="23"/>
  <c r="AH87" i="23"/>
  <c r="AI87" i="23"/>
  <c r="AN87" i="23"/>
  <c r="AO87" i="23"/>
  <c r="AT87" i="23"/>
  <c r="AU87" i="23"/>
  <c r="AV87" i="23"/>
  <c r="AW87" i="23"/>
  <c r="D91" i="23"/>
  <c r="E91" i="23"/>
  <c r="F91" i="23"/>
  <c r="G91" i="23"/>
  <c r="G108" i="23"/>
  <c r="H91" i="23"/>
  <c r="I91" i="23"/>
  <c r="J91" i="23"/>
  <c r="K91" i="23"/>
  <c r="M91" i="23"/>
  <c r="N91" i="23"/>
  <c r="O91" i="23"/>
  <c r="R91" i="23"/>
  <c r="S91" i="23"/>
  <c r="W91" i="23"/>
  <c r="X91" i="23"/>
  <c r="Y91" i="23"/>
  <c r="Z91" i="23"/>
  <c r="AA91" i="23"/>
  <c r="AB91" i="23"/>
  <c r="AC91" i="23"/>
  <c r="AF91" i="23"/>
  <c r="AG91" i="23"/>
  <c r="AH91" i="23"/>
  <c r="AI91" i="23"/>
  <c r="AL91" i="23"/>
  <c r="AM91" i="23"/>
  <c r="AN91" i="23"/>
  <c r="AO91" i="23"/>
  <c r="AT91" i="23"/>
  <c r="AU91" i="23"/>
  <c r="AV91" i="23"/>
  <c r="AW91" i="23"/>
  <c r="D94" i="23"/>
  <c r="E94" i="23"/>
  <c r="F94" i="23"/>
  <c r="G94" i="23"/>
  <c r="H94" i="23"/>
  <c r="I94" i="23"/>
  <c r="J94" i="23"/>
  <c r="K94" i="23"/>
  <c r="L94" i="23"/>
  <c r="M94" i="23"/>
  <c r="N94" i="23"/>
  <c r="O94" i="23"/>
  <c r="R94" i="23"/>
  <c r="S94" i="23"/>
  <c r="V94" i="23"/>
  <c r="W94" i="23"/>
  <c r="X94" i="23"/>
  <c r="Y94" i="23"/>
  <c r="Z94" i="23"/>
  <c r="AA94" i="23"/>
  <c r="AB94" i="23"/>
  <c r="AC94" i="23"/>
  <c r="AF94" i="23"/>
  <c r="AG94" i="23"/>
  <c r="AH94" i="23"/>
  <c r="AI94" i="23"/>
  <c r="AL94" i="23"/>
  <c r="AM94" i="23"/>
  <c r="AN94" i="23"/>
  <c r="AO94" i="23"/>
  <c r="AT94" i="23"/>
  <c r="AU94" i="23"/>
  <c r="AV94" i="23"/>
  <c r="AW94" i="23"/>
  <c r="D98" i="23"/>
  <c r="E98" i="23"/>
  <c r="F98" i="23"/>
  <c r="F105" i="23"/>
  <c r="G98" i="23"/>
  <c r="G105" i="23"/>
  <c r="H98" i="23"/>
  <c r="H105" i="23"/>
  <c r="I98" i="23"/>
  <c r="I105" i="23"/>
  <c r="J98" i="23"/>
  <c r="J105" i="23"/>
  <c r="J108" i="23"/>
  <c r="J113" i="23"/>
  <c r="K98" i="23"/>
  <c r="K105" i="23"/>
  <c r="K108" i="23"/>
  <c r="K113" i="23"/>
  <c r="L98" i="23"/>
  <c r="L105" i="23"/>
  <c r="M98" i="23"/>
  <c r="N98" i="23"/>
  <c r="N105" i="23"/>
  <c r="O98" i="23"/>
  <c r="O105" i="23"/>
  <c r="R98" i="23"/>
  <c r="R105" i="23"/>
  <c r="V98" i="23"/>
  <c r="W98" i="23"/>
  <c r="W105" i="23"/>
  <c r="X98" i="23"/>
  <c r="X105" i="23"/>
  <c r="Y98" i="23"/>
  <c r="Y105" i="23"/>
  <c r="Y108" i="23"/>
  <c r="Y113" i="23"/>
  <c r="Y114" i="23"/>
  <c r="Z98" i="23"/>
  <c r="Z105" i="23"/>
  <c r="Z114" i="23"/>
  <c r="AA98" i="23"/>
  <c r="AA105" i="23"/>
  <c r="AA114" i="23"/>
  <c r="AB98" i="23"/>
  <c r="AB105" i="23"/>
  <c r="AC98" i="23"/>
  <c r="AC105" i="23"/>
  <c r="AF98" i="23"/>
  <c r="AF105" i="23"/>
  <c r="AH98" i="23"/>
  <c r="AH105" i="23"/>
  <c r="AI98" i="23"/>
  <c r="AI105" i="23"/>
  <c r="AL98" i="23"/>
  <c r="AL105" i="23"/>
  <c r="AM98" i="23"/>
  <c r="AM105" i="23"/>
  <c r="AN98" i="23"/>
  <c r="AN105" i="23"/>
  <c r="AO98" i="23"/>
  <c r="AO105" i="23"/>
  <c r="AT98" i="23"/>
  <c r="AT105" i="23"/>
  <c r="AU98" i="23"/>
  <c r="AU105" i="23"/>
  <c r="AV98" i="23"/>
  <c r="AV105" i="23"/>
  <c r="AW98" i="23"/>
  <c r="AW105" i="23"/>
  <c r="E113" i="23"/>
  <c r="O113" i="23"/>
  <c r="Z113" i="23"/>
  <c r="AA113" i="23"/>
  <c r="AI113" i="23"/>
  <c r="AN113" i="23"/>
  <c r="AW113" i="23"/>
  <c r="D116" i="23"/>
  <c r="E116" i="23"/>
  <c r="F116" i="23"/>
  <c r="G116" i="23"/>
  <c r="H116" i="23"/>
  <c r="I116" i="23"/>
  <c r="J116" i="23"/>
  <c r="K116" i="23"/>
  <c r="L116" i="23"/>
  <c r="M116" i="23"/>
  <c r="N116" i="23"/>
  <c r="O116" i="23"/>
  <c r="R116" i="23"/>
  <c r="S116" i="23"/>
  <c r="V116" i="23"/>
  <c r="W116" i="23"/>
  <c r="X116" i="23"/>
  <c r="Y116" i="23"/>
  <c r="Z116" i="23"/>
  <c r="AA116" i="23"/>
  <c r="AB116" i="23"/>
  <c r="AC116" i="23"/>
  <c r="AF116" i="23"/>
  <c r="AG116" i="23"/>
  <c r="AH116" i="23"/>
  <c r="AI116" i="23"/>
  <c r="AL116" i="23"/>
  <c r="AM116" i="23"/>
  <c r="AN116" i="23"/>
  <c r="AO116" i="23"/>
  <c r="AT116" i="23"/>
  <c r="AU116" i="23"/>
  <c r="AV116" i="23"/>
  <c r="AW116" i="23"/>
  <c r="D124" i="23"/>
  <c r="E124" i="23"/>
  <c r="F124" i="23"/>
  <c r="G124" i="23"/>
  <c r="H124" i="23"/>
  <c r="I124" i="23"/>
  <c r="J124" i="23"/>
  <c r="K124" i="23"/>
  <c r="L124" i="23"/>
  <c r="M124" i="23"/>
  <c r="N124" i="23"/>
  <c r="O124" i="23"/>
  <c r="R124" i="23"/>
  <c r="S124" i="23"/>
  <c r="V124" i="23"/>
  <c r="W124" i="23"/>
  <c r="X124" i="23"/>
  <c r="Y124" i="23"/>
  <c r="Z124" i="23"/>
  <c r="AA124" i="23"/>
  <c r="AB124" i="23"/>
  <c r="AC124" i="23"/>
  <c r="AF124" i="23"/>
  <c r="AG124" i="23"/>
  <c r="AL124" i="23"/>
  <c r="AN124" i="23"/>
  <c r="AO124" i="23"/>
  <c r="AT124" i="23"/>
  <c r="AU124" i="23"/>
  <c r="AV124" i="23"/>
  <c r="AW124" i="23"/>
  <c r="AL129" i="23"/>
  <c r="AL130" i="23"/>
  <c r="D130" i="23"/>
  <c r="E130" i="23"/>
  <c r="F130" i="23"/>
  <c r="G130" i="23"/>
  <c r="H130" i="23"/>
  <c r="I130" i="23"/>
  <c r="J130" i="23"/>
  <c r="M130" i="23"/>
  <c r="N130" i="23"/>
  <c r="O130" i="23"/>
  <c r="R130" i="23"/>
  <c r="S130" i="23"/>
  <c r="V130" i="23"/>
  <c r="W130" i="23"/>
  <c r="X130" i="23"/>
  <c r="Z130" i="23"/>
  <c r="AA130" i="23"/>
  <c r="AB130" i="23"/>
  <c r="AC130" i="23"/>
  <c r="AF130" i="23"/>
  <c r="AG130" i="23"/>
  <c r="AH130" i="23"/>
  <c r="AI130" i="23"/>
  <c r="AM130" i="23"/>
  <c r="AN130" i="23"/>
  <c r="AO130" i="23"/>
  <c r="AT130" i="23"/>
  <c r="AU130" i="23"/>
  <c r="AV130" i="23"/>
  <c r="AW130" i="23"/>
  <c r="J134" i="23"/>
  <c r="J135" i="23"/>
  <c r="L134" i="23"/>
  <c r="N134" i="23"/>
  <c r="N135" i="23"/>
  <c r="AL134" i="23"/>
  <c r="AL135" i="23"/>
  <c r="D135" i="23"/>
  <c r="E135" i="23"/>
  <c r="F135" i="23"/>
  <c r="G135" i="23"/>
  <c r="I135" i="23"/>
  <c r="K135" i="23"/>
  <c r="M135" i="23"/>
  <c r="O135" i="23"/>
  <c r="R135" i="23"/>
  <c r="S135" i="23"/>
  <c r="V135" i="23"/>
  <c r="X135" i="23"/>
  <c r="Y135" i="23"/>
  <c r="Z135" i="23"/>
  <c r="AA135" i="23"/>
  <c r="AB135" i="23"/>
  <c r="AC135" i="23"/>
  <c r="AG135" i="23"/>
  <c r="AH135" i="23"/>
  <c r="AI135" i="23"/>
  <c r="AM135" i="23"/>
  <c r="AO135" i="23"/>
  <c r="AT135" i="23"/>
  <c r="AU135" i="23"/>
  <c r="AV135" i="23"/>
  <c r="AW135" i="23"/>
  <c r="D139" i="23"/>
  <c r="E139" i="23"/>
  <c r="F139" i="23"/>
  <c r="G139" i="23"/>
  <c r="H139" i="23"/>
  <c r="I139" i="23"/>
  <c r="J139" i="23"/>
  <c r="K139" i="23"/>
  <c r="L139" i="23"/>
  <c r="M139" i="23"/>
  <c r="N139" i="23"/>
  <c r="O139" i="23"/>
  <c r="R139" i="23"/>
  <c r="S139" i="23"/>
  <c r="V139" i="23"/>
  <c r="W139" i="23"/>
  <c r="X139" i="23"/>
  <c r="Y139" i="23"/>
  <c r="Z139" i="23"/>
  <c r="AA139" i="23"/>
  <c r="AB139" i="23"/>
  <c r="AC139" i="23"/>
  <c r="AF139" i="23"/>
  <c r="AG139" i="23"/>
  <c r="AH139" i="23"/>
  <c r="AI139" i="23"/>
  <c r="AL139" i="23"/>
  <c r="AM139" i="23"/>
  <c r="AN139" i="23"/>
  <c r="AO139" i="23"/>
  <c r="AT139" i="23"/>
  <c r="AU139" i="23"/>
  <c r="AV139" i="23"/>
  <c r="AW139" i="23"/>
  <c r="D143" i="23"/>
  <c r="E143" i="23"/>
  <c r="F143" i="23"/>
  <c r="G143" i="23"/>
  <c r="H143" i="23"/>
  <c r="I143" i="23"/>
  <c r="J143" i="23"/>
  <c r="K143" i="23"/>
  <c r="L143" i="23"/>
  <c r="M143" i="23"/>
  <c r="N143" i="23"/>
  <c r="O143" i="23"/>
  <c r="R143" i="23"/>
  <c r="S143" i="23"/>
  <c r="V143" i="23"/>
  <c r="W143" i="23"/>
  <c r="X143" i="23"/>
  <c r="Y143" i="23"/>
  <c r="Z143" i="23"/>
  <c r="AA143" i="23"/>
  <c r="AB143" i="23"/>
  <c r="AC143" i="23"/>
  <c r="AF143" i="23"/>
  <c r="AG143" i="23"/>
  <c r="AH143" i="23"/>
  <c r="AI143" i="23"/>
  <c r="AT143" i="23"/>
  <c r="AU143" i="23"/>
  <c r="AV143" i="23"/>
  <c r="AW143" i="23"/>
  <c r="G13" i="30"/>
  <c r="G17" i="30"/>
  <c r="H13" i="30"/>
  <c r="G14" i="30"/>
  <c r="H14" i="30"/>
  <c r="G15" i="30"/>
  <c r="H15" i="30"/>
  <c r="G16" i="30"/>
  <c r="H16" i="30"/>
  <c r="H17" i="30"/>
  <c r="C17" i="30"/>
  <c r="C24" i="30"/>
  <c r="D17" i="30"/>
  <c r="D24" i="30"/>
  <c r="E17" i="30"/>
  <c r="F17" i="30"/>
  <c r="G20" i="30"/>
  <c r="H20" i="30"/>
  <c r="G21" i="30"/>
  <c r="H21" i="30"/>
  <c r="C22" i="30"/>
  <c r="D22" i="30"/>
  <c r="E22" i="30"/>
  <c r="E24" i="30"/>
  <c r="F22" i="30"/>
  <c r="F24" i="30"/>
  <c r="H22" i="30"/>
  <c r="J9" i="27"/>
  <c r="J10" i="27"/>
  <c r="J11" i="27"/>
  <c r="J12" i="27"/>
  <c r="J13" i="27"/>
  <c r="J14" i="27"/>
  <c r="J15" i="27"/>
  <c r="J16" i="27"/>
  <c r="J17" i="27"/>
  <c r="J18" i="27"/>
  <c r="E19" i="27"/>
  <c r="F19" i="27"/>
  <c r="G19" i="27"/>
  <c r="H19" i="27"/>
  <c r="I19" i="27"/>
  <c r="C13" i="10"/>
  <c r="D13" i="10"/>
  <c r="G13" i="10"/>
  <c r="H13" i="10"/>
  <c r="E10" i="26"/>
  <c r="F10" i="26"/>
  <c r="I10" i="26"/>
  <c r="I11" i="26"/>
  <c r="E12" i="26"/>
  <c r="F12" i="26"/>
  <c r="I12" i="26"/>
  <c r="D13" i="26"/>
  <c r="G13" i="26"/>
  <c r="H13" i="26"/>
  <c r="C17" i="26"/>
  <c r="E17" i="26"/>
  <c r="I17" i="26"/>
  <c r="D17" i="29"/>
  <c r="D25" i="29"/>
  <c r="E25" i="29"/>
  <c r="P12" i="2"/>
  <c r="V12" i="2"/>
  <c r="V14" i="2"/>
  <c r="T14" i="2"/>
  <c r="M14" i="2"/>
  <c r="G16" i="7"/>
  <c r="L12" i="1"/>
  <c r="L15" i="1"/>
  <c r="F19" i="7"/>
  <c r="C13" i="1"/>
  <c r="L13" i="1"/>
  <c r="M13" i="1"/>
  <c r="AQ82" i="23"/>
  <c r="H31" i="24"/>
  <c r="H32" i="24"/>
  <c r="D105" i="23"/>
  <c r="D108" i="23"/>
  <c r="H59" i="31"/>
  <c r="H62" i="31"/>
  <c r="H79" i="31"/>
  <c r="K57" i="31"/>
  <c r="AL77" i="23"/>
  <c r="AF86" i="23"/>
  <c r="V77" i="23"/>
  <c r="H54" i="31"/>
  <c r="AI82" i="23"/>
  <c r="AI144" i="23"/>
  <c r="AL143" i="23"/>
  <c r="T45" i="23"/>
  <c r="AX109" i="23"/>
  <c r="L91" i="23"/>
  <c r="Z82" i="23"/>
  <c r="K89" i="31"/>
  <c r="K29" i="31"/>
  <c r="J89" i="31"/>
  <c r="K32" i="31"/>
  <c r="G79" i="31"/>
  <c r="AR23" i="23"/>
  <c r="AR59" i="23"/>
  <c r="AR147" i="23"/>
  <c r="J64" i="24"/>
  <c r="I31" i="22"/>
  <c r="D42" i="24"/>
  <c r="R82" i="23"/>
  <c r="AP82" i="23"/>
  <c r="Q82" i="23"/>
  <c r="Q144" i="23"/>
  <c r="Q148" i="23"/>
  <c r="AO82" i="23"/>
  <c r="E82" i="23"/>
  <c r="T83" i="23"/>
  <c r="T87" i="23"/>
  <c r="L135" i="23"/>
  <c r="T77" i="23"/>
  <c r="T82" i="23"/>
  <c r="F102" i="22"/>
  <c r="F108" i="22"/>
  <c r="F110" i="22"/>
  <c r="E102" i="22"/>
  <c r="G106" i="22"/>
  <c r="E108" i="22"/>
  <c r="E110" i="22"/>
  <c r="I18" i="22"/>
  <c r="K46" i="31"/>
  <c r="J61" i="24"/>
  <c r="G58" i="31"/>
  <c r="AN135" i="23"/>
  <c r="AN143" i="23"/>
  <c r="AD108" i="23"/>
  <c r="AD113" i="23"/>
  <c r="AD114" i="23"/>
  <c r="AI114" i="23"/>
  <c r="H108" i="23"/>
  <c r="H113" i="23"/>
  <c r="H114" i="23"/>
  <c r="AP108" i="23"/>
  <c r="AP113" i="23"/>
  <c r="AP114" i="23"/>
  <c r="AP144" i="23"/>
  <c r="AP148" i="23"/>
  <c r="P134" i="23"/>
  <c r="V15" i="1"/>
  <c r="F33" i="7"/>
  <c r="K61" i="24"/>
  <c r="J89" i="24"/>
  <c r="I36" i="22"/>
  <c r="D47" i="24"/>
  <c r="J47" i="24"/>
  <c r="F68" i="22"/>
  <c r="F60" i="22"/>
  <c r="G58" i="22"/>
  <c r="G59" i="22"/>
  <c r="E52" i="22"/>
  <c r="J49" i="22"/>
  <c r="K47" i="24"/>
  <c r="G68" i="22"/>
  <c r="G101" i="22"/>
  <c r="D59" i="22"/>
  <c r="I5" i="22"/>
  <c r="D46" i="31"/>
  <c r="J46" i="31"/>
  <c r="D85" i="22"/>
  <c r="D18" i="31"/>
  <c r="D24" i="31"/>
  <c r="D37" i="31"/>
  <c r="D102" i="31"/>
  <c r="J15" i="31"/>
  <c r="D104" i="22"/>
  <c r="F66" i="22"/>
  <c r="E101" i="22"/>
  <c r="H101" i="22"/>
  <c r="D52" i="22"/>
  <c r="J52" i="22"/>
  <c r="E66" i="22"/>
  <c r="H66" i="22"/>
  <c r="F103" i="22"/>
  <c r="H103" i="22"/>
  <c r="F107" i="22"/>
  <c r="E61" i="22"/>
  <c r="AK144" i="23"/>
  <c r="AK148" i="23"/>
  <c r="AH59" i="23"/>
  <c r="AH147" i="23"/>
  <c r="AJ108" i="23"/>
  <c r="AJ113" i="23"/>
  <c r="AJ114" i="23"/>
  <c r="AJ144" i="23"/>
  <c r="AJ148" i="23"/>
  <c r="O114" i="23"/>
  <c r="AW114" i="23"/>
  <c r="AH82" i="23"/>
  <c r="V82" i="23"/>
  <c r="N82" i="23"/>
  <c r="AC59" i="23"/>
  <c r="AC147" i="23"/>
  <c r="H68" i="22"/>
  <c r="H110" i="22"/>
  <c r="D126" i="22"/>
  <c r="F109" i="22"/>
  <c r="G103" i="22"/>
  <c r="G104" i="22"/>
  <c r="H104" i="22"/>
  <c r="E104" i="22"/>
  <c r="J44" i="22"/>
  <c r="E42" i="24"/>
  <c r="K44" i="22"/>
  <c r="E55" i="24"/>
  <c r="E58" i="24"/>
  <c r="K58" i="24"/>
  <c r="E12" i="2"/>
  <c r="K43" i="24"/>
  <c r="D19" i="31"/>
  <c r="D59" i="31"/>
  <c r="F104" i="22"/>
  <c r="Z144" i="23"/>
  <c r="Z148" i="23"/>
  <c r="H102" i="22"/>
  <c r="M15" i="1"/>
  <c r="G19" i="7"/>
  <c r="J19" i="27"/>
  <c r="AW144" i="23"/>
  <c r="AW148" i="23"/>
  <c r="J36" i="31"/>
  <c r="F37" i="31"/>
  <c r="F102" i="31"/>
  <c r="K26" i="31"/>
  <c r="D56" i="24"/>
  <c r="D57" i="24"/>
  <c r="J57" i="24"/>
  <c r="J46" i="24"/>
  <c r="AX81" i="23"/>
  <c r="AV82" i="23"/>
  <c r="AT82" i="23"/>
  <c r="AT144" i="23"/>
  <c r="AT148" i="23"/>
  <c r="AN82" i="23"/>
  <c r="AB82" i="23"/>
  <c r="X82" i="23"/>
  <c r="J82" i="23"/>
  <c r="J15" i="1"/>
  <c r="C14" i="7"/>
  <c r="R59" i="23"/>
  <c r="R147" i="23"/>
  <c r="AX48" i="23"/>
  <c r="R14" i="1"/>
  <c r="R15" i="1"/>
  <c r="C29" i="7"/>
  <c r="Z59" i="23"/>
  <c r="Z147" i="23"/>
  <c r="Z149" i="23"/>
  <c r="Y59" i="23"/>
  <c r="Y147" i="23"/>
  <c r="AY28" i="23"/>
  <c r="O14" i="1"/>
  <c r="O15" i="1"/>
  <c r="E59" i="23"/>
  <c r="E147" i="23"/>
  <c r="AT147" i="23"/>
  <c r="AI59" i="23"/>
  <c r="AI147" i="23"/>
  <c r="AI149" i="23"/>
  <c r="AG23" i="23"/>
  <c r="V59" i="23"/>
  <c r="V147" i="23"/>
  <c r="AR83" i="23"/>
  <c r="AR87" i="23"/>
  <c r="AR77" i="23"/>
  <c r="AR82" i="23"/>
  <c r="AR144" i="23"/>
  <c r="F106" i="22"/>
  <c r="H106" i="22"/>
  <c r="E106" i="22"/>
  <c r="J72" i="31"/>
  <c r="H135" i="23"/>
  <c r="AL82" i="23"/>
  <c r="AY139" i="23"/>
  <c r="Q13" i="2"/>
  <c r="AX116" i="23"/>
  <c r="H13" i="2"/>
  <c r="H14" i="2"/>
  <c r="F14" i="7"/>
  <c r="AN114" i="23"/>
  <c r="AN144" i="23"/>
  <c r="AN148" i="23"/>
  <c r="AT108" i="23"/>
  <c r="AT113" i="23"/>
  <c r="AT114" i="23"/>
  <c r="AT149" i="23"/>
  <c r="AH108" i="23"/>
  <c r="AH113" i="23"/>
  <c r="AH114" i="23"/>
  <c r="E105" i="23"/>
  <c r="G33" i="24"/>
  <c r="G97" i="24"/>
  <c r="E33" i="24"/>
  <c r="F82" i="31"/>
  <c r="F87" i="31"/>
  <c r="F88" i="31"/>
  <c r="F103" i="31"/>
  <c r="AX69" i="23"/>
  <c r="F58" i="22"/>
  <c r="F59" i="22"/>
  <c r="E58" i="22"/>
  <c r="AY116" i="23"/>
  <c r="I13" i="2"/>
  <c r="I14" i="2"/>
  <c r="AX94" i="23"/>
  <c r="AY51" i="23"/>
  <c r="K14" i="1"/>
  <c r="K15" i="1"/>
  <c r="AY48" i="23"/>
  <c r="S14" i="1"/>
  <c r="S15" i="1"/>
  <c r="D15" i="1"/>
  <c r="C12" i="7"/>
  <c r="AX86" i="23"/>
  <c r="AX78" i="23"/>
  <c r="F83" i="23"/>
  <c r="I13" i="22"/>
  <c r="G61" i="22"/>
  <c r="F61" i="22"/>
  <c r="N12" i="2"/>
  <c r="AX40" i="23"/>
  <c r="AX84" i="23"/>
  <c r="E107" i="22"/>
  <c r="H107" i="22"/>
  <c r="G107" i="22"/>
  <c r="G113" i="22"/>
  <c r="D39" i="22"/>
  <c r="I39" i="22"/>
  <c r="AY14" i="23"/>
  <c r="AM19" i="23"/>
  <c r="AM23" i="23"/>
  <c r="AM59" i="23"/>
  <c r="AM147" i="23"/>
  <c r="AX129" i="23"/>
  <c r="H52" i="22"/>
  <c r="F87" i="23"/>
  <c r="E59" i="22"/>
  <c r="H59" i="22"/>
  <c r="H58" i="22"/>
  <c r="H144" i="23"/>
  <c r="H148" i="23"/>
  <c r="H61" i="22"/>
  <c r="E97" i="24"/>
  <c r="J56" i="24"/>
  <c r="Q114" i="23"/>
  <c r="AO23" i="23"/>
  <c r="AO59" i="23"/>
  <c r="AO147" i="23"/>
  <c r="I58" i="6"/>
  <c r="I59" i="6"/>
  <c r="AC114" i="23"/>
  <c r="AC144" i="23"/>
  <c r="AC148" i="23"/>
  <c r="AY129" i="23"/>
  <c r="Y130" i="23"/>
  <c r="C16" i="35"/>
  <c r="I13" i="26"/>
  <c r="D26" i="29"/>
  <c r="C21" i="32"/>
  <c r="AO143" i="23"/>
  <c r="E36" i="31"/>
  <c r="F30" i="7"/>
  <c r="W23" i="23"/>
  <c r="W59" i="23"/>
  <c r="G30" i="7"/>
  <c r="M59" i="23"/>
  <c r="M147" i="23"/>
  <c r="AU23" i="23"/>
  <c r="AU59" i="23"/>
  <c r="AU147" i="23"/>
  <c r="AY15" i="23"/>
  <c r="AX13" i="23"/>
  <c r="F23" i="23"/>
  <c r="F59" i="23"/>
  <c r="F147" i="23"/>
  <c r="J100" i="31"/>
  <c r="E14" i="34"/>
  <c r="F14" i="34"/>
  <c r="K55" i="24"/>
  <c r="AB108" i="23"/>
  <c r="AB113" i="23"/>
  <c r="AB114" i="23"/>
  <c r="X108" i="23"/>
  <c r="X113" i="23"/>
  <c r="X114" i="23"/>
  <c r="X144" i="23"/>
  <c r="X148" i="23"/>
  <c r="R108" i="23"/>
  <c r="R113" i="23"/>
  <c r="R114" i="23"/>
  <c r="AV108" i="23"/>
  <c r="AV113" i="23"/>
  <c r="AV114" i="23"/>
  <c r="AV144" i="23"/>
  <c r="AV148" i="23"/>
  <c r="N108" i="23"/>
  <c r="N113" i="23"/>
  <c r="N114" i="23"/>
  <c r="N144" i="23"/>
  <c r="N148" i="23"/>
  <c r="L108" i="23"/>
  <c r="F108" i="23"/>
  <c r="F113" i="23"/>
  <c r="J114" i="23"/>
  <c r="AD148" i="23"/>
  <c r="H19" i="31"/>
  <c r="H24" i="31"/>
  <c r="H37" i="31"/>
  <c r="AF108" i="23"/>
  <c r="AF113" i="23"/>
  <c r="AF114" i="23"/>
  <c r="D79" i="31"/>
  <c r="J79" i="31"/>
  <c r="D68" i="31"/>
  <c r="D113" i="23"/>
  <c r="AU108" i="23"/>
  <c r="AU113" i="23"/>
  <c r="AU114" i="23"/>
  <c r="R144" i="23"/>
  <c r="R148" i="23"/>
  <c r="D23" i="23"/>
  <c r="J95" i="31"/>
  <c r="N11" i="2"/>
  <c r="D100" i="22"/>
  <c r="D105" i="22"/>
  <c r="E64" i="31"/>
  <c r="E65" i="31"/>
  <c r="D127" i="22"/>
  <c r="E18" i="31"/>
  <c r="F111" i="22"/>
  <c r="G87" i="23"/>
  <c r="E111" i="22"/>
  <c r="H111" i="22"/>
  <c r="H102" i="31"/>
  <c r="E113" i="22"/>
  <c r="D114" i="23"/>
  <c r="U77" i="23"/>
  <c r="U82" i="23"/>
  <c r="U144" i="23"/>
  <c r="U148" i="23"/>
  <c r="AM87" i="23"/>
  <c r="AM77" i="23"/>
  <c r="AM82" i="23"/>
  <c r="AR108" i="23"/>
  <c r="AX91" i="23"/>
  <c r="AR113" i="23"/>
  <c r="AR114" i="23"/>
  <c r="AR148" i="23"/>
  <c r="K89" i="24"/>
  <c r="K75" i="24"/>
  <c r="E83" i="24"/>
  <c r="K35" i="31"/>
  <c r="I12" i="1"/>
  <c r="K36" i="31"/>
  <c r="I95" i="31"/>
  <c r="E95" i="31"/>
  <c r="K95" i="31"/>
  <c r="G87" i="31"/>
  <c r="G88" i="31"/>
  <c r="G99" i="31"/>
  <c r="G103" i="31"/>
  <c r="G104" i="31"/>
  <c r="I72" i="31"/>
  <c r="E72" i="31"/>
  <c r="K68" i="31"/>
  <c r="G29" i="7"/>
  <c r="C18" i="13"/>
  <c r="J24" i="31"/>
  <c r="B12" i="1"/>
  <c r="X12" i="1"/>
  <c r="J32" i="24"/>
  <c r="H33" i="24"/>
  <c r="J31" i="24"/>
  <c r="H13" i="1"/>
  <c r="H15" i="1"/>
  <c r="J18" i="31"/>
  <c r="K64" i="31"/>
  <c r="O11" i="2"/>
  <c r="H97" i="24"/>
  <c r="J37" i="31"/>
  <c r="K77" i="31"/>
  <c r="E79" i="31"/>
  <c r="C20" i="13"/>
  <c r="C27" i="34"/>
  <c r="Q149" i="23"/>
  <c r="AY58" i="23"/>
  <c r="C15" i="34"/>
  <c r="C16" i="34"/>
  <c r="G33" i="7"/>
  <c r="C18" i="14"/>
  <c r="W147" i="23"/>
  <c r="D14" i="7"/>
  <c r="AY40" i="23"/>
  <c r="AG59" i="23"/>
  <c r="AG147" i="23"/>
  <c r="AY45" i="23"/>
  <c r="C14" i="1"/>
  <c r="AY19" i="23"/>
  <c r="AS23" i="23"/>
  <c r="AY135" i="23"/>
  <c r="AI124" i="23"/>
  <c r="AQ108" i="23"/>
  <c r="AQ113" i="23"/>
  <c r="AQ114" i="23"/>
  <c r="AQ144" i="23"/>
  <c r="AQ148" i="23"/>
  <c r="AQ149" i="23"/>
  <c r="G113" i="23"/>
  <c r="G114" i="23"/>
  <c r="G144" i="23"/>
  <c r="G148" i="23"/>
  <c r="AY69" i="23"/>
  <c r="AS113" i="23"/>
  <c r="AS114" i="23"/>
  <c r="AY83" i="23"/>
  <c r="AS77" i="23"/>
  <c r="AS82" i="23"/>
  <c r="AS144" i="23"/>
  <c r="AS148" i="23"/>
  <c r="AS149" i="23"/>
  <c r="AG108" i="23"/>
  <c r="AG113" i="23"/>
  <c r="AG114" i="23"/>
  <c r="AG144" i="23"/>
  <c r="AG148" i="23"/>
  <c r="AG149" i="23"/>
  <c r="Y144" i="23"/>
  <c r="Y148" i="23"/>
  <c r="Y149" i="23"/>
  <c r="AY134" i="23"/>
  <c r="U87" i="23"/>
  <c r="S108" i="23"/>
  <c r="S113" i="23"/>
  <c r="S114" i="23"/>
  <c r="AY91" i="23"/>
  <c r="AS59" i="23"/>
  <c r="AY124" i="23"/>
  <c r="K13" i="2"/>
  <c r="K14" i="2"/>
  <c r="G15" i="7"/>
  <c r="AI148" i="23"/>
  <c r="AY77" i="23"/>
  <c r="AS147" i="23"/>
  <c r="C15" i="13"/>
  <c r="O15" i="13"/>
  <c r="E15" i="13"/>
  <c r="N15" i="13"/>
  <c r="H15" i="13"/>
  <c r="L15" i="13"/>
  <c r="K15" i="13"/>
  <c r="J15" i="13"/>
  <c r="AX124" i="23"/>
  <c r="J13" i="2"/>
  <c r="J14" i="2"/>
  <c r="F15" i="7"/>
  <c r="K42" i="24"/>
  <c r="E50" i="24"/>
  <c r="D59" i="23"/>
  <c r="AX23" i="23"/>
  <c r="F14" i="1"/>
  <c r="F15" i="1"/>
  <c r="C13" i="7"/>
  <c r="F114" i="23"/>
  <c r="F144" i="23"/>
  <c r="F148" i="23"/>
  <c r="B15" i="1"/>
  <c r="C11" i="7"/>
  <c r="C17" i="7"/>
  <c r="G14" i="7"/>
  <c r="C16" i="13"/>
  <c r="C24" i="34"/>
  <c r="AH144" i="23"/>
  <c r="AH148" i="23"/>
  <c r="AH149" i="23"/>
  <c r="J144" i="23"/>
  <c r="J148" i="23"/>
  <c r="AB144" i="23"/>
  <c r="AB148" i="23"/>
  <c r="F104" i="31"/>
  <c r="J59" i="31"/>
  <c r="H109" i="22"/>
  <c r="F113" i="22"/>
  <c r="J149" i="23"/>
  <c r="G59" i="23"/>
  <c r="AY23" i="23"/>
  <c r="G14" i="1"/>
  <c r="G15" i="1"/>
  <c r="C13" i="26"/>
  <c r="E11" i="26"/>
  <c r="Q14" i="2"/>
  <c r="G28" i="7"/>
  <c r="O12" i="2"/>
  <c r="F78" i="24"/>
  <c r="F82" i="24"/>
  <c r="F83" i="24"/>
  <c r="F94" i="24"/>
  <c r="F98" i="24"/>
  <c r="F99" i="24"/>
  <c r="J75" i="24"/>
  <c r="D78" i="24"/>
  <c r="T108" i="23"/>
  <c r="T113" i="23"/>
  <c r="T114" i="23"/>
  <c r="T144" i="23"/>
  <c r="T148" i="23"/>
  <c r="AX15" i="23"/>
  <c r="AN19" i="23"/>
  <c r="AN23" i="23"/>
  <c r="AN59" i="23"/>
  <c r="AN147" i="23"/>
  <c r="AN149" i="23"/>
  <c r="AE149" i="23"/>
  <c r="AX22" i="23"/>
  <c r="AD23" i="23"/>
  <c r="AD59" i="23"/>
  <c r="AD147" i="23"/>
  <c r="AD149" i="23"/>
  <c r="AX122" i="23"/>
  <c r="AH124" i="23"/>
  <c r="E65" i="22"/>
  <c r="F65" i="22"/>
  <c r="D71" i="22"/>
  <c r="H64" i="31"/>
  <c r="H65" i="31"/>
  <c r="G65" i="22"/>
  <c r="G67" i="22"/>
  <c r="E67" i="22"/>
  <c r="F67" i="22"/>
  <c r="E69" i="22"/>
  <c r="F69" i="22"/>
  <c r="E99" i="22"/>
  <c r="G99" i="22"/>
  <c r="G100" i="22"/>
  <c r="G105" i="22"/>
  <c r="F99" i="22"/>
  <c r="F100" i="22"/>
  <c r="F105" i="22"/>
  <c r="F62" i="22"/>
  <c r="F63" i="22"/>
  <c r="F64" i="22"/>
  <c r="E62" i="22"/>
  <c r="D63" i="22"/>
  <c r="D64" i="22"/>
  <c r="D64" i="31"/>
  <c r="AJ149" i="23"/>
  <c r="I15" i="13"/>
  <c r="M15" i="13"/>
  <c r="G15" i="13"/>
  <c r="F15" i="13"/>
  <c r="D15" i="13"/>
  <c r="C25" i="34"/>
  <c r="K65" i="31"/>
  <c r="L113" i="23"/>
  <c r="L114" i="23"/>
  <c r="E64" i="22"/>
  <c r="C15" i="14"/>
  <c r="D29" i="7"/>
  <c r="C16" i="14"/>
  <c r="C14" i="34"/>
  <c r="E114" i="23"/>
  <c r="C17" i="14"/>
  <c r="D27" i="7"/>
  <c r="D31" i="7"/>
  <c r="E63" i="22"/>
  <c r="AC149" i="23"/>
  <c r="G62" i="22"/>
  <c r="G63" i="22"/>
  <c r="G64" i="22"/>
  <c r="G69" i="22"/>
  <c r="J102" i="31"/>
  <c r="P135" i="23"/>
  <c r="AX135" i="23"/>
  <c r="N13" i="2"/>
  <c r="N14" i="2"/>
  <c r="F27" i="7"/>
  <c r="F31" i="7"/>
  <c r="F32" i="7"/>
  <c r="F34" i="7"/>
  <c r="AX134" i="23"/>
  <c r="D50" i="24"/>
  <c r="J42" i="24"/>
  <c r="D55" i="24"/>
  <c r="C19" i="14"/>
  <c r="D30" i="7"/>
  <c r="O14" i="2"/>
  <c r="K72" i="31"/>
  <c r="I79" i="31"/>
  <c r="K79" i="31"/>
  <c r="H113" i="22"/>
  <c r="I82" i="31"/>
  <c r="I87" i="31"/>
  <c r="E19" i="31"/>
  <c r="K18" i="31"/>
  <c r="E24" i="31"/>
  <c r="F149" i="23"/>
  <c r="R149" i="23"/>
  <c r="J19" i="31"/>
  <c r="V105" i="23"/>
  <c r="AX98" i="23"/>
  <c r="M105" i="23"/>
  <c r="AY98" i="23"/>
  <c r="AA144" i="23"/>
  <c r="AA148" i="23"/>
  <c r="S144" i="23"/>
  <c r="S148" i="23"/>
  <c r="O144" i="23"/>
  <c r="O148" i="23"/>
  <c r="AY82" i="23"/>
  <c r="C13" i="2"/>
  <c r="D144" i="23"/>
  <c r="L144" i="23"/>
  <c r="L148" i="23"/>
  <c r="L149" i="23"/>
  <c r="AL59" i="23"/>
  <c r="AL147" i="23"/>
  <c r="AF59" i="23"/>
  <c r="AF147" i="23"/>
  <c r="AB59" i="23"/>
  <c r="AB147" i="23"/>
  <c r="AB149" i="23"/>
  <c r="X59" i="23"/>
  <c r="X147" i="23"/>
  <c r="X149" i="23"/>
  <c r="D61" i="31"/>
  <c r="J61" i="31"/>
  <c r="J50" i="31"/>
  <c r="D54" i="31"/>
  <c r="AF83" i="23"/>
  <c r="AF77" i="23"/>
  <c r="E59" i="31"/>
  <c r="E62" i="31"/>
  <c r="K62" i="31"/>
  <c r="E11" i="2"/>
  <c r="E14" i="2"/>
  <c r="I59" i="31"/>
  <c r="I62" i="31"/>
  <c r="I46" i="31"/>
  <c r="I54" i="31"/>
  <c r="I58" i="31"/>
  <c r="E46" i="31"/>
  <c r="E54" i="31"/>
  <c r="AR149" i="23"/>
  <c r="AL108" i="23"/>
  <c r="AL113" i="23"/>
  <c r="AL114" i="23"/>
  <c r="AL144" i="23"/>
  <c r="AL148" i="23"/>
  <c r="AY34" i="23"/>
  <c r="E14" i="1"/>
  <c r="E15" i="1"/>
  <c r="AV59" i="23"/>
  <c r="AV147" i="23"/>
  <c r="AV149" i="23"/>
  <c r="O59" i="23"/>
  <c r="O147" i="23"/>
  <c r="O149" i="23"/>
  <c r="I83" i="24"/>
  <c r="I94" i="24"/>
  <c r="I98" i="24"/>
  <c r="D33" i="24"/>
  <c r="J20" i="24"/>
  <c r="B13" i="1"/>
  <c r="X13" i="1"/>
  <c r="J57" i="31"/>
  <c r="J32" i="31"/>
  <c r="T59" i="23"/>
  <c r="T147" i="23"/>
  <c r="T149" i="23"/>
  <c r="AP149" i="23"/>
  <c r="H58" i="31"/>
  <c r="G22" i="30"/>
  <c r="G24" i="30"/>
  <c r="H24" i="30"/>
  <c r="AO108" i="23"/>
  <c r="AO113" i="23"/>
  <c r="AO114" i="23"/>
  <c r="AO144" i="23"/>
  <c r="AO148" i="23"/>
  <c r="AO149" i="23"/>
  <c r="AM108" i="23"/>
  <c r="AM113" i="23"/>
  <c r="AM114" i="23"/>
  <c r="W108" i="23"/>
  <c r="W113" i="23"/>
  <c r="W114" i="23"/>
  <c r="W144" i="23"/>
  <c r="W148" i="23"/>
  <c r="W149" i="23"/>
  <c r="K114" i="23"/>
  <c r="I108" i="23"/>
  <c r="AU82" i="23"/>
  <c r="AU144" i="23"/>
  <c r="AU148" i="23"/>
  <c r="AU149" i="23"/>
  <c r="AA59" i="23"/>
  <c r="AA147" i="23"/>
  <c r="AA149" i="23"/>
  <c r="S59" i="23"/>
  <c r="S147" i="23"/>
  <c r="N59" i="23"/>
  <c r="N147" i="23"/>
  <c r="N149" i="23"/>
  <c r="K59" i="23"/>
  <c r="K147" i="23"/>
  <c r="H59" i="23"/>
  <c r="H147" i="23"/>
  <c r="H149" i="23"/>
  <c r="H94" i="24"/>
  <c r="H98" i="24"/>
  <c r="H99" i="24"/>
  <c r="J26" i="31"/>
  <c r="U59" i="23"/>
  <c r="U147" i="23"/>
  <c r="U149" i="23"/>
  <c r="P59" i="23"/>
  <c r="P147" i="23"/>
  <c r="P108" i="23"/>
  <c r="P113" i="23"/>
  <c r="P114" i="23"/>
  <c r="K15" i="31"/>
  <c r="I19" i="31"/>
  <c r="I24" i="31"/>
  <c r="I37" i="31"/>
  <c r="I102" i="31"/>
  <c r="AK149" i="23"/>
  <c r="K130" i="23"/>
  <c r="AY130" i="23"/>
  <c r="O13" i="2"/>
  <c r="AY126" i="23"/>
  <c r="AX58" i="23"/>
  <c r="AW59" i="23"/>
  <c r="AW147" i="23"/>
  <c r="AW149" i="23"/>
  <c r="G78" i="24"/>
  <c r="J58" i="6"/>
  <c r="J59" i="6"/>
  <c r="E26" i="29"/>
  <c r="P149" i="23"/>
  <c r="I113" i="23"/>
  <c r="AY108" i="23"/>
  <c r="D97" i="24"/>
  <c r="J33" i="24"/>
  <c r="D12" i="7"/>
  <c r="C12" i="34"/>
  <c r="D12" i="34"/>
  <c r="E12" i="34"/>
  <c r="F12" i="34"/>
  <c r="C12" i="14"/>
  <c r="G12" i="7"/>
  <c r="C22" i="34"/>
  <c r="D22" i="34"/>
  <c r="E22" i="34"/>
  <c r="F22" i="34"/>
  <c r="C13" i="13"/>
  <c r="AF87" i="23"/>
  <c r="AX87" i="23"/>
  <c r="D13" i="2"/>
  <c r="AX83" i="23"/>
  <c r="M108" i="23"/>
  <c r="M113" i="23"/>
  <c r="M114" i="23"/>
  <c r="M144" i="23"/>
  <c r="M148" i="23"/>
  <c r="M149" i="23"/>
  <c r="V108" i="23"/>
  <c r="V113" i="23"/>
  <c r="V114" i="23"/>
  <c r="V144" i="23"/>
  <c r="V148" i="23"/>
  <c r="V149" i="23"/>
  <c r="G27" i="7"/>
  <c r="G31" i="7"/>
  <c r="C26" i="34"/>
  <c r="C17" i="13"/>
  <c r="Y14" i="1"/>
  <c r="J55" i="24"/>
  <c r="D58" i="24"/>
  <c r="J58" i="24"/>
  <c r="D12" i="2"/>
  <c r="J50" i="24"/>
  <c r="D54" i="24"/>
  <c r="G32" i="7"/>
  <c r="G34" i="7"/>
  <c r="AY105" i="23"/>
  <c r="H64" i="22"/>
  <c r="D82" i="31"/>
  <c r="J64" i="31"/>
  <c r="D65" i="31"/>
  <c r="H65" i="22"/>
  <c r="E71" i="22"/>
  <c r="D13" i="7"/>
  <c r="C13" i="14"/>
  <c r="C13" i="34"/>
  <c r="D13" i="34"/>
  <c r="E13" i="34"/>
  <c r="F13" i="34"/>
  <c r="AX113" i="23"/>
  <c r="K50" i="24"/>
  <c r="E54" i="24"/>
  <c r="G82" i="24"/>
  <c r="K78" i="24"/>
  <c r="P144" i="23"/>
  <c r="P148" i="23"/>
  <c r="S149" i="23"/>
  <c r="K144" i="23"/>
  <c r="K148" i="23"/>
  <c r="K149" i="23"/>
  <c r="K54" i="31"/>
  <c r="E58" i="31"/>
  <c r="AF82" i="23"/>
  <c r="AX77" i="23"/>
  <c r="D58" i="31"/>
  <c r="J54" i="31"/>
  <c r="AL149" i="23"/>
  <c r="D148" i="23"/>
  <c r="K24" i="31"/>
  <c r="C12" i="1"/>
  <c r="E37" i="31"/>
  <c r="K19" i="31"/>
  <c r="AM142" i="23"/>
  <c r="H63" i="22"/>
  <c r="E144" i="23"/>
  <c r="H16" i="14"/>
  <c r="G16" i="14"/>
  <c r="K16" i="14"/>
  <c r="F16" i="14"/>
  <c r="E16" i="14"/>
  <c r="J16" i="14"/>
  <c r="I16" i="14"/>
  <c r="L16" i="14"/>
  <c r="D16" i="14"/>
  <c r="M16" i="14"/>
  <c r="O16" i="14"/>
  <c r="N16" i="14"/>
  <c r="AX108" i="23"/>
  <c r="I88" i="31"/>
  <c r="I99" i="31"/>
  <c r="I103" i="31"/>
  <c r="I104" i="31"/>
  <c r="H62" i="22"/>
  <c r="E100" i="22"/>
  <c r="H99" i="22"/>
  <c r="H69" i="22"/>
  <c r="H67" i="22"/>
  <c r="G71" i="22"/>
  <c r="F71" i="22"/>
  <c r="X14" i="1"/>
  <c r="X15" i="1"/>
  <c r="AX105" i="23"/>
  <c r="J78" i="24"/>
  <c r="D82" i="24"/>
  <c r="F11" i="26"/>
  <c r="E13" i="26"/>
  <c r="F13" i="26"/>
  <c r="AX19" i="23"/>
  <c r="G147" i="23"/>
  <c r="AY59" i="23"/>
  <c r="D62" i="31"/>
  <c r="J62" i="31"/>
  <c r="D11" i="2"/>
  <c r="D14" i="2"/>
  <c r="F12" i="7"/>
  <c r="D147" i="23"/>
  <c r="AX59" i="23"/>
  <c r="G149" i="23"/>
  <c r="AY147" i="23"/>
  <c r="J82" i="24"/>
  <c r="D83" i="24"/>
  <c r="J83" i="24"/>
  <c r="F12" i="2"/>
  <c r="E148" i="23"/>
  <c r="I31" i="24"/>
  <c r="AY142" i="23"/>
  <c r="W13" i="2"/>
  <c r="W14" i="2"/>
  <c r="C19" i="13"/>
  <c r="AM143" i="23"/>
  <c r="K37" i="31"/>
  <c r="E102" i="31"/>
  <c r="J58" i="31"/>
  <c r="B11" i="2"/>
  <c r="AF144" i="23"/>
  <c r="AX82" i="23"/>
  <c r="B13" i="2"/>
  <c r="K82" i="24"/>
  <c r="G83" i="24"/>
  <c r="G13" i="14"/>
  <c r="F13" i="14"/>
  <c r="M13" i="14"/>
  <c r="J13" i="14"/>
  <c r="L13" i="14"/>
  <c r="I13" i="14"/>
  <c r="O13" i="14"/>
  <c r="N13" i="14"/>
  <c r="D13" i="14"/>
  <c r="K13" i="14"/>
  <c r="E13" i="14"/>
  <c r="H13" i="14"/>
  <c r="H71" i="22"/>
  <c r="H82" i="31"/>
  <c r="H87" i="31"/>
  <c r="H88" i="31"/>
  <c r="H99" i="31"/>
  <c r="H103" i="31"/>
  <c r="H104" i="31"/>
  <c r="J54" i="24"/>
  <c r="B12" i="2"/>
  <c r="D94" i="24"/>
  <c r="D13" i="13"/>
  <c r="M13" i="13"/>
  <c r="G13" i="13"/>
  <c r="O13" i="13"/>
  <c r="H13" i="13"/>
  <c r="N13" i="13"/>
  <c r="J13" i="13"/>
  <c r="F13" i="13"/>
  <c r="L13" i="13"/>
  <c r="K13" i="13"/>
  <c r="E13" i="13"/>
  <c r="I13" i="13"/>
  <c r="J97" i="24"/>
  <c r="D149" i="23"/>
  <c r="AX147" i="23"/>
  <c r="E105" i="22"/>
  <c r="H105" i="22"/>
  <c r="E82" i="31"/>
  <c r="H100" i="22"/>
  <c r="C15" i="1"/>
  <c r="Y12" i="1"/>
  <c r="K58" i="31"/>
  <c r="C11" i="2"/>
  <c r="E94" i="24"/>
  <c r="K54" i="24"/>
  <c r="C12" i="2"/>
  <c r="J65" i="31"/>
  <c r="J82" i="31"/>
  <c r="D87" i="31"/>
  <c r="I114" i="23"/>
  <c r="AY113" i="23"/>
  <c r="AX114" i="23"/>
  <c r="F13" i="2"/>
  <c r="C14" i="2"/>
  <c r="D98" i="24"/>
  <c r="J94" i="24"/>
  <c r="E98" i="24"/>
  <c r="AF148" i="23"/>
  <c r="AX144" i="23"/>
  <c r="K19" i="13"/>
  <c r="I19" i="13"/>
  <c r="G19" i="13"/>
  <c r="H19" i="13"/>
  <c r="O19" i="13"/>
  <c r="D19" i="13"/>
  <c r="L19" i="13"/>
  <c r="E19" i="13"/>
  <c r="J19" i="13"/>
  <c r="F19" i="13"/>
  <c r="M19" i="13"/>
  <c r="N19" i="13"/>
  <c r="I144" i="23"/>
  <c r="AY114" i="23"/>
  <c r="G13" i="2"/>
  <c r="Y13" i="2"/>
  <c r="J87" i="31"/>
  <c r="D88" i="31"/>
  <c r="C11" i="14"/>
  <c r="D11" i="7"/>
  <c r="D17" i="7"/>
  <c r="C11" i="34"/>
  <c r="K82" i="31"/>
  <c r="E87" i="31"/>
  <c r="X12" i="2"/>
  <c r="K83" i="24"/>
  <c r="G12" i="2"/>
  <c r="Y12" i="2"/>
  <c r="G94" i="24"/>
  <c r="G98" i="24"/>
  <c r="G99" i="24"/>
  <c r="X13" i="2"/>
  <c r="B14" i="2"/>
  <c r="F11" i="7"/>
  <c r="K102" i="31"/>
  <c r="AY143" i="23"/>
  <c r="AM144" i="23"/>
  <c r="AM148" i="23"/>
  <c r="AM149" i="23"/>
  <c r="K31" i="24"/>
  <c r="I13" i="1"/>
  <c r="I32" i="24"/>
  <c r="E149" i="23"/>
  <c r="K32" i="24"/>
  <c r="I33" i="24"/>
  <c r="D11" i="34"/>
  <c r="K11" i="14"/>
  <c r="H11" i="14"/>
  <c r="F11" i="14"/>
  <c r="M11" i="14"/>
  <c r="L11" i="14"/>
  <c r="J11" i="14"/>
  <c r="D11" i="14"/>
  <c r="N11" i="14"/>
  <c r="O11" i="14"/>
  <c r="G11" i="14"/>
  <c r="E11" i="14"/>
  <c r="I11" i="14"/>
  <c r="J88" i="31"/>
  <c r="F11" i="2"/>
  <c r="D99" i="31"/>
  <c r="K94" i="24"/>
  <c r="C21" i="34"/>
  <c r="C12" i="13"/>
  <c r="G11" i="7"/>
  <c r="Y13" i="1"/>
  <c r="I15" i="1"/>
  <c r="K87" i="31"/>
  <c r="E88" i="31"/>
  <c r="I148" i="23"/>
  <c r="AY144" i="23"/>
  <c r="AF149" i="23"/>
  <c r="AX149" i="23"/>
  <c r="AX148" i="23"/>
  <c r="E12" i="10"/>
  <c r="I12" i="10"/>
  <c r="E99" i="24"/>
  <c r="K98" i="24"/>
  <c r="F11" i="10"/>
  <c r="J11" i="10"/>
  <c r="J98" i="24"/>
  <c r="E11" i="10"/>
  <c r="I11" i="10"/>
  <c r="D99" i="24"/>
  <c r="J99" i="24"/>
  <c r="D21" i="34"/>
  <c r="J99" i="31"/>
  <c r="E10" i="10"/>
  <c r="D103" i="31"/>
  <c r="E11" i="34"/>
  <c r="D18" i="34"/>
  <c r="I97" i="24"/>
  <c r="K33" i="24"/>
  <c r="I149" i="23"/>
  <c r="AY149" i="23"/>
  <c r="AY148" i="23"/>
  <c r="F12" i="10"/>
  <c r="J12" i="10"/>
  <c r="K88" i="31"/>
  <c r="G11" i="2"/>
  <c r="E99" i="31"/>
  <c r="C14" i="14"/>
  <c r="Y15" i="1"/>
  <c r="K12" i="13"/>
  <c r="G12" i="13"/>
  <c r="E12" i="13"/>
  <c r="D12" i="13"/>
  <c r="L12" i="13"/>
  <c r="J12" i="13"/>
  <c r="N12" i="13"/>
  <c r="I12" i="13"/>
  <c r="M12" i="13"/>
  <c r="O12" i="13"/>
  <c r="H12" i="13"/>
  <c r="F12" i="13"/>
  <c r="F14" i="2"/>
  <c r="F13" i="7"/>
  <c r="F17" i="7"/>
  <c r="F18" i="7"/>
  <c r="F20" i="7"/>
  <c r="F35" i="7"/>
  <c r="F36" i="7"/>
  <c r="X11" i="2"/>
  <c r="X14" i="2"/>
  <c r="E103" i="31"/>
  <c r="K99" i="31"/>
  <c r="F10" i="10"/>
  <c r="I99" i="24"/>
  <c r="K99" i="24"/>
  <c r="K97" i="24"/>
  <c r="F11" i="34"/>
  <c r="F18" i="34"/>
  <c r="E18" i="34"/>
  <c r="I10" i="10"/>
  <c r="I13" i="10"/>
  <c r="E13" i="10"/>
  <c r="E21" i="34"/>
  <c r="M14" i="14"/>
  <c r="M20" i="14"/>
  <c r="O14" i="14"/>
  <c r="O20" i="14"/>
  <c r="G14" i="14"/>
  <c r="G20" i="14"/>
  <c r="I14" i="14"/>
  <c r="I20" i="14"/>
  <c r="H14" i="14"/>
  <c r="H20" i="14"/>
  <c r="J14" i="14"/>
  <c r="J20" i="14"/>
  <c r="D14" i="14"/>
  <c r="D20" i="14"/>
  <c r="L14" i="14"/>
  <c r="L20" i="14"/>
  <c r="E14" i="14"/>
  <c r="E20" i="14"/>
  <c r="K14" i="14"/>
  <c r="K20" i="14"/>
  <c r="N14" i="14"/>
  <c r="N20" i="14"/>
  <c r="F14" i="14"/>
  <c r="F20" i="14"/>
  <c r="C20" i="14"/>
  <c r="G14" i="2"/>
  <c r="Y11" i="2"/>
  <c r="Y14" i="2"/>
  <c r="J103" i="31"/>
  <c r="D104" i="31"/>
  <c r="J104" i="31"/>
  <c r="G13" i="7"/>
  <c r="G17" i="7"/>
  <c r="G18" i="7"/>
  <c r="G20" i="7"/>
  <c r="G35" i="7"/>
  <c r="G36" i="7"/>
  <c r="C14" i="13"/>
  <c r="C23" i="34"/>
  <c r="J10" i="10"/>
  <c r="J13" i="10"/>
  <c r="F13" i="10"/>
  <c r="F21" i="34"/>
  <c r="K103" i="31"/>
  <c r="E104" i="31"/>
  <c r="K104" i="31"/>
  <c r="F14" i="13"/>
  <c r="F21" i="13"/>
  <c r="K14" i="13"/>
  <c r="K21" i="13"/>
  <c r="N14" i="13"/>
  <c r="N21" i="13"/>
  <c r="E14" i="13"/>
  <c r="E21" i="13"/>
  <c r="L14" i="13"/>
  <c r="L21" i="13"/>
  <c r="G14" i="13"/>
  <c r="G21" i="13"/>
  <c r="D14" i="13"/>
  <c r="D21" i="13"/>
  <c r="I14" i="13"/>
  <c r="I21" i="13"/>
  <c r="H14" i="13"/>
  <c r="H21" i="13"/>
  <c r="O14" i="13"/>
  <c r="O21" i="13"/>
  <c r="M14" i="13"/>
  <c r="M21" i="13"/>
  <c r="J14" i="13"/>
  <c r="J21" i="13"/>
  <c r="C21" i="13"/>
  <c r="C28" i="34"/>
  <c r="D28" i="34"/>
  <c r="F28" i="34"/>
  <c r="E28" i="34"/>
</calcChain>
</file>

<file path=xl/comments1.xml><?xml version="1.0" encoding="utf-8"?>
<comments xmlns="http://schemas.openxmlformats.org/spreadsheetml/2006/main">
  <authors>
    <author>Zsuzsi</author>
    <author>Windows-felhasználó</author>
    <author>Rendszergazda</author>
  </authors>
  <commentList>
    <comment ref="H36" authorId="0" shapeId="0">
      <text>
        <r>
          <rPr>
            <b/>
            <sz val="8"/>
            <color indexed="81"/>
            <rFont val="Tahoma"/>
            <family val="2"/>
            <charset val="238"/>
          </rPr>
          <t>Zsuzsi:</t>
        </r>
        <r>
          <rPr>
            <sz val="8"/>
            <color indexed="81"/>
            <rFont val="Tahoma"/>
            <family val="2"/>
            <charset val="238"/>
          </rPr>
          <t xml:space="preserve">
temető használati díj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  <charset val="238"/>
          </rPr>
          <t>Zsuzsi:</t>
        </r>
        <r>
          <rPr>
            <sz val="8"/>
            <color indexed="81"/>
            <rFont val="Tahoma"/>
            <family val="2"/>
            <charset val="238"/>
          </rPr>
          <t xml:space="preserve">
sírhely megváltás</t>
        </r>
      </text>
    </comment>
    <comment ref="W69" authorId="1" shapeId="0">
      <text>
        <r>
          <rPr>
            <sz val="9"/>
            <color indexed="81"/>
            <rFont val="Tahoma"/>
            <family val="2"/>
            <charset val="238"/>
          </rPr>
          <t>diákmunka</t>
        </r>
      </text>
    </comment>
    <comment ref="P104" authorId="1" shapeId="0">
      <text>
        <r>
          <rPr>
            <sz val="9"/>
            <color indexed="81"/>
            <rFont val="Tahoma"/>
            <family val="2"/>
            <charset val="238"/>
          </rPr>
          <t>projektmenedzsment</t>
        </r>
      </text>
    </comment>
    <comment ref="F120" authorId="2" shapeId="0">
      <text>
        <r>
          <rPr>
            <b/>
            <sz val="9"/>
            <color indexed="81"/>
            <rFont val="Tahoma"/>
            <family val="2"/>
            <charset val="238"/>
          </rPr>
          <t>Rendszergazda:</t>
        </r>
        <r>
          <rPr>
            <sz val="9"/>
            <color indexed="81"/>
            <rFont val="Tahoma"/>
            <family val="2"/>
            <charset val="238"/>
          </rPr>
          <t xml:space="preserve">
belső ellenőr + kistérségi tagdíj</t>
        </r>
      </text>
    </comment>
    <comment ref="W136" authorId="1" shapeId="0">
      <text>
        <r>
          <rPr>
            <sz val="9"/>
            <color indexed="81"/>
            <rFont val="Tahoma"/>
            <family val="2"/>
            <charset val="238"/>
          </rPr>
          <t>Tótszerdahely projekt önrész finanszírozás</t>
        </r>
      </text>
    </comment>
    <comment ref="AV141" authorId="0" shapeId="0">
      <text>
        <r>
          <rPr>
            <b/>
            <sz val="8"/>
            <color indexed="81"/>
            <rFont val="Tahoma"/>
            <family val="2"/>
            <charset val="238"/>
          </rPr>
          <t>Zsuzsi:</t>
        </r>
        <r>
          <rPr>
            <sz val="8"/>
            <color indexed="81"/>
            <rFont val="Tahoma"/>
            <family val="2"/>
            <charset val="238"/>
          </rPr>
          <t xml:space="preserve">
0. havi állami finansz. nettósítása
</t>
        </r>
      </text>
    </comment>
  </commentList>
</comments>
</file>

<file path=xl/sharedStrings.xml><?xml version="1.0" encoding="utf-8"?>
<sst xmlns="http://schemas.openxmlformats.org/spreadsheetml/2006/main" count="2232" uniqueCount="806">
  <si>
    <t>1.</t>
  </si>
  <si>
    <t>Megnevezés</t>
  </si>
  <si>
    <t>Működési bevételek</t>
  </si>
  <si>
    <t>Felhalmozási bevételek</t>
  </si>
  <si>
    <t>Belső finanszírozás</t>
  </si>
  <si>
    <t>Bevételek összesen</t>
  </si>
  <si>
    <t>2.</t>
  </si>
  <si>
    <t>Intézményi működési bevételek</t>
  </si>
  <si>
    <t>Közhatalmi bevételek</t>
  </si>
  <si>
    <t>Kapott támogatás</t>
  </si>
  <si>
    <t>Működési célú átvett pénzeszköz</t>
  </si>
  <si>
    <t>Pénzmaradvány igénybe vétele működési célú</t>
  </si>
  <si>
    <t>Felhalmozási célú átvett pénzeszköz</t>
  </si>
  <si>
    <t>Felhalmozási és tőkejellegű bevételek</t>
  </si>
  <si>
    <t>3.</t>
  </si>
  <si>
    <t>Államtól</t>
  </si>
  <si>
    <t>Irányító szervtől</t>
  </si>
  <si>
    <t>4.</t>
  </si>
  <si>
    <t>8.</t>
  </si>
  <si>
    <t>9.</t>
  </si>
  <si>
    <t>10.</t>
  </si>
  <si>
    <t>11.</t>
  </si>
  <si>
    <t>13.</t>
  </si>
  <si>
    <t xml:space="preserve">Önkormányzat </t>
  </si>
  <si>
    <t>14.</t>
  </si>
  <si>
    <t>Működési kiadások</t>
  </si>
  <si>
    <t>Felhalmozási kiadások</t>
  </si>
  <si>
    <t>Kiadások összesen</t>
  </si>
  <si>
    <t>Személyi juttatások</t>
  </si>
  <si>
    <t>Dologi és egyéb folyó kiadások</t>
  </si>
  <si>
    <t>Beruházások, felújítások</t>
  </si>
  <si>
    <t>7.</t>
  </si>
  <si>
    <t>12.</t>
  </si>
  <si>
    <t>Kiemelt előirányzat</t>
  </si>
  <si>
    <t>5.</t>
  </si>
  <si>
    <t>Munkaadókat terhelő járulékok</t>
  </si>
  <si>
    <t>6.</t>
  </si>
  <si>
    <t>Működési kiadások összesen</t>
  </si>
  <si>
    <t>Működési költségvetés egyenlege (Bevétel-Kiadás)</t>
  </si>
  <si>
    <t>Működési célú pénzmaradvány igénybevétel a hiány belső finanszírozására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</si>
  <si>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</si>
  <si>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</si>
  <si>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</si>
  <si>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</si>
  <si>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</si>
  <si>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</si>
  <si>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</si>
  <si>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</si>
  <si>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</si>
  <si>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Fehalmozási bevételek összesen</t>
  </si>
  <si>
    <t>Felhalmozási kiadások összesen</t>
  </si>
  <si>
    <t>24.</t>
  </si>
  <si>
    <t>Felhalmozási költségvetés egyenlege (Bevétel-Kiadás)</t>
  </si>
  <si>
    <t>25.</t>
  </si>
  <si>
    <t>Fejlesztési célú pénzmaradvány igénybevétel a hiány belső finanszírozására</t>
  </si>
  <si>
    <t>26.</t>
  </si>
  <si>
    <t>II. Felhalmozási költségvetés egyenlege (Bevétel-Kiadás)</t>
  </si>
  <si>
    <t>27.</t>
  </si>
  <si>
    <t>28.</t>
  </si>
  <si>
    <t>29.</t>
  </si>
  <si>
    <t>30.</t>
  </si>
  <si>
    <t>feladatonkénti bontásban</t>
  </si>
  <si>
    <t>I.</t>
  </si>
  <si>
    <t>II.</t>
  </si>
  <si>
    <t>Önkormányzat:</t>
  </si>
  <si>
    <t>III.</t>
  </si>
  <si>
    <t>31.</t>
  </si>
  <si>
    <t>Önkormányzat</t>
  </si>
  <si>
    <t>1. melléklet a ……/(….) önkormányzati rendelethez</t>
  </si>
  <si>
    <t>Pénzeszközátadások és Egyéb működési célú kiadások</t>
  </si>
  <si>
    <t>Egyéb felhalmozási célú kiadások</t>
  </si>
  <si>
    <t>VI. Költségvetési egyenleg (II. + III.)</t>
  </si>
  <si>
    <t>Talajterhelési díj</t>
  </si>
  <si>
    <t>Saját  forrásból megvalósuló beruházások, fejlújítások összesen:</t>
  </si>
  <si>
    <t xml:space="preserve">IV. </t>
  </si>
  <si>
    <t>Kisértékű tárgyi eszközök  - egyéb beruházások</t>
  </si>
  <si>
    <t>Kisértékű tárgyi eszközök összesen:</t>
  </si>
  <si>
    <t xml:space="preserve">Egyéb felhalmozási célú kiadások 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</si>
  <si>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</si>
  <si>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</si>
  <si>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</si>
  <si>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</si>
  <si>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</si>
  <si>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</si>
  <si>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</si>
  <si>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</si>
  <si>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</si>
  <si>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</si>
  <si>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</si>
  <si>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45.</t>
  </si>
  <si>
    <t>46.</t>
  </si>
  <si>
    <t>47.</t>
  </si>
  <si>
    <t>48.</t>
  </si>
  <si>
    <t>Az önkormányzat feladatai</t>
  </si>
  <si>
    <t>Kötelező</t>
  </si>
  <si>
    <t>Önként vállalt</t>
  </si>
  <si>
    <t xml:space="preserve">Mindösszesen </t>
  </si>
  <si>
    <t>Magánszemélyek kommunális adója</t>
  </si>
  <si>
    <t>Összesen:</t>
  </si>
  <si>
    <t>TÁJÉKOZTATÓ</t>
  </si>
  <si>
    <t>Adósságot keletkeztető ügyletek finanszírozásának középtávú terve</t>
  </si>
  <si>
    <t>BEVÉTELEK</t>
  </si>
  <si>
    <t>Bevételek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</si>
  <si>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</si>
  <si>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</si>
  <si>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</si>
  <si>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</si>
  <si>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</si>
  <si>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</si>
  <si>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</si>
  <si>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</si>
  <si>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</si>
  <si>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</si>
  <si>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</si>
  <si>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</si>
  <si>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Önkormányzat költségvetési támogatása</t>
  </si>
  <si>
    <t>Előző évi pénzmaradvány</t>
  </si>
  <si>
    <t>Bevételek összesen:</t>
  </si>
  <si>
    <t>KIADÁSOK</t>
  </si>
  <si>
    <t>Kiadások</t>
  </si>
  <si>
    <t>Munkaadót terhelő járulékok</t>
  </si>
  <si>
    <t>Egyéb működési célú kiadások</t>
  </si>
  <si>
    <t>Felhalmozási kiadások, támogatások</t>
  </si>
  <si>
    <t>Tartalékok</t>
  </si>
  <si>
    <t>Kiadások összesen:</t>
  </si>
  <si>
    <t>Dologi kiadások</t>
  </si>
  <si>
    <t>Ellátottak pénzbeli jutatása</t>
  </si>
  <si>
    <t>Egyéb működési célú kiadáok</t>
  </si>
  <si>
    <t>4. melléklet az …./….. (…..) önkormányzati rendelethez</t>
  </si>
  <si>
    <t>Működési célú támogatások és átvett pénzeszközök</t>
  </si>
  <si>
    <t>Felhalmozási célú  támogatások és egyéb átvett pénzeszközök</t>
  </si>
  <si>
    <t>Ellátoittak pénzbeli juttatásai</t>
  </si>
  <si>
    <t>Dologi  kiadások</t>
  </si>
  <si>
    <t>3. melléklet az .../….. (…...) önkormányzati rendelethez</t>
  </si>
  <si>
    <t>Működési bevételek összesen</t>
  </si>
  <si>
    <t>43.</t>
  </si>
  <si>
    <t>44.</t>
  </si>
  <si>
    <t>49.</t>
  </si>
  <si>
    <t>50.</t>
  </si>
  <si>
    <t>51.</t>
  </si>
  <si>
    <t>52.</t>
  </si>
  <si>
    <t xml:space="preserve">                                                               </t>
  </si>
  <si>
    <t xml:space="preserve">        </t>
  </si>
  <si>
    <t xml:space="preserve">           </t>
  </si>
  <si>
    <t xml:space="preserve">                   </t>
  </si>
  <si>
    <t>Személyi jellegű kiadások</t>
  </si>
  <si>
    <t xml:space="preserve">                 </t>
  </si>
  <si>
    <t xml:space="preserve"> </t>
  </si>
  <si>
    <t xml:space="preserve">         </t>
  </si>
  <si>
    <t>bevételei és kiadásai alakulásának középtávú terve</t>
  </si>
  <si>
    <t>Ellátottak pénzbeli juttatása</t>
  </si>
  <si>
    <t>2. melléklet a…/…(..) önkormányzati rendelethez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</si>
  <si>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</si>
  <si>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</si>
  <si>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</si>
  <si>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</si>
  <si>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</si>
  <si>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</si>
  <si>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</si>
  <si>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</si>
  <si>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</si>
  <si>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</si>
  <si>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</si>
  <si>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</si>
  <si>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</si>
  <si>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Óvoda</t>
  </si>
  <si>
    <t>Munkaadókat terhelő járulékok és szociális hozzájárulási adó</t>
  </si>
  <si>
    <t>Költségvetési bevételek:</t>
  </si>
  <si>
    <t>096015</t>
  </si>
  <si>
    <t>011130</t>
  </si>
  <si>
    <t>013320</t>
  </si>
  <si>
    <t>013350</t>
  </si>
  <si>
    <t>045160</t>
  </si>
  <si>
    <t>064010</t>
  </si>
  <si>
    <t>066020</t>
  </si>
  <si>
    <t>072111</t>
  </si>
  <si>
    <t>072112</t>
  </si>
  <si>
    <t>072312</t>
  </si>
  <si>
    <t>084031</t>
  </si>
  <si>
    <t>091110</t>
  </si>
  <si>
    <t>107060</t>
  </si>
  <si>
    <t>018010</t>
  </si>
  <si>
    <t>018030</t>
  </si>
  <si>
    <t>Kormányzati funkció</t>
  </si>
  <si>
    <t>Gyermekétkeztetés</t>
  </si>
  <si>
    <t>KONYHA</t>
  </si>
  <si>
    <t xml:space="preserve">Igazgatási </t>
  </si>
  <si>
    <t>Köztemető</t>
  </si>
  <si>
    <t>Vagyongazdálkodási</t>
  </si>
  <si>
    <t>Hosszabb</t>
  </si>
  <si>
    <t>Közutak, hidak</t>
  </si>
  <si>
    <t>Közvilágítás</t>
  </si>
  <si>
    <t>Község</t>
  </si>
  <si>
    <t>Háziorvosi</t>
  </si>
  <si>
    <t>Fogorvosi</t>
  </si>
  <si>
    <t>Közművelődés</t>
  </si>
  <si>
    <t>Civil szerv.</t>
  </si>
  <si>
    <t xml:space="preserve">Óvodai </t>
  </si>
  <si>
    <t>Egyéb szociális</t>
  </si>
  <si>
    <t>Elszámolás</t>
  </si>
  <si>
    <t>Támogatási célú</t>
  </si>
  <si>
    <t>közokt. intézmény</t>
  </si>
  <si>
    <t>összesen</t>
  </si>
  <si>
    <t>tevékenység</t>
  </si>
  <si>
    <t>fenntart. és műk.</t>
  </si>
  <si>
    <t>feladatok</t>
  </si>
  <si>
    <t>közfoglalkozt.</t>
  </si>
  <si>
    <t>fenntartása</t>
  </si>
  <si>
    <t>gazdálkodás</t>
  </si>
  <si>
    <t>alapellátás</t>
  </si>
  <si>
    <t>ügyeleti ellátás</t>
  </si>
  <si>
    <t>támogatása</t>
  </si>
  <si>
    <t>nevelés</t>
  </si>
  <si>
    <t>ellátások</t>
  </si>
  <si>
    <t>Sor-szám</t>
  </si>
  <si>
    <t>Rovat szám</t>
  </si>
  <si>
    <t>Óvodai és Iskolai</t>
  </si>
  <si>
    <t>Vendég-</t>
  </si>
  <si>
    <t>Nem lakóing.</t>
  </si>
  <si>
    <t>Község-</t>
  </si>
  <si>
    <t>Normatíva és önk-i</t>
  </si>
  <si>
    <t>étkeztetés</t>
  </si>
  <si>
    <t>üzemeltetése</t>
  </si>
  <si>
    <t>közmunka</t>
  </si>
  <si>
    <t>szolgálat</t>
  </si>
  <si>
    <t>működtetés</t>
  </si>
  <si>
    <t>ÖSSZESEN</t>
  </si>
  <si>
    <t>B111</t>
  </si>
  <si>
    <t>Helyi önkormányzatok működésének ált. támog.</t>
  </si>
  <si>
    <t>B112</t>
  </si>
  <si>
    <t>Köznevelési feladatok támogatása</t>
  </si>
  <si>
    <t>B113</t>
  </si>
  <si>
    <t>Szociális és gyermekjóléti, gyermekétk. feladatok támogatása</t>
  </si>
  <si>
    <t>B114</t>
  </si>
  <si>
    <t>Kulturális feladatok támogatása</t>
  </si>
  <si>
    <t>B115</t>
  </si>
  <si>
    <t>Működési célú központosított támogatások</t>
  </si>
  <si>
    <t>B116</t>
  </si>
  <si>
    <t>Elszámolásból származó bevételek</t>
  </si>
  <si>
    <t>B11</t>
  </si>
  <si>
    <t>Önkormányzatok működési támogatásai</t>
  </si>
  <si>
    <t>B12</t>
  </si>
  <si>
    <t>Elvonások és befizetések bevételei</t>
  </si>
  <si>
    <t>B14</t>
  </si>
  <si>
    <t>Működ. célú visszatér. támogat., kölcsön ÁHT-n belül</t>
  </si>
  <si>
    <t>B16</t>
  </si>
  <si>
    <t>Egyéb működési támogatás ÁHT-n belülről</t>
  </si>
  <si>
    <t>B1</t>
  </si>
  <si>
    <t>Működési támogatások ÁHT-n belülről</t>
  </si>
  <si>
    <t>B21</t>
  </si>
  <si>
    <t>Felhalmozási célú önkormányzati támogatások</t>
  </si>
  <si>
    <t>B23</t>
  </si>
  <si>
    <t>Felhalm. célú kölcsönök visszatérülése ÁHT-n belülről</t>
  </si>
  <si>
    <t>B24</t>
  </si>
  <si>
    <t>Felhalm. c támog.,kölcs. igénybevét  ÁHT-n belülről</t>
  </si>
  <si>
    <t>B25</t>
  </si>
  <si>
    <t>Egyéb felhalmozási támogatás ÁHT-n belülről</t>
  </si>
  <si>
    <t>B2</t>
  </si>
  <si>
    <t>Felhalmozási célú támogatások ÁHT-n belülről</t>
  </si>
  <si>
    <t>B34</t>
  </si>
  <si>
    <t>B351</t>
  </si>
  <si>
    <t>Iparűzési adó</t>
  </si>
  <si>
    <t>B354</t>
  </si>
  <si>
    <t>Gépjárműadó 40%-a</t>
  </si>
  <si>
    <t>B36</t>
  </si>
  <si>
    <t>Egyéb közhatalmi bevételek</t>
  </si>
  <si>
    <t>B3</t>
  </si>
  <si>
    <t>B401</t>
  </si>
  <si>
    <t>Készletértékesítés</t>
  </si>
  <si>
    <t>B402</t>
  </si>
  <si>
    <t>Szolgáltatások bevételei</t>
  </si>
  <si>
    <t>B403</t>
  </si>
  <si>
    <t>Közvetített szolgáltatások ellenértéke</t>
  </si>
  <si>
    <t>B404</t>
  </si>
  <si>
    <t>Tulajdonosi bevételek</t>
  </si>
  <si>
    <t>B405</t>
  </si>
  <si>
    <t>Ellátási díjak</t>
  </si>
  <si>
    <t>B406</t>
  </si>
  <si>
    <t>Kiszámlázott ÁFA</t>
  </si>
  <si>
    <t>B407</t>
  </si>
  <si>
    <t>ÁFA visszatérítés</t>
  </si>
  <si>
    <t>B408</t>
  </si>
  <si>
    <t>Kamatbevételek</t>
  </si>
  <si>
    <t>B410</t>
  </si>
  <si>
    <t>Egyéb pénzügyi műveletek bevétele</t>
  </si>
  <si>
    <t>B411</t>
  </si>
  <si>
    <t>Egyéb működési bevételek</t>
  </si>
  <si>
    <t>B4</t>
  </si>
  <si>
    <t>B52</t>
  </si>
  <si>
    <t>Ingatlanok értékesítése</t>
  </si>
  <si>
    <t>B53</t>
  </si>
  <si>
    <t>Egyéb tárgyi eszközök értékesítése</t>
  </si>
  <si>
    <t>B5</t>
  </si>
  <si>
    <t>B64</t>
  </si>
  <si>
    <t>Működési c.támogatás, kölcsön visszatér. ÁHT-n kívülről</t>
  </si>
  <si>
    <t>B65</t>
  </si>
  <si>
    <t>Egyéb működési célú átvett pénzeszközök</t>
  </si>
  <si>
    <t>B6</t>
  </si>
  <si>
    <t>Működési célú átvett pénzeszközök</t>
  </si>
  <si>
    <t>B74</t>
  </si>
  <si>
    <t>Felhalmozási c.támog, kölcsön visszatér. ÁHT-n kívülről</t>
  </si>
  <si>
    <t>B75</t>
  </si>
  <si>
    <t>Egyéb felhalmozási célú átvett pénzeszközök</t>
  </si>
  <si>
    <t>B7</t>
  </si>
  <si>
    <t>Felhalmozási célú átvett pénzeszközök</t>
  </si>
  <si>
    <t>B811</t>
  </si>
  <si>
    <t>Hitel-, kölcsönfelvétel pénzügyi vállalkozástól</t>
  </si>
  <si>
    <t>B8131</t>
  </si>
  <si>
    <t>Előző évi költségvetési maradvány igénybevétele</t>
  </si>
  <si>
    <t>B8</t>
  </si>
  <si>
    <t>Finanszírozási bevételek</t>
  </si>
  <si>
    <t>Költségvetési bevételek</t>
  </si>
  <si>
    <t>Költségvetési kiadások:</t>
  </si>
  <si>
    <t>K1101</t>
  </si>
  <si>
    <t>Törvény szerinti illetmények</t>
  </si>
  <si>
    <t>K1105</t>
  </si>
  <si>
    <t>Végkielégítés</t>
  </si>
  <si>
    <t>K1106</t>
  </si>
  <si>
    <t>Jubileumi jutalom</t>
  </si>
  <si>
    <t>K1107</t>
  </si>
  <si>
    <t>K1109</t>
  </si>
  <si>
    <t>Közlekedési költségtérítés</t>
  </si>
  <si>
    <t>K1110</t>
  </si>
  <si>
    <t>Egyéb költségtérítés</t>
  </si>
  <si>
    <t>K1113</t>
  </si>
  <si>
    <t>K121</t>
  </si>
  <si>
    <t>Választott tisztségviselők juttatásai</t>
  </si>
  <si>
    <t>K122</t>
  </si>
  <si>
    <t>Egyéb jogviszonyban nem saját fogl. fizetett juttatások</t>
  </si>
  <si>
    <t>K123</t>
  </si>
  <si>
    <t>Egyéb külső személyi juttatások</t>
  </si>
  <si>
    <t>K1</t>
  </si>
  <si>
    <t xml:space="preserve">Személyi juttatások </t>
  </si>
  <si>
    <t>K2</t>
  </si>
  <si>
    <t>Szociális hozzájárulási adó</t>
  </si>
  <si>
    <t>K311</t>
  </si>
  <si>
    <t>Szakmai anyagok beszerzése</t>
  </si>
  <si>
    <t>K312</t>
  </si>
  <si>
    <t>Üzemeltetési anyagok beszerzése</t>
  </si>
  <si>
    <t>K313</t>
  </si>
  <si>
    <t>Árubeszerzés</t>
  </si>
  <si>
    <t>K31</t>
  </si>
  <si>
    <t xml:space="preserve">Készletbeszerzés </t>
  </si>
  <si>
    <t>K321</t>
  </si>
  <si>
    <t>Informatikai szolgáltatások</t>
  </si>
  <si>
    <t>K322</t>
  </si>
  <si>
    <t>Egyéb kommunikációs szolgáltatások</t>
  </si>
  <si>
    <t>K32</t>
  </si>
  <si>
    <t xml:space="preserve">Kommunikációs szolgáltatások </t>
  </si>
  <si>
    <t>K331-001</t>
  </si>
  <si>
    <t>Áramdíj</t>
  </si>
  <si>
    <t>K331-002</t>
  </si>
  <si>
    <t>Gázdíj</t>
  </si>
  <si>
    <t>K331-003</t>
  </si>
  <si>
    <t>Vízdíj</t>
  </si>
  <si>
    <t>K331</t>
  </si>
  <si>
    <t>Közüzemi díjak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</si>
  <si>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</si>
  <si>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</si>
  <si>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</si>
  <si>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</si>
  <si>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</si>
  <si>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</si>
  <si>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</si>
  <si>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</si>
  <si>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</si>
  <si>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>Szakmai tevékenységet segítő szolgáltások</t>
  </si>
  <si>
    <t>K337</t>
  </si>
  <si>
    <t>Egyéb szolgáltatások</t>
  </si>
  <si>
    <t>K33</t>
  </si>
  <si>
    <t>Szolgáltatási kiadások</t>
  </si>
  <si>
    <t>K341</t>
  </si>
  <si>
    <t>Kiküldetések kiadásai</t>
  </si>
  <si>
    <t>K342</t>
  </si>
  <si>
    <t>Reklám- és propagandakiadások</t>
  </si>
  <si>
    <t>K351</t>
  </si>
  <si>
    <t>Működési célú előzetesen felszámított ÁFA</t>
  </si>
  <si>
    <t>K352</t>
  </si>
  <si>
    <t>Fizetendő ÁFA</t>
  </si>
  <si>
    <t>K353</t>
  </si>
  <si>
    <t>Kamatkiadások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</si>
  <si>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</si>
  <si>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</si>
  <si>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</si>
  <si>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</si>
  <si>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</si>
  <si>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</t>
  </si>
  <si>
    <t>K3</t>
  </si>
  <si>
    <t xml:space="preserve">Dologi kiadások </t>
  </si>
  <si>
    <t>K48</t>
  </si>
  <si>
    <t>Egyéb nem intézményi ellátások (önk. által saját hatáskörben)</t>
  </si>
  <si>
    <t>K4</t>
  </si>
  <si>
    <t xml:space="preserve">Ellátottak pénzbeli juttatásai </t>
  </si>
  <si>
    <t>K504</t>
  </si>
  <si>
    <t>Működési célú kölcsön nyújtása ÁHT-n belülre</t>
  </si>
  <si>
    <t>K505</t>
  </si>
  <si>
    <t>Működési célú kölcsön törlesztése ÁHT-n belülre</t>
  </si>
  <si>
    <t>K506</t>
  </si>
  <si>
    <t>Működési célú támogatások ÁHT-n belülre</t>
  </si>
  <si>
    <t>K508</t>
  </si>
  <si>
    <t>Működési célú kölcsön nyújtása ÁHT-n kívülre</t>
  </si>
  <si>
    <t>K512</t>
  </si>
  <si>
    <t>Működési célú egyéb támogatások ÁHT-n kivülre</t>
  </si>
  <si>
    <t>K513</t>
  </si>
  <si>
    <t>K5</t>
  </si>
  <si>
    <t>K61</t>
  </si>
  <si>
    <t>Immateriális javak beszerzése</t>
  </si>
  <si>
    <t>K62</t>
  </si>
  <si>
    <t>Ingatlanok beszerzése, létesítése</t>
  </si>
  <si>
    <t>K63</t>
  </si>
  <si>
    <t>Informatikai eszközök beszerzése</t>
  </si>
  <si>
    <t>K64</t>
  </si>
  <si>
    <t>Egyéb tárgyi eszközök beszerzése, létesítése</t>
  </si>
  <si>
    <t>K67</t>
  </si>
  <si>
    <t>Beruházások ÁFA-ja</t>
  </si>
  <si>
    <t>K6</t>
  </si>
  <si>
    <t>Beruházások</t>
  </si>
  <si>
    <t>K71</t>
  </si>
  <si>
    <t>Ingatlanok felújítása</t>
  </si>
  <si>
    <t>K72</t>
  </si>
  <si>
    <t>Informatikai eszközök felújítása</t>
  </si>
  <si>
    <t>K73</t>
  </si>
  <si>
    <t>Egyéb tárgyi eszközök felújítása</t>
  </si>
  <si>
    <t>K74</t>
  </si>
  <si>
    <t>Felújítások ÁFA-ja</t>
  </si>
  <si>
    <t>K7</t>
  </si>
  <si>
    <t>Felújítások</t>
  </si>
  <si>
    <t>K84</t>
  </si>
  <si>
    <t>Egyéb felhalmozási célú támogatás ÁHT-n belülre</t>
  </si>
  <si>
    <t>K86</t>
  </si>
  <si>
    <t>Felhalmozási célú kölcsön nyújtása ÁHT-n kívülre</t>
  </si>
  <si>
    <t>K89</t>
  </si>
  <si>
    <t>Felhalmozási célú egyéb támogatás ÁHT-n kívülre</t>
  </si>
  <si>
    <t>K8</t>
  </si>
  <si>
    <t>66.</t>
  </si>
  <si>
    <t>K911</t>
  </si>
  <si>
    <t>Hitel-, kölcsöntörlesztés ÁHT-n kívülre</t>
  </si>
  <si>
    <t>67.</t>
  </si>
  <si>
    <t>K915</t>
  </si>
  <si>
    <t>Központi, irányító szervi támogatás folyósítása</t>
  </si>
  <si>
    <t>68.</t>
  </si>
  <si>
    <t>K9</t>
  </si>
  <si>
    <t>Finanszírozási kiadások</t>
  </si>
  <si>
    <t>69.</t>
  </si>
  <si>
    <t>K1-K9</t>
  </si>
  <si>
    <t xml:space="preserve">KÖLTSÉGVETÉSI KIADÁSOK </t>
  </si>
  <si>
    <t>70.</t>
  </si>
  <si>
    <t>Létszámkeret (fő)</t>
  </si>
  <si>
    <t>Kormányzati funkció bevételei összesen</t>
  </si>
  <si>
    <t>Kormányzati funkció kiadásai összesen</t>
  </si>
  <si>
    <t>Korm.funkció pénzügyi egyenlege</t>
  </si>
  <si>
    <t>091140</t>
  </si>
  <si>
    <t>Óvodai nevelés</t>
  </si>
  <si>
    <t>szakmai feladatai</t>
  </si>
  <si>
    <t>működtetési feladatai</t>
  </si>
  <si>
    <t>finansz.műv.</t>
  </si>
  <si>
    <t xml:space="preserve">Óvoda </t>
  </si>
  <si>
    <t>B816</t>
  </si>
  <si>
    <t>Központi, irányató szervi támogatásként kapott bevétel</t>
  </si>
  <si>
    <t>Korm. funkció pénzügyi egyenlege</t>
  </si>
  <si>
    <t>hozzájárulások</t>
  </si>
  <si>
    <t>K11</t>
  </si>
  <si>
    <t>Foglalkoztatottak személyi juttatásai</t>
  </si>
  <si>
    <t>K12</t>
  </si>
  <si>
    <t>Külső személyi juttatások</t>
  </si>
  <si>
    <t>71.</t>
  </si>
  <si>
    <t>72.</t>
  </si>
  <si>
    <t>73.</t>
  </si>
  <si>
    <t>74.</t>
  </si>
  <si>
    <t>75.</t>
  </si>
  <si>
    <t>Illetmények:</t>
  </si>
  <si>
    <t>Konyha:</t>
  </si>
  <si>
    <t>Óvoda:</t>
  </si>
  <si>
    <t>ÖSSZESEN:</t>
  </si>
  <si>
    <t>Nyersanyag költség / élelmiszer beszerzés:</t>
  </si>
  <si>
    <t>Étkeztetési szolgáltatás bevétele:</t>
  </si>
  <si>
    <t>Óvoda összesen:</t>
  </si>
  <si>
    <t>Iskola összesen:</t>
  </si>
  <si>
    <t>096015 Gyermekétkeztetés</t>
  </si>
  <si>
    <t>Gyermekétkeztetés összesen:</t>
  </si>
  <si>
    <t>Vendég étkeztetés összesen:</t>
  </si>
  <si>
    <t>900020</t>
  </si>
  <si>
    <t>Önk. Bevételei</t>
  </si>
  <si>
    <t>ÁHT-n kívülről</t>
  </si>
  <si>
    <t>Helyi adók</t>
  </si>
  <si>
    <t>ÁFA Összesen:</t>
  </si>
  <si>
    <t>központi ksgv-el</t>
  </si>
  <si>
    <t>76.</t>
  </si>
  <si>
    <t>K914</t>
  </si>
  <si>
    <t>Áht-n belüli megelőlegezések visszafizetése</t>
  </si>
  <si>
    <t>Munkaadókat terhelő szja kifizetés (15%)</t>
  </si>
  <si>
    <t>Saját bevételek Intézményi működési bevétel kamatbevételekkel</t>
  </si>
  <si>
    <t>Sajátos működési bevételek (közhatalmi bevételek)</t>
  </si>
  <si>
    <t xml:space="preserve">létszámkerete </t>
  </si>
  <si>
    <t xml:space="preserve">Létszámkeret </t>
  </si>
  <si>
    <t>Eredeti  terv</t>
  </si>
  <si>
    <t>Módosított   terv</t>
  </si>
  <si>
    <t>Teljesítés</t>
  </si>
  <si>
    <t>Teljes munkidősök</t>
  </si>
  <si>
    <t>Részfoglalkoztatásúak</t>
  </si>
  <si>
    <t>Összesen</t>
  </si>
  <si>
    <t>Tejes munkaidősre átszámitott létszám</t>
  </si>
  <si>
    <t>Teljes munkaidősök</t>
  </si>
  <si>
    <t>Közfoglalkoztatottak létszámkerete</t>
  </si>
  <si>
    <t>Foglalkoztatottak mindösszesen:</t>
  </si>
  <si>
    <t>Irányító szervtől kapott támogatás</t>
  </si>
  <si>
    <t>13. melléklet a ……./(…) önkormányzati rendelethez</t>
  </si>
  <si>
    <t>EU-s fejlesztések összesen:</t>
  </si>
  <si>
    <t>Saját  forrásból megvalósuló beruházások, felújítások</t>
  </si>
  <si>
    <t>Önkormányzat összesen:</t>
  </si>
  <si>
    <t>Felhalmozási célú kiadások összesen (I+II+III+IV):</t>
  </si>
  <si>
    <t>104037</t>
  </si>
  <si>
    <t>Intézményen kívüli</t>
  </si>
  <si>
    <t>gyermekétkeztetés</t>
  </si>
  <si>
    <t xml:space="preserve">Szünidei </t>
  </si>
  <si>
    <t>Pénzmaradvány igénybe vétele felhalmozási célú</t>
  </si>
  <si>
    <t>-</t>
  </si>
  <si>
    <t>Egyéb felhalmozási kiadások:</t>
  </si>
  <si>
    <t>Megelőlegezések visszafizetése</t>
  </si>
  <si>
    <t>Tartalékok, működési célú</t>
  </si>
  <si>
    <t>Tartalékok, fejlesztési célú</t>
  </si>
  <si>
    <t>Működési célú tartalékok</t>
  </si>
  <si>
    <t>Fejlesztési célú tartalékok</t>
  </si>
  <si>
    <t>Feladat</t>
  </si>
  <si>
    <t>Jogcíme (jellege)</t>
  </si>
  <si>
    <t>Helyi iparűzési adó</t>
  </si>
  <si>
    <t>az Áht. 24. § (4) bekezdésének c) pontja alapján</t>
  </si>
  <si>
    <t>az Áht. 24. § (4) bekezdésének a) pontja alapján</t>
  </si>
  <si>
    <t>az Áht. 24.§ (4) bekezdés d) pontja alapján</t>
  </si>
  <si>
    <t>az Áht. 24. § (4) bekezdésének b) pontja alapján</t>
  </si>
  <si>
    <t>2020.</t>
  </si>
  <si>
    <t>10. melléklet az .../…….. (…....) önkormányzati rendelethez</t>
  </si>
  <si>
    <t>az Áht. 23. § (2) bekezdés aa) pontja és ba) pontja alapján</t>
  </si>
  <si>
    <t>az Áht. 23. § (2) bekezdésének c) pontja alapján</t>
  </si>
  <si>
    <t>5.melléklet az .../….. (…...) önkormányzati rendelethez</t>
  </si>
  <si>
    <t>MEGNEVEZÉS</t>
  </si>
  <si>
    <t>I. Működési céltartalékok</t>
  </si>
  <si>
    <t>Az Önkormányzat költségvetésében</t>
  </si>
  <si>
    <t>II. Fejlesztési céltartalékok</t>
  </si>
  <si>
    <t>6. melléklet az ../…... (…..)  önkormányzati rendelethez</t>
  </si>
  <si>
    <t>7. melléklet a …./….(….) önkormányzati rendelethez</t>
  </si>
  <si>
    <t>8. melléklet az .../….. (…....) önkormányzati rendelethez</t>
  </si>
  <si>
    <t>9. melléklet az …./….... (…..) önkormányzati rendelethez</t>
  </si>
  <si>
    <t>11. melléklet a …/…(…) önkormányzati rendelethez</t>
  </si>
  <si>
    <t>12. melléklet a ……/.... (…..) önkormányzati rendelethez</t>
  </si>
  <si>
    <t>16. melléklet a ……./(…) önkormányzati rendelethez</t>
  </si>
  <si>
    <t>az Áht. 23. § (3) bekezdése alapján</t>
  </si>
  <si>
    <t>Működési céltartalékok összesen</t>
  </si>
  <si>
    <t>Fejlesztési céltartalékok összesen:</t>
  </si>
  <si>
    <t>az Áht. 23. § (2) bekezdésének f) pontja alapján</t>
  </si>
  <si>
    <t>Tartalékok  mindösszesen (I. + II.) :</t>
  </si>
  <si>
    <t>Beruházásokhoz kapcsolódó kötelezettségek összesen:</t>
  </si>
  <si>
    <t>Jogcím</t>
  </si>
  <si>
    <t>Állami támogatás</t>
  </si>
  <si>
    <t>Önkormányzati forrás</t>
  </si>
  <si>
    <t>Eredeti előirányzat</t>
  </si>
  <si>
    <t>1. Önkormányzati támogatások</t>
  </si>
  <si>
    <t>Bursa Hungarica támogatás</t>
  </si>
  <si>
    <t>Köztemetés</t>
  </si>
  <si>
    <t>Önkormányzati támogatások összesen:</t>
  </si>
  <si>
    <t>2. Szociális helyzethez köthető kölcsönök nyújtása</t>
  </si>
  <si>
    <t>Átmeneti segély kölcsön</t>
  </si>
  <si>
    <t>Temetési segély kölcsön</t>
  </si>
  <si>
    <t>Kölcsönök összesen:</t>
  </si>
  <si>
    <t>Az önkormányzat szociális pénzeszközei összesen (1+2):</t>
  </si>
  <si>
    <t>14. melléklet az …….../…... (….) önkormányzati rendelethez</t>
  </si>
  <si>
    <t>17. melléklet a ……./(…) önkormányzati rendelethez</t>
  </si>
  <si>
    <t>I. Működési költségvetés egyenlege (Bevétel-Kiadás)</t>
  </si>
  <si>
    <t>az Áht. 29/A. §  alapján</t>
  </si>
  <si>
    <t>adatok Ft-ban</t>
  </si>
  <si>
    <t>Települési Önkormányzatok szociális feladatainak támogatásával adható juttatások képviselő-testületi hatáskörben</t>
  </si>
  <si>
    <t>Települési segély</t>
  </si>
  <si>
    <t>Adómentesség</t>
  </si>
  <si>
    <t>Adónem</t>
  </si>
  <si>
    <t>Központi költségvetési megelőlegezések visszafizetése</t>
  </si>
  <si>
    <t>Támogatás jogcíme</t>
  </si>
  <si>
    <t>Kártérítés összegének elengedése méltányosságból</t>
  </si>
  <si>
    <t>Helyiségek, eszközök hasznosításából származó kedvezmény, mentesség</t>
  </si>
  <si>
    <t>Egyéb nyújtott kedvezmény, kölcsön elengedése</t>
  </si>
  <si>
    <t>és kormányzati funkció szerinti bontásban</t>
  </si>
  <si>
    <t>Önkormányzati</t>
  </si>
  <si>
    <t>Konyha</t>
  </si>
  <si>
    <t>Gyermek-</t>
  </si>
  <si>
    <t xml:space="preserve">Konyha </t>
  </si>
  <si>
    <t>Egyéb személyi juttatások (bérkompenzáció)</t>
  </si>
  <si>
    <t>Béren kívüli juttatások (cafeteria)</t>
  </si>
  <si>
    <t>2021.</t>
  </si>
  <si>
    <t>77.</t>
  </si>
  <si>
    <t>Járulék jellegű kötelezettségek (közteher)</t>
  </si>
  <si>
    <t>K5021</t>
  </si>
  <si>
    <t>Előző évi elszámolásból származó visszafizetési kötelezettség</t>
  </si>
  <si>
    <t>082092</t>
  </si>
  <si>
    <t>2022.</t>
  </si>
  <si>
    <t>Felhalmozási célú támogatások</t>
  </si>
  <si>
    <t>Európai Uniós és hazai támogatással megvalósuló programok, fejlesztések</t>
  </si>
  <si>
    <t>049010</t>
  </si>
  <si>
    <t>Máshova nem sorolt</t>
  </si>
  <si>
    <t>gazdasági ügyek</t>
  </si>
  <si>
    <t xml:space="preserve">Egyéb személyi juttatások </t>
  </si>
  <si>
    <t xml:space="preserve"> Ft-ban</t>
  </si>
  <si>
    <t>2023.</t>
  </si>
  <si>
    <t>Ft</t>
  </si>
  <si>
    <t>III. Működési célú egyéb pénzeszök többletének igénybevétele a felhalmozási hiány belső finanszírozására</t>
  </si>
  <si>
    <t>K1103</t>
  </si>
  <si>
    <t>Jutalmak</t>
  </si>
  <si>
    <t>041237</t>
  </si>
  <si>
    <t xml:space="preserve"> Saját bevételek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</si>
  <si>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</si>
  <si>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</si>
  <si>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</si>
  <si>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</si>
  <si>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</si>
  <si>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</si>
  <si>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</si>
  <si>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</si>
  <si>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</si>
  <si>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</si>
  <si>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pénzügyi lízing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</si>
  <si>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</si>
  <si>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</si>
  <si>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</si>
  <si>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Fejlesztési célok megnevezése</t>
  </si>
  <si>
    <t>Adósságot keletkeztető ügylet összege</t>
  </si>
  <si>
    <t>Az adósságot keletkeztető ügylet megkötését igénylő fejlesztési célok, valamint az adósságot keletkeztető ügyletek várható</t>
  </si>
  <si>
    <t xml:space="preserve">együttes összege </t>
  </si>
  <si>
    <t>eredeti előirányzat</t>
  </si>
  <si>
    <t>módosított előriányzat</t>
  </si>
  <si>
    <t>Bruttó eredeti előirányzat</t>
  </si>
  <si>
    <t>Bruttó módosított előirányzat</t>
  </si>
  <si>
    <t>Módosított előirányzat</t>
  </si>
  <si>
    <t>Költségvetés összesen</t>
  </si>
  <si>
    <t>Államigazgatási</t>
  </si>
  <si>
    <t>Módosított előirányzat összesen</t>
  </si>
  <si>
    <t>049010 Vendég étkeztetés</t>
  </si>
  <si>
    <t>Varga Georgina</t>
  </si>
  <si>
    <t>Betlehem Henrietta</t>
  </si>
  <si>
    <t>Gócziné Juranics Adrienn</t>
  </si>
  <si>
    <t>Bóbics Józsefné</t>
  </si>
  <si>
    <t>Bocskor Csabáné</t>
  </si>
  <si>
    <t>Takácsné Vittmann Erika</t>
  </si>
  <si>
    <t>Csamáriné Tóth Ildikó</t>
  </si>
  <si>
    <t>Futó Tímea Nikoletta</t>
  </si>
  <si>
    <t>Lábadiné Sahin-Tóth Katalin</t>
  </si>
  <si>
    <t>Somodi Beáta</t>
  </si>
  <si>
    <t>Borsfa</t>
  </si>
  <si>
    <t>2020. évi</t>
  </si>
  <si>
    <t>Kultúrház</t>
  </si>
  <si>
    <t>107055</t>
  </si>
  <si>
    <t>Falugondnoki</t>
  </si>
  <si>
    <t>066010</t>
  </si>
  <si>
    <t>Zöldterület-</t>
  </si>
  <si>
    <t>Zölterület-</t>
  </si>
  <si>
    <t>106010</t>
  </si>
  <si>
    <t>Kisvuk</t>
  </si>
  <si>
    <t>Borsfai</t>
  </si>
  <si>
    <t>Lakóingatlan szociális</t>
  </si>
  <si>
    <t>célú bérbeadása, üzemeltetése</t>
  </si>
  <si>
    <t xml:space="preserve">Szociális </t>
  </si>
  <si>
    <t>lakóingatlan üzemeltetés</t>
  </si>
  <si>
    <t>074032</t>
  </si>
  <si>
    <t>Ifjúság- egészségügyi</t>
  </si>
  <si>
    <t>gondozás</t>
  </si>
  <si>
    <t>Iskolaorvosi</t>
  </si>
  <si>
    <t>ellátás</t>
  </si>
  <si>
    <t>062020</t>
  </si>
  <si>
    <t xml:space="preserve">Településfejlesztési projektek </t>
  </si>
  <si>
    <t>és támogatásuk</t>
  </si>
  <si>
    <t>Magyar Falu program</t>
  </si>
  <si>
    <t>Óvodai étkeztetés nyersanyag 19 fő 22 napra nettó 400 Ft, 198 napra 430 Ft</t>
  </si>
  <si>
    <t>Iskolai menza (1X) nyersanyag 31 fő 22 napra nettó 300 Ft, 163 napra nettó 350 Ft</t>
  </si>
  <si>
    <t>Iskolai napközi (3X ) nyersanyag 41 fő 22 napra nettó 456 Ft, 163 napra nettó 520 Ft</t>
  </si>
  <si>
    <t>Iskolai menza (1X) étk.tér.díja 50 %-os kedv. 8 fő 22 napra nettó 150 Ft, 163 napra nettó 175 Ft</t>
  </si>
  <si>
    <t>Iskolai napközi (3X ) étk.tér.díj 50%-os 4 fő 22 napra nettó 228 Ft, 163 napra nettó 260 Ft</t>
  </si>
  <si>
    <t>Iskolai menza (1X) teljes étk.tér.díj 21 fő 22 napra nettó 300 Ft, 163 napra nettó 350 Ft</t>
  </si>
  <si>
    <t>Iskolai napközi (3X ) teljes étk.tér.díj 6 fő 22 napra nettó 456 Ft, 163 napra nettó 520 Ft</t>
  </si>
  <si>
    <t>Iskolai napközi (2X) nyersanyag 11 fő 22 napra nettó 378 Ft, 163 napra nettó 435 Ft</t>
  </si>
  <si>
    <t>Iskolai napközi (2X ) étk.tér.díja 50%-os 1 fő 22 napra nettó 189 Ft, 163 napra nettó 217,5 Ft</t>
  </si>
  <si>
    <t>Iskolai napközi (2 X) teljes étk.tér.díj 6 fő 22 napra nettó 378 Ft, 163 napra nettó 435 Ft</t>
  </si>
  <si>
    <t>Óvodai étkeztetés térítési díj 0 fő 22 napra nettó 400 Ft, 198 napra 430 Ft</t>
  </si>
  <si>
    <t>Alkalmi főzés ?????</t>
  </si>
  <si>
    <t>dec-jún</t>
  </si>
  <si>
    <t>júl-nov</t>
  </si>
  <si>
    <t>Szociális hozzájárulási adó (17,5%-15,5%)</t>
  </si>
  <si>
    <t>Vendég étkezés nyersanyag 4 fő 22 napra nettó 350 Ft, 227 napra nettó 400 Ft</t>
  </si>
  <si>
    <t>Pedagógus étkezés nyeresanyag 13 fő 22 napra nettó 300 Ft, 163 napra nettó 400 Ft</t>
  </si>
  <si>
    <t>Önkormányzati alkalmazotti étkezés nyersanyag 4 fő 22 napra nettó 350 Ft, 227 napra nettó 400 Ft</t>
  </si>
  <si>
    <t>Borsfa szociális étkezés nyersanyag 35 fő 22 napra nettó 350 Ft, 227 napra nettó 400 Ft</t>
  </si>
  <si>
    <t>Oltárc szociális étkezés nyersanyag 26 fő 22 napra nettó 350 Ft, 227 napra nettó 400 Ft</t>
  </si>
  <si>
    <t>Vendég étkezés 4 fő 22 napra nettó 433 Ft, 227 napra nettó 485 Ft</t>
  </si>
  <si>
    <t>Pedagógus térítési díj 13 fő 22 napra nettó 300 Ft, 163 napra nettó 400 Ft</t>
  </si>
  <si>
    <t>Önkormányzati alkalmazotti étkezés 4 fő 22 napra nettó 300 Ft, 227 napra nettó 315 Ft</t>
  </si>
  <si>
    <t>Borsfa szociális térítési díj 35 fő 22 napra nettó 433 Ft, 227 napra nettó 485 Ft</t>
  </si>
  <si>
    <t>Oltárc szociális térítési díj 26 fő 22 napra nettó 433 Ft, 227 napra nettó 485 Ft</t>
  </si>
  <si>
    <t>27%-os ÁFA (63% rész)</t>
  </si>
  <si>
    <t xml:space="preserve"> 18%-os ÁFA (20% rész)</t>
  </si>
  <si>
    <t>5%-os ÁFA (17% rész)</t>
  </si>
  <si>
    <t>Konyha módosított:</t>
  </si>
  <si>
    <t>Nyersanyag költség / élelmiszer beszerzés módosított:</t>
  </si>
  <si>
    <t>KONYHA módosított</t>
  </si>
  <si>
    <t>Étkeztetési szolgáltatás bevétele módosított:</t>
  </si>
  <si>
    <t>Alkalmi főzés</t>
  </si>
  <si>
    <t>Óvodai étkeztetés nyersanyag 22 fő 22 napra nettó 400 Ft, 198 napra 430 Ft</t>
  </si>
  <si>
    <t>Táppénz hozzájárulás</t>
  </si>
  <si>
    <t>Egyéb személyi juttatások</t>
  </si>
  <si>
    <t>Óvoda módosított:</t>
  </si>
  <si>
    <t>Bedő Péterné</t>
  </si>
  <si>
    <t>Szociális hozzájárulási adó (17,5% - 15,5%)</t>
  </si>
  <si>
    <t>Iskolai menza (1X) nyersanyag 30 fő 22 napra nettó 300 Ft, 163 napra nettó 350 Ft</t>
  </si>
  <si>
    <t>Iskolai napközi (3X ) nyersanyag 23 fő 22 napra nettó 456 Ft, 163 napra nettó 520 Ft</t>
  </si>
  <si>
    <t>Önkormányzati alkalmazotti étkezés nyersanyag 3 fő 22 napra nettó 350 Ft, 227 napra nettó 400 Ft</t>
  </si>
  <si>
    <t>Pedagógus étkezés nyeresanyag 6 fő 22 napra nettó 300 Ft, 163 napra nettó 400 Ft</t>
  </si>
  <si>
    <t>Vendég étkezés nyersanyag 8 fő 22 napra nettó 350 Ft, 227 napra nettó 400 Ft</t>
  </si>
  <si>
    <t>Oltárc szociális étkezés nyersanyag 22 fő 22 napra nettó 350 Ft, 227 napra nettó 400 Ft</t>
  </si>
  <si>
    <t>Borsfa szociális étkezés nyersanyag 29 fő 22 napra nettó 350 Ft, 227 napra nettó 400 Ft</t>
  </si>
  <si>
    <t>Óvodai étkeztetés térítési díj 2 fő 22 napra nettó 400 Ft, 198 napra 430 Ft</t>
  </si>
  <si>
    <t>Iskolai menza (1X) étk.tér.díja 50 %-os kedv. 4 fő 22 napra nettó 150 Ft, 163 napra nettó 175 Ft</t>
  </si>
  <si>
    <t>Iskolai napközi (2X ) étk.tér.díja 50%-os 3 fő 22 napra nettó 189 Ft, 163 napra nettó 217,5 Ft</t>
  </si>
  <si>
    <t>Iskolai napközi (3X ) étk.tér.díj 50%-os 3 fő 22 napra nettó 228 Ft, 163 napra nettó 260 Ft</t>
  </si>
  <si>
    <t>Iskolai menza (1X) teljes étk.tér.díj 13 fő 22 napra nettó 300 Ft, 163 napra nettó 350 Ft</t>
  </si>
  <si>
    <t>Vendég étkezés 8 fő 22 napra nettó 433 Ft, 227 napra nettó 485 Ft</t>
  </si>
  <si>
    <t>Önkormányzati alkalmazotti étkezés 3 fő 22 napra nettó 300 Ft, 227 napra nettó 315 Ft</t>
  </si>
  <si>
    <t>Borsfa szociális térítési díj 29 fő 22 napra nettó 433 Ft, 227 napra nettó 485 Ft</t>
  </si>
  <si>
    <t>Oltárc szociális térítési díj 22 fő 22 napra nettó 433 Ft, 227 napra nettó 485 Ft</t>
  </si>
  <si>
    <t>Becsehelyi konyha leállása miatti térítési díj</t>
  </si>
  <si>
    <t>Becsehelyi konyha leállása miatti anyagköltség felnőtt 1247 adag, óvoda 244 adag</t>
  </si>
  <si>
    <t>Iskolai napközi (2 X) teljes étk.tér.díj 5 fő 22 napra nettó 378 Ft, 163 napra nettó 435 Ft</t>
  </si>
  <si>
    <t>Iskolai napközi (3X ) teljes étk.tér.díj 4 fő 22 napra nettó 456 Ft, 163 napra nettó 520 Ft</t>
  </si>
  <si>
    <t>084040</t>
  </si>
  <si>
    <t>Egyházak közösségi</t>
  </si>
  <si>
    <t>tevékenységének támogatása</t>
  </si>
  <si>
    <t xml:space="preserve">Egyház </t>
  </si>
  <si>
    <t>Biztosító által fizetett kártérítés</t>
  </si>
  <si>
    <t>Borsfa Község Önkormányzata és intézményei</t>
  </si>
  <si>
    <t>Közmunka projekt keretében motoros fűkasza vásárlása</t>
  </si>
  <si>
    <t>Magyar Falu program keretében szociális lakás pályázat</t>
  </si>
  <si>
    <t>Konyha felújítás pályázat</t>
  </si>
  <si>
    <t>Magyar Falu program keretében szoc. lakás pályázat önrésze</t>
  </si>
  <si>
    <t>Konyha felújítás pályázat önrésze</t>
  </si>
  <si>
    <t>Temető kerítés építés</t>
  </si>
  <si>
    <t>Kultúrház korszerűsítése (színpadi megvilágítás, szellőző rendszer)</t>
  </si>
  <si>
    <t>Borsfai Közétkeztetési Intézmény</t>
  </si>
  <si>
    <t>Borsfai Közétkeztetési Intézmény összesen:</t>
  </si>
  <si>
    <t>Borsfai Közétkzetetési Intézmény</t>
  </si>
  <si>
    <t>Borsfai Közétkeztetési Intézmény összesen</t>
  </si>
  <si>
    <t>Borsfai Kisvuk Óvoda:</t>
  </si>
  <si>
    <t>óvodai bútorok, berendezések vásárlása</t>
  </si>
  <si>
    <t>Borsfai Kisvuk Óvoda összesen</t>
  </si>
  <si>
    <t>Közmunka projekthez eszközök beszerzése</t>
  </si>
  <si>
    <t>Gyógyszertár és orvosi rendelő nyílászáró csere</t>
  </si>
  <si>
    <t>Temető parkoló kiépítés</t>
  </si>
  <si>
    <t>Berendezések az orvosi rendelőbe</t>
  </si>
  <si>
    <t>Utcanév táblák</t>
  </si>
  <si>
    <t>Egyéb településfenntartást segítő eszközök beszerzése</t>
  </si>
  <si>
    <t>Tűzoltó szertár falszigetelése</t>
  </si>
  <si>
    <t>Óvodai világítás korszerűsítés</t>
  </si>
  <si>
    <t>Óvodai eszközbeszerzés</t>
  </si>
  <si>
    <t xml:space="preserve"> pályázatok</t>
  </si>
  <si>
    <t>pályázatok</t>
  </si>
  <si>
    <t>15. melléklet az …….../…... (….) önkormányzati rendelethez</t>
  </si>
  <si>
    <t>Támogatás összege</t>
  </si>
  <si>
    <t>I. Pályázati támogatások</t>
  </si>
  <si>
    <t>Pályázati támogatások összesen:</t>
  </si>
  <si>
    <t>II. Egyéb központi támogatások</t>
  </si>
  <si>
    <t>Egyéb központi támogatások összesen:</t>
  </si>
  <si>
    <t>III. Az önkormányzat egyéb központi és pályázati támogatásai összesen (I. + II.):</t>
  </si>
  <si>
    <t>Borsfa Község Önkormányzata 2020. évi egyéb központi- és pályázati támogatásai</t>
  </si>
  <si>
    <t>18. melléklet a ……./(…) önkormányzati rendelethez</t>
  </si>
  <si>
    <t>MVH-s gépbeszerzés projekt záró elszámolásához kapcsolódó utófinanszírozás</t>
  </si>
  <si>
    <t>Magyar Falu Program - Óvoda épület felújítása, eszközbeszerzés</t>
  </si>
  <si>
    <t>Borsfa Község mindösszesen:</t>
  </si>
  <si>
    <t>Borsfai Kisvuk Óvoda</t>
  </si>
  <si>
    <t>Működési költségvetés 2020.</t>
  </si>
  <si>
    <t>Felhalmozási költségvetés 2020.</t>
  </si>
  <si>
    <t>Óvoda épület felújítása, eszközbeszerzés projekt</t>
  </si>
  <si>
    <t>Borsfa Község Önkormányzata többéves kihatással járó döntéseinek                      (hosszútávú kötelezettségeinek) évenkénti alakulása 2020. évben</t>
  </si>
  <si>
    <t>Borsfa Község Önkormányzata 2020. évi közvetett támogatásai</t>
  </si>
  <si>
    <t>A helyi adórendelet nem állapít meg adómentességet.</t>
  </si>
  <si>
    <t>Ellátottak térítési díjának elengedése méltányosságból (2 fő felnőtt, 2 fő tanuló)</t>
  </si>
  <si>
    <t>Borsfa Község Önkormányzata</t>
  </si>
  <si>
    <t>Borsfa Község Önkormányzata 2020. évi</t>
  </si>
  <si>
    <t>2024.</t>
  </si>
  <si>
    <t>Zala Zöld Szíve Vidékfejlesztési Egyesület - Térségi együttműködések támogatása projekt önrész</t>
  </si>
  <si>
    <t>Köznevelési feladat normatív állami támogatásának visszafizetése létszámcsökkenés miatt</t>
  </si>
  <si>
    <t>Egyéb működési célú tartalék</t>
  </si>
  <si>
    <t>konyhai rozsdamentes eszközök</t>
  </si>
  <si>
    <t>fagyasztóláda, mosógép beszerzés</t>
  </si>
  <si>
    <t>A Kjt., és az Mt. hatálya alá tartozó munkavállalók</t>
  </si>
  <si>
    <t>Borsfa Község Önkormányzata és intézményei 2020. évi 2. módosított kiemelt bevételi előirányzatai</t>
  </si>
  <si>
    <t>Borsfa Község Önkormányzata és intézményei 2020. évi 2. módosított kiemelt kiadási előirányzatai</t>
  </si>
  <si>
    <t xml:space="preserve">Borsfa Község Önkormányzata és intézményei 2020. évi 2. módosított költségvetési mérlege </t>
  </si>
  <si>
    <t>2020. évi 2. módosított felhalmozási előirányzata</t>
  </si>
  <si>
    <t>2020. évi 2. módosított tartalék előirányzata</t>
  </si>
  <si>
    <t>Borsfa Község Önkormányzata és intézményei 2020. évi 2. módosított jóváhagyott</t>
  </si>
  <si>
    <t xml:space="preserve">Borsfa Község Önkormányzata 2020. évi 2. módosított feladatainak minősítése                                                                            az Áht. 23.§ (2) bekezdés ab) pontja és bb) pontja alapján </t>
  </si>
  <si>
    <t>Borsfa Község Önkormányzata 2020. évi 2. módosított előirányzat-felhasználási ütemterve</t>
  </si>
  <si>
    <t>Borsfa Község Önkormányzata 2020. évi 2. módosított szociális pénzeszközei</t>
  </si>
  <si>
    <t>Borsfa Község Önkormányzata 2020. évi 2. módosított költségvetési bevételei és kiadásai rovatrend és kormányzati funkció szerinti bontásban</t>
  </si>
  <si>
    <t xml:space="preserve">Borsfai Kisvuk Óvoda 2020. évi 2. módosított költségvetési bevételei és kiadásai rovatrend </t>
  </si>
  <si>
    <t xml:space="preserve">Borsfai Közétkeztetési Intézmény 2020. évi 2. módosított költségvetési bevételei és kiadásai rovatrend </t>
  </si>
  <si>
    <t>Szociális hozzájárulási adó (15,5%)</t>
  </si>
  <si>
    <t>B814</t>
  </si>
  <si>
    <t>Államháztartáson belüli megelőlegezések</t>
  </si>
  <si>
    <t>Áht-n belüli megelőlegezések</t>
  </si>
  <si>
    <t>Ingatlan vásárlás</t>
  </si>
  <si>
    <t>Szociális célú lakóingatlan építés</t>
  </si>
  <si>
    <t>Áht-n belüli megelőlegezés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</si>
</sst>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-* #,##0.00\ _F_t_-;\-* #,##0.00\ _F_t_-;_-* &quot;-&quot;??\ _F_t_-;_-@_-"/>
    <numFmt numFmtId="172" formatCode="_-* #,##0\ _F_t_-;\-* #,##0\ _F_t_-;_-* &quot;-&quot;??\ _F_t_-;_-@_-"/>
    <numFmt numFmtId="173" formatCode="#,##0\ _F_t"/>
  </numFmts>
  <fonts count="52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10"/>
      <name val="Bookman Old Style"/>
      <family val="1"/>
      <charset val="238"/>
    </font>
    <font>
      <b/>
      <sz val="16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12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color indexed="10"/>
      <name val="Bookman Old Style"/>
      <family val="1"/>
      <charset val="238"/>
    </font>
    <font>
      <u/>
      <sz val="10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sz val="14"/>
      <name val="Bookman Old Style"/>
      <family val="1"/>
      <charset val="238"/>
    </font>
    <font>
      <b/>
      <sz val="10"/>
      <color indexed="10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b/>
      <sz val="18"/>
      <name val="Bookman Old Style"/>
      <family val="1"/>
      <charset val="238"/>
    </font>
    <font>
      <b/>
      <u/>
      <sz val="12"/>
      <name val="Bookman Old Style"/>
      <family val="1"/>
      <charset val="238"/>
    </font>
    <font>
      <sz val="12"/>
      <color indexed="10"/>
      <name val="Bookman Old Style"/>
      <family val="1"/>
      <charset val="238"/>
    </font>
    <font>
      <sz val="8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u/>
      <sz val="12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u/>
      <sz val="10"/>
      <name val="Bookman Old Style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name val="Arial Narrow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4"/>
      <name val="Bookman Old Style"/>
      <family val="1"/>
      <charset val="238"/>
    </font>
    <font>
      <sz val="9"/>
      <name val="Bookman Old Style"/>
      <family val="1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Bookman Old Style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Bookman Old Style"/>
      <family val="1"/>
      <charset val="238"/>
    </font>
    <font>
      <i/>
      <sz val="8"/>
      <name val="Bookman Old Style"/>
      <family val="1"/>
      <charset val="238"/>
    </font>
    <font>
      <i/>
      <sz val="10"/>
      <name val="Bookman Old Style"/>
      <family val="1"/>
      <charset val="238"/>
    </font>
    <font>
      <sz val="10"/>
      <name val="Arial"/>
      <charset val="238"/>
    </font>
    <font>
      <sz val="8"/>
      <name val="Arial"/>
      <charset val="238"/>
    </font>
    <font>
      <sz val="11"/>
      <color theme="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9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49" fillId="0" borderId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</cellStyleXfs>
  <cellXfs count="797">
    <xf numFmtId="0" fontId="0" fillId="0" borderId="0" xfId="0"/>
    <xf numFmtId="172" fontId="0" fillId="0" borderId="0" xfId="0" applyNumberForma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0" fontId="14" fillId="0" borderId="2" xfId="13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4" fillId="0" borderId="2" xfId="13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3" xfId="13" applyFont="1" applyBorder="1" applyAlignment="1">
      <alignment vertical="center" wrapText="1"/>
    </xf>
    <xf numFmtId="0" fontId="16" fillId="0" borderId="0" xfId="0" applyFont="1"/>
    <xf numFmtId="172" fontId="9" fillId="0" borderId="0" xfId="0" applyNumberFormat="1" applyFont="1" applyBorder="1"/>
    <xf numFmtId="0" fontId="9" fillId="0" borderId="0" xfId="0" applyFont="1" applyBorder="1" applyAlignment="1"/>
    <xf numFmtId="172" fontId="9" fillId="0" borderId="0" xfId="1" applyNumberFormat="1" applyFont="1" applyBorder="1"/>
    <xf numFmtId="172" fontId="11" fillId="0" borderId="0" xfId="0" applyNumberFormat="1" applyFont="1" applyBorder="1"/>
    <xf numFmtId="0" fontId="17" fillId="0" borderId="0" xfId="0" applyFont="1" applyBorder="1"/>
    <xf numFmtId="0" fontId="13" fillId="0" borderId="0" xfId="0" applyFont="1" applyBorder="1"/>
    <xf numFmtId="172" fontId="16" fillId="0" borderId="0" xfId="1" applyNumberFormat="1" applyFont="1"/>
    <xf numFmtId="172" fontId="9" fillId="0" borderId="0" xfId="0" applyNumberFormat="1" applyFont="1"/>
    <xf numFmtId="172" fontId="9" fillId="0" borderId="0" xfId="1" applyNumberFormat="1" applyFont="1"/>
    <xf numFmtId="0" fontId="14" fillId="0" borderId="4" xfId="13" applyFont="1" applyFill="1" applyBorder="1" applyAlignment="1">
      <alignment vertical="center" wrapText="1"/>
    </xf>
    <xf numFmtId="0" fontId="15" fillId="0" borderId="5" xfId="13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172" fontId="22" fillId="0" borderId="0" xfId="1" applyNumberFormat="1" applyFont="1" applyBorder="1" applyAlignment="1">
      <alignment vertical="center"/>
    </xf>
    <xf numFmtId="172" fontId="16" fillId="0" borderId="0" xfId="0" applyNumberFormat="1" applyFont="1"/>
    <xf numFmtId="0" fontId="14" fillId="0" borderId="0" xfId="13" applyFont="1" applyFill="1" applyAlignment="1">
      <alignment horizontal="right" vertical="center"/>
    </xf>
    <xf numFmtId="0" fontId="9" fillId="0" borderId="0" xfId="0" applyFont="1" applyFill="1"/>
    <xf numFmtId="0" fontId="9" fillId="0" borderId="7" xfId="0" applyFont="1" applyBorder="1"/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3" fontId="16" fillId="0" borderId="0" xfId="0" applyNumberFormat="1" applyFont="1"/>
    <xf numFmtId="0" fontId="2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14" fillId="0" borderId="0" xfId="13" applyFont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14" applyFont="1" applyFill="1" applyBorder="1" applyAlignment="1">
      <alignment horizontal="center" vertical="center"/>
    </xf>
    <xf numFmtId="3" fontId="14" fillId="0" borderId="6" xfId="1" applyNumberFormat="1" applyFont="1" applyBorder="1" applyAlignment="1">
      <alignment horizontal="right" vertical="center"/>
    </xf>
    <xf numFmtId="3" fontId="15" fillId="0" borderId="6" xfId="1" applyNumberFormat="1" applyFont="1" applyBorder="1" applyAlignment="1">
      <alignment horizontal="right" vertical="center"/>
    </xf>
    <xf numFmtId="0" fontId="14" fillId="0" borderId="6" xfId="13" applyFont="1" applyBorder="1" applyAlignment="1">
      <alignment vertical="center" wrapText="1"/>
    </xf>
    <xf numFmtId="0" fontId="15" fillId="0" borderId="6" xfId="13" applyFont="1" applyBorder="1" applyAlignment="1">
      <alignment vertical="center" wrapText="1"/>
    </xf>
    <xf numFmtId="0" fontId="16" fillId="0" borderId="0" xfId="14" applyFont="1" applyFill="1" applyBorder="1"/>
    <xf numFmtId="0" fontId="16" fillId="0" borderId="0" xfId="14" applyFont="1"/>
    <xf numFmtId="0" fontId="9" fillId="0" borderId="0" xfId="14" applyFont="1" applyAlignment="1">
      <alignment horizontal="center" vertical="center"/>
    </xf>
    <xf numFmtId="0" fontId="16" fillId="0" borderId="0" xfId="14" applyFont="1" applyFill="1" applyBorder="1" applyAlignment="1">
      <alignment horizontal="center" vertical="center"/>
    </xf>
    <xf numFmtId="3" fontId="14" fillId="0" borderId="6" xfId="1" applyNumberFormat="1" applyFont="1" applyFill="1" applyBorder="1" applyAlignment="1">
      <alignment horizontal="right" vertical="center"/>
    </xf>
    <xf numFmtId="0" fontId="22" fillId="0" borderId="0" xfId="13" applyFont="1" applyBorder="1" applyAlignment="1">
      <alignment vertical="center" wrapText="1"/>
    </xf>
    <xf numFmtId="3" fontId="22" fillId="0" borderId="0" xfId="1" applyNumberFormat="1" applyFont="1" applyBorder="1" applyAlignment="1">
      <alignment horizontal="right" vertical="center"/>
    </xf>
    <xf numFmtId="0" fontId="25" fillId="0" borderId="0" xfId="14" applyFont="1" applyBorder="1" applyAlignment="1">
      <alignment horizontal="center" vertical="center"/>
    </xf>
    <xf numFmtId="0" fontId="16" fillId="0" borderId="0" xfId="14" applyFont="1" applyBorder="1" applyAlignment="1">
      <alignment horizontal="center" vertical="center"/>
    </xf>
    <xf numFmtId="3" fontId="16" fillId="0" borderId="0" xfId="14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/>
    <xf numFmtId="3" fontId="11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9" fillId="0" borderId="0" xfId="0" applyNumberFormat="1" applyFont="1"/>
    <xf numFmtId="0" fontId="11" fillId="0" borderId="6" xfId="0" applyFont="1" applyBorder="1" applyAlignment="1">
      <alignment horizontal="left" vertical="center" wrapText="1"/>
    </xf>
    <xf numFmtId="3" fontId="11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3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11" fillId="0" borderId="6" xfId="0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3" fontId="28" fillId="0" borderId="6" xfId="1" applyNumberFormat="1" applyFont="1" applyFill="1" applyBorder="1" applyAlignment="1">
      <alignment horizontal="right" vertical="center"/>
    </xf>
    <xf numFmtId="3" fontId="32" fillId="8" borderId="6" xfId="1" applyNumberFormat="1" applyFont="1" applyFill="1" applyBorder="1" applyAlignment="1">
      <alignment horizontal="right" vertical="center"/>
    </xf>
    <xf numFmtId="3" fontId="28" fillId="0" borderId="14" xfId="1" applyNumberFormat="1" applyFont="1" applyFill="1" applyBorder="1" applyAlignment="1">
      <alignment horizontal="right" vertical="center"/>
    </xf>
    <xf numFmtId="3" fontId="28" fillId="0" borderId="6" xfId="1" applyNumberFormat="1" applyFont="1" applyBorder="1" applyAlignment="1">
      <alignment horizontal="right" vertical="center"/>
    </xf>
    <xf numFmtId="3" fontId="32" fillId="8" borderId="14" xfId="1" applyNumberFormat="1" applyFont="1" applyFill="1" applyBorder="1" applyAlignment="1">
      <alignment horizontal="right" vertical="center"/>
    </xf>
    <xf numFmtId="3" fontId="28" fillId="0" borderId="14" xfId="1" applyNumberFormat="1" applyFont="1" applyBorder="1" applyAlignment="1">
      <alignment horizontal="right" vertical="center"/>
    </xf>
    <xf numFmtId="3" fontId="30" fillId="0" borderId="6" xfId="1" applyNumberFormat="1" applyFont="1" applyBorder="1" applyAlignment="1">
      <alignment horizontal="right" vertical="center"/>
    </xf>
    <xf numFmtId="3" fontId="32" fillId="0" borderId="6" xfId="1" applyNumberFormat="1" applyFont="1" applyBorder="1" applyAlignment="1">
      <alignment horizontal="right" vertical="center"/>
    </xf>
    <xf numFmtId="3" fontId="32" fillId="0" borderId="6" xfId="15" applyNumberFormat="1" applyFont="1" applyBorder="1" applyAlignment="1">
      <alignment horizontal="right" vertical="center"/>
    </xf>
    <xf numFmtId="3" fontId="28" fillId="0" borderId="0" xfId="15" applyNumberFormat="1" applyFont="1" applyAlignment="1">
      <alignment horizontal="right" vertical="center"/>
    </xf>
    <xf numFmtId="0" fontId="32" fillId="8" borderId="15" xfId="15" applyFont="1" applyFill="1" applyBorder="1" applyAlignment="1">
      <alignment horizontal="left" vertical="center"/>
    </xf>
    <xf numFmtId="0" fontId="32" fillId="0" borderId="6" xfId="15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172" fontId="11" fillId="0" borderId="0" xfId="1" applyNumberFormat="1" applyFont="1" applyBorder="1" applyAlignment="1">
      <alignment vertical="center"/>
    </xf>
    <xf numFmtId="3" fontId="30" fillId="0" borderId="6" xfId="1" applyNumberFormat="1" applyFont="1" applyFill="1" applyBorder="1" applyAlignment="1">
      <alignment horizontal="right" vertical="center"/>
    </xf>
    <xf numFmtId="0" fontId="32" fillId="0" borderId="10" xfId="15" applyFont="1" applyFill="1" applyBorder="1" applyAlignment="1">
      <alignment horizontal="center" vertical="center"/>
    </xf>
    <xf numFmtId="3" fontId="32" fillId="8" borderId="6" xfId="1" applyNumberFormat="1" applyFont="1" applyFill="1" applyBorder="1" applyAlignment="1">
      <alignment vertical="center"/>
    </xf>
    <xf numFmtId="3" fontId="28" fillId="8" borderId="14" xfId="1" applyNumberFormat="1" applyFont="1" applyFill="1" applyBorder="1" applyAlignment="1">
      <alignment vertical="center"/>
    </xf>
    <xf numFmtId="3" fontId="28" fillId="0" borderId="6" xfId="1" applyNumberFormat="1" applyFont="1" applyFill="1" applyBorder="1" applyAlignment="1">
      <alignment vertical="center"/>
    </xf>
    <xf numFmtId="3" fontId="28" fillId="0" borderId="14" xfId="1" applyNumberFormat="1" applyFont="1" applyFill="1" applyBorder="1" applyAlignment="1">
      <alignment vertical="center"/>
    </xf>
    <xf numFmtId="3" fontId="32" fillId="8" borderId="14" xfId="1" applyNumberFormat="1" applyFont="1" applyFill="1" applyBorder="1" applyAlignment="1">
      <alignment vertical="center"/>
    </xf>
    <xf numFmtId="3" fontId="28" fillId="0" borderId="6" xfId="1" applyNumberFormat="1" applyFont="1" applyBorder="1" applyAlignment="1">
      <alignment vertical="center"/>
    </xf>
    <xf numFmtId="3" fontId="28" fillId="0" borderId="14" xfId="1" applyNumberFormat="1" applyFont="1" applyBorder="1" applyAlignment="1">
      <alignment vertical="center"/>
    </xf>
    <xf numFmtId="3" fontId="30" fillId="0" borderId="6" xfId="1" applyNumberFormat="1" applyFont="1" applyBorder="1" applyAlignment="1">
      <alignment vertical="center"/>
    </xf>
    <xf numFmtId="3" fontId="32" fillId="0" borderId="6" xfId="1" applyNumberFormat="1" applyFont="1" applyBorder="1" applyAlignment="1">
      <alignment vertical="center"/>
    </xf>
    <xf numFmtId="3" fontId="28" fillId="0" borderId="0" xfId="15" applyNumberFormat="1" applyFont="1" applyAlignment="1">
      <alignment vertical="center"/>
    </xf>
    <xf numFmtId="3" fontId="28" fillId="0" borderId="0" xfId="1" applyNumberFormat="1" applyFont="1" applyBorder="1" applyAlignment="1">
      <alignment vertical="center"/>
    </xf>
    <xf numFmtId="0" fontId="27" fillId="0" borderId="0" xfId="15" applyFont="1" applyAlignment="1">
      <alignment vertical="center"/>
    </xf>
    <xf numFmtId="0" fontId="28" fillId="0" borderId="0" xfId="15" applyFont="1" applyAlignment="1">
      <alignment horizontal="center" vertical="center"/>
    </xf>
    <xf numFmtId="0" fontId="28" fillId="0" borderId="0" xfId="15" applyFont="1" applyAlignment="1">
      <alignment vertical="center"/>
    </xf>
    <xf numFmtId="0" fontId="7" fillId="0" borderId="0" xfId="15" applyAlignment="1">
      <alignment vertical="center"/>
    </xf>
    <xf numFmtId="0" fontId="29" fillId="0" borderId="0" xfId="15" applyFont="1" applyAlignment="1">
      <alignment vertical="center"/>
    </xf>
    <xf numFmtId="0" fontId="30" fillId="0" borderId="0" xfId="15" applyFont="1" applyAlignment="1">
      <alignment horizontal="center" vertical="center"/>
    </xf>
    <xf numFmtId="0" fontId="28" fillId="0" borderId="15" xfId="15" applyFont="1" applyFill="1" applyBorder="1" applyAlignment="1">
      <alignment vertical="center"/>
    </xf>
    <xf numFmtId="0" fontId="28" fillId="0" borderId="6" xfId="15" applyFont="1" applyFill="1" applyBorder="1" applyAlignment="1">
      <alignment horizontal="center" vertical="center"/>
    </xf>
    <xf numFmtId="0" fontId="32" fillId="0" borderId="16" xfId="15" applyFont="1" applyFill="1" applyBorder="1" applyAlignment="1">
      <alignment horizontal="center" vertical="center"/>
    </xf>
    <xf numFmtId="0" fontId="28" fillId="0" borderId="17" xfId="15" applyFont="1" applyFill="1" applyBorder="1" applyAlignment="1">
      <alignment vertical="center"/>
    </xf>
    <xf numFmtId="0" fontId="32" fillId="8" borderId="6" xfId="15" applyFont="1" applyFill="1" applyBorder="1" applyAlignment="1">
      <alignment horizontal="center" vertical="center"/>
    </xf>
    <xf numFmtId="0" fontId="32" fillId="8" borderId="6" xfId="15" applyFont="1" applyFill="1" applyBorder="1" applyAlignment="1">
      <alignment vertical="center"/>
    </xf>
    <xf numFmtId="0" fontId="28" fillId="0" borderId="6" xfId="15" applyFont="1" applyFill="1" applyBorder="1" applyAlignment="1">
      <alignment horizontal="left" vertical="center"/>
    </xf>
    <xf numFmtId="0" fontId="32" fillId="8" borderId="6" xfId="15" applyFont="1" applyFill="1" applyBorder="1" applyAlignment="1">
      <alignment horizontal="left" vertical="center"/>
    </xf>
    <xf numFmtId="0" fontId="32" fillId="0" borderId="0" xfId="15" applyFont="1" applyAlignment="1">
      <alignment horizontal="center" vertical="center"/>
    </xf>
    <xf numFmtId="0" fontId="32" fillId="0" borderId="0" xfId="15" applyFont="1" applyAlignment="1">
      <alignment vertical="center"/>
    </xf>
    <xf numFmtId="49" fontId="30" fillId="0" borderId="0" xfId="15" applyNumberFormat="1" applyFont="1" applyAlignment="1">
      <alignment horizontal="center" vertical="center"/>
    </xf>
    <xf numFmtId="0" fontId="28" fillId="0" borderId="15" xfId="15" applyFont="1" applyBorder="1" applyAlignment="1">
      <alignment vertical="center"/>
    </xf>
    <xf numFmtId="0" fontId="28" fillId="0" borderId="6" xfId="15" applyFont="1" applyBorder="1" applyAlignment="1">
      <alignment horizontal="center" vertical="center"/>
    </xf>
    <xf numFmtId="0" fontId="28" fillId="0" borderId="6" xfId="15" applyFont="1" applyBorder="1" applyAlignment="1">
      <alignment vertical="center"/>
    </xf>
    <xf numFmtId="0" fontId="28" fillId="0" borderId="6" xfId="15" applyFont="1" applyFill="1" applyBorder="1" applyAlignment="1">
      <alignment vertical="center"/>
    </xf>
    <xf numFmtId="0" fontId="28" fillId="0" borderId="0" xfId="15" applyFont="1" applyFill="1" applyAlignment="1">
      <alignment vertical="center"/>
    </xf>
    <xf numFmtId="0" fontId="30" fillId="0" borderId="6" xfId="15" applyFont="1" applyBorder="1" applyAlignment="1">
      <alignment horizontal="center" vertical="center"/>
    </xf>
    <xf numFmtId="0" fontId="30" fillId="0" borderId="6" xfId="15" applyFont="1" applyBorder="1" applyAlignment="1">
      <alignment horizontal="left" vertical="center"/>
    </xf>
    <xf numFmtId="0" fontId="28" fillId="0" borderId="6" xfId="15" applyFont="1" applyBorder="1" applyAlignment="1">
      <alignment horizontal="left" vertical="center"/>
    </xf>
    <xf numFmtId="0" fontId="32" fillId="0" borderId="6" xfId="15" applyFont="1" applyBorder="1" applyAlignment="1">
      <alignment vertical="center"/>
    </xf>
    <xf numFmtId="0" fontId="32" fillId="8" borderId="18" xfId="15" applyFont="1" applyFill="1" applyBorder="1" applyAlignment="1">
      <alignment horizontal="center" vertical="center"/>
    </xf>
    <xf numFmtId="0" fontId="30" fillId="0" borderId="0" xfId="15" applyFont="1" applyAlignment="1">
      <alignment vertical="center"/>
    </xf>
    <xf numFmtId="0" fontId="32" fillId="0" borderId="0" xfId="15" applyFont="1" applyFill="1" applyAlignment="1">
      <alignment vertical="center"/>
    </xf>
    <xf numFmtId="49" fontId="30" fillId="0" borderId="0" xfId="15" applyNumberFormat="1" applyFont="1" applyAlignment="1">
      <alignment vertical="center"/>
    </xf>
    <xf numFmtId="3" fontId="32" fillId="0" borderId="14" xfId="1" applyNumberFormat="1" applyFont="1" applyBorder="1" applyAlignment="1">
      <alignment vertical="center"/>
    </xf>
    <xf numFmtId="0" fontId="32" fillId="0" borderId="19" xfId="15" applyFont="1" applyFill="1" applyBorder="1" applyAlignment="1">
      <alignment horizontal="center" vertical="center"/>
    </xf>
    <xf numFmtId="172" fontId="32" fillId="0" borderId="0" xfId="15" applyNumberFormat="1" applyFont="1" applyFill="1" applyAlignment="1">
      <alignment vertical="center"/>
    </xf>
    <xf numFmtId="0" fontId="32" fillId="9" borderId="6" xfId="15" applyFont="1" applyFill="1" applyBorder="1" applyAlignment="1">
      <alignment horizontal="center" vertical="center"/>
    </xf>
    <xf numFmtId="0" fontId="32" fillId="9" borderId="0" xfId="15" applyFont="1" applyFill="1" applyAlignment="1">
      <alignment vertical="center"/>
    </xf>
    <xf numFmtId="172" fontId="28" fillId="0" borderId="0" xfId="15" applyNumberFormat="1" applyFont="1" applyAlignment="1">
      <alignment vertical="center"/>
    </xf>
    <xf numFmtId="3" fontId="30" fillId="0" borderId="14" xfId="1" applyNumberFormat="1" applyFont="1" applyBorder="1" applyAlignment="1">
      <alignment vertical="center"/>
    </xf>
    <xf numFmtId="0" fontId="9" fillId="0" borderId="14" xfId="12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3" fontId="9" fillId="0" borderId="6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3" fontId="9" fillId="0" borderId="22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3" fontId="9" fillId="0" borderId="23" xfId="0" applyNumberFormat="1" applyFont="1" applyBorder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3" fontId="11" fillId="0" borderId="24" xfId="0" applyNumberFormat="1" applyFont="1" applyBorder="1" applyAlignment="1">
      <alignment horizontal="right" vertical="center"/>
    </xf>
    <xf numFmtId="3" fontId="19" fillId="0" borderId="25" xfId="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0" fontId="11" fillId="0" borderId="27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19" fillId="0" borderId="10" xfId="0" applyNumberFormat="1" applyFont="1" applyBorder="1" applyAlignment="1">
      <alignment horizontal="right" vertical="center"/>
    </xf>
    <xf numFmtId="3" fontId="19" fillId="0" borderId="15" xfId="0" applyNumberFormat="1" applyFont="1" applyBorder="1" applyAlignment="1">
      <alignment horizontal="right" vertical="center"/>
    </xf>
    <xf numFmtId="3" fontId="11" fillId="0" borderId="28" xfId="0" applyNumberFormat="1" applyFont="1" applyBorder="1" applyAlignment="1">
      <alignment horizontal="right" vertical="center"/>
    </xf>
    <xf numFmtId="3" fontId="19" fillId="0" borderId="30" xfId="0" applyNumberFormat="1" applyFont="1" applyBorder="1" applyAlignment="1">
      <alignment horizontal="right" vertical="center"/>
    </xf>
    <xf numFmtId="3" fontId="19" fillId="0" borderId="3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19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3" fontId="16" fillId="0" borderId="6" xfId="1" applyNumberFormat="1" applyFont="1" applyBorder="1" applyAlignment="1">
      <alignment horizontal="right" vertical="center"/>
    </xf>
    <xf numFmtId="3" fontId="9" fillId="0" borderId="10" xfId="1" applyNumberFormat="1" applyFont="1" applyBorder="1" applyAlignment="1">
      <alignment horizontal="right" vertical="center"/>
    </xf>
    <xf numFmtId="3" fontId="9" fillId="0" borderId="6" xfId="1" applyNumberFormat="1" applyFont="1" applyBorder="1" applyAlignment="1">
      <alignment horizontal="right" vertical="center"/>
    </xf>
    <xf numFmtId="3" fontId="9" fillId="0" borderId="19" xfId="1" applyNumberFormat="1" applyFont="1" applyBorder="1" applyAlignment="1">
      <alignment horizontal="right" vertical="center"/>
    </xf>
    <xf numFmtId="3" fontId="9" fillId="0" borderId="31" xfId="1" applyNumberFormat="1" applyFont="1" applyBorder="1" applyAlignment="1">
      <alignment horizontal="right" vertical="center"/>
    </xf>
    <xf numFmtId="3" fontId="9" fillId="0" borderId="32" xfId="1" applyNumberFormat="1" applyFont="1" applyBorder="1" applyAlignment="1">
      <alignment horizontal="right" vertical="center"/>
    </xf>
    <xf numFmtId="3" fontId="11" fillId="0" borderId="13" xfId="1" applyNumberFormat="1" applyFont="1" applyBorder="1" applyAlignment="1">
      <alignment horizontal="right" vertical="center"/>
    </xf>
    <xf numFmtId="3" fontId="11" fillId="0" borderId="21" xfId="1" applyNumberFormat="1" applyFont="1" applyBorder="1" applyAlignment="1">
      <alignment horizontal="right" vertical="center"/>
    </xf>
    <xf numFmtId="3" fontId="11" fillId="0" borderId="33" xfId="1" applyNumberFormat="1" applyFont="1" applyBorder="1" applyAlignment="1">
      <alignment horizontal="right" vertical="center"/>
    </xf>
    <xf numFmtId="3" fontId="11" fillId="0" borderId="34" xfId="1" applyNumberFormat="1" applyFont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5" fillId="0" borderId="6" xfId="0" quotePrefix="1" applyFont="1" applyBorder="1" applyAlignment="1">
      <alignment vertical="center"/>
    </xf>
    <xf numFmtId="0" fontId="14" fillId="0" borderId="0" xfId="0" quotePrefix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3" fontId="11" fillId="0" borderId="6" xfId="1" applyNumberFormat="1" applyFont="1" applyBorder="1" applyAlignment="1">
      <alignment horizontal="right" vertical="center"/>
    </xf>
    <xf numFmtId="0" fontId="14" fillId="0" borderId="6" xfId="14" applyFont="1" applyBorder="1" applyAlignment="1">
      <alignment horizontal="center" vertical="center" textRotation="90" wrapText="1"/>
    </xf>
    <xf numFmtId="0" fontId="15" fillId="0" borderId="6" xfId="14" applyFont="1" applyBorder="1" applyAlignment="1">
      <alignment horizontal="center" vertical="center" textRotation="90" wrapText="1"/>
    </xf>
    <xf numFmtId="3" fontId="15" fillId="0" borderId="6" xfId="1" quotePrefix="1" applyNumberFormat="1" applyFont="1" applyBorder="1" applyAlignment="1">
      <alignment horizontal="right" vertical="center"/>
    </xf>
    <xf numFmtId="0" fontId="15" fillId="0" borderId="0" xfId="13" applyFont="1" applyBorder="1" applyAlignment="1">
      <alignment horizontal="center" vertical="center"/>
    </xf>
    <xf numFmtId="0" fontId="15" fillId="0" borderId="0" xfId="13" applyFont="1" applyBorder="1" applyAlignment="1">
      <alignment vertical="center" wrapText="1"/>
    </xf>
    <xf numFmtId="3" fontId="15" fillId="0" borderId="0" xfId="1" applyNumberFormat="1" applyFont="1" applyBorder="1" applyAlignment="1">
      <alignment horizontal="right" vertical="center"/>
    </xf>
    <xf numFmtId="0" fontId="14" fillId="0" borderId="0" xfId="14" applyFont="1" applyBorder="1" applyAlignment="1">
      <alignment horizontal="center" vertical="center"/>
    </xf>
    <xf numFmtId="0" fontId="9" fillId="0" borderId="6" xfId="14" applyFont="1" applyFill="1" applyBorder="1" applyAlignment="1">
      <alignment horizontal="center" vertical="center"/>
    </xf>
    <xf numFmtId="0" fontId="9" fillId="0" borderId="0" xfId="14" applyFont="1" applyFill="1" applyBorder="1" applyAlignment="1">
      <alignment vertical="center"/>
    </xf>
    <xf numFmtId="0" fontId="9" fillId="0" borderId="0" xfId="14" applyFont="1" applyAlignment="1">
      <alignment vertical="center"/>
    </xf>
    <xf numFmtId="0" fontId="14" fillId="0" borderId="6" xfId="14" applyFont="1" applyBorder="1" applyAlignment="1">
      <alignment vertical="center"/>
    </xf>
    <xf numFmtId="0" fontId="9" fillId="0" borderId="0" xfId="14" applyFont="1" applyFill="1" applyAlignment="1">
      <alignment vertical="center"/>
    </xf>
    <xf numFmtId="3" fontId="14" fillId="0" borderId="6" xfId="14" applyNumberFormat="1" applyFont="1" applyBorder="1" applyAlignment="1">
      <alignment horizontal="right" vertical="center"/>
    </xf>
    <xf numFmtId="3" fontId="15" fillId="0" borderId="6" xfId="14" applyNumberFormat="1" applyFont="1" applyBorder="1" applyAlignment="1">
      <alignment horizontal="right" vertical="center"/>
    </xf>
    <xf numFmtId="0" fontId="14" fillId="0" borderId="6" xfId="14" applyFont="1" applyFill="1" applyBorder="1" applyAlignment="1">
      <alignment vertical="center"/>
    </xf>
    <xf numFmtId="0" fontId="15" fillId="0" borderId="6" xfId="14" applyFont="1" applyBorder="1" applyAlignment="1">
      <alignment vertical="center"/>
    </xf>
    <xf numFmtId="0" fontId="16" fillId="0" borderId="0" xfId="14" applyFont="1" applyFill="1"/>
    <xf numFmtId="3" fontId="11" fillId="0" borderId="6" xfId="0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9" fillId="0" borderId="6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14" fillId="0" borderId="0" xfId="13" applyFont="1" applyAlignment="1">
      <alignment horizontal="right" vertical="center"/>
    </xf>
    <xf numFmtId="0" fontId="20" fillId="0" borderId="0" xfId="14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/>
    <xf numFmtId="3" fontId="11" fillId="0" borderId="11" xfId="1" applyNumberFormat="1" applyFont="1" applyBorder="1" applyAlignment="1">
      <alignment horizontal="right" vertical="center"/>
    </xf>
    <xf numFmtId="0" fontId="14" fillId="0" borderId="0" xfId="14" applyFont="1" applyBorder="1" applyAlignment="1">
      <alignment vertical="center"/>
    </xf>
    <xf numFmtId="0" fontId="9" fillId="0" borderId="0" xfId="16" applyFont="1" applyAlignment="1">
      <alignment horizontal="right"/>
    </xf>
    <xf numFmtId="3" fontId="9" fillId="0" borderId="6" xfId="1" applyNumberFormat="1" applyFont="1" applyFill="1" applyBorder="1"/>
    <xf numFmtId="0" fontId="39" fillId="0" borderId="0" xfId="0" applyFont="1" applyFill="1"/>
    <xf numFmtId="0" fontId="39" fillId="0" borderId="0" xfId="0" applyFont="1"/>
    <xf numFmtId="0" fontId="39" fillId="0" borderId="0" xfId="0" applyFont="1" applyFill="1" applyBorder="1" applyAlignment="1">
      <alignment vertical="center"/>
    </xf>
    <xf numFmtId="0" fontId="23" fillId="0" borderId="0" xfId="16" applyFont="1" applyFill="1" applyBorder="1" applyAlignment="1">
      <alignment horizontal="center" vertical="center"/>
    </xf>
    <xf numFmtId="0" fontId="23" fillId="0" borderId="0" xfId="16" applyFont="1" applyFill="1" applyAlignment="1">
      <alignment horizontal="center" vertical="center"/>
    </xf>
    <xf numFmtId="0" fontId="40" fillId="0" borderId="0" xfId="16" applyFont="1" applyFill="1" applyAlignment="1">
      <alignment horizontal="right" vertical="center"/>
    </xf>
    <xf numFmtId="0" fontId="11" fillId="0" borderId="6" xfId="16" applyFont="1" applyFill="1" applyBorder="1" applyAlignment="1">
      <alignment horizontal="center" vertical="center"/>
    </xf>
    <xf numFmtId="172" fontId="9" fillId="0" borderId="0" xfId="1" applyNumberFormat="1" applyFont="1" applyFill="1"/>
    <xf numFmtId="3" fontId="11" fillId="0" borderId="6" xfId="16" applyNumberFormat="1" applyFont="1" applyFill="1" applyBorder="1" applyAlignment="1">
      <alignment vertical="center"/>
    </xf>
    <xf numFmtId="172" fontId="19" fillId="0" borderId="6" xfId="1" applyNumberFormat="1" applyFont="1" applyFill="1" applyBorder="1" applyAlignment="1">
      <alignment horizontal="center" vertical="center"/>
    </xf>
    <xf numFmtId="3" fontId="19" fillId="0" borderId="6" xfId="16" applyNumberFormat="1" applyFont="1" applyFill="1" applyBorder="1" applyAlignment="1">
      <alignment vertical="center"/>
    </xf>
    <xf numFmtId="0" fontId="12" fillId="0" borderId="6" xfId="16" applyFont="1" applyFill="1" applyBorder="1" applyAlignment="1">
      <alignment horizontal="center" vertical="center"/>
    </xf>
    <xf numFmtId="0" fontId="41" fillId="0" borderId="0" xfId="13" applyFont="1" applyAlignment="1">
      <alignment vertical="center"/>
    </xf>
    <xf numFmtId="0" fontId="36" fillId="0" borderId="0" xfId="13" applyFont="1" applyAlignment="1">
      <alignment vertical="center"/>
    </xf>
    <xf numFmtId="173" fontId="41" fillId="0" borderId="0" xfId="1" applyNumberFormat="1" applyFont="1" applyAlignment="1">
      <alignment vertical="center"/>
    </xf>
    <xf numFmtId="0" fontId="42" fillId="0" borderId="0" xfId="13" applyFont="1" applyAlignment="1">
      <alignment vertical="center"/>
    </xf>
    <xf numFmtId="0" fontId="41" fillId="0" borderId="0" xfId="13" applyFont="1" applyAlignment="1">
      <alignment vertical="center" wrapText="1"/>
    </xf>
    <xf numFmtId="0" fontId="41" fillId="0" borderId="0" xfId="13" quotePrefix="1" applyFont="1" applyAlignment="1">
      <alignment vertical="center"/>
    </xf>
    <xf numFmtId="0" fontId="41" fillId="0" borderId="0" xfId="13" applyFont="1" applyAlignment="1">
      <alignment horizontal="center" vertical="center"/>
    </xf>
    <xf numFmtId="0" fontId="14" fillId="0" borderId="0" xfId="13" applyFont="1" applyAlignment="1">
      <alignment horizontal="center" vertical="center"/>
    </xf>
    <xf numFmtId="0" fontId="14" fillId="0" borderId="0" xfId="13" applyFont="1" applyAlignment="1">
      <alignment vertical="center" wrapText="1"/>
    </xf>
    <xf numFmtId="173" fontId="14" fillId="0" borderId="0" xfId="1" applyNumberFormat="1" applyFont="1" applyAlignment="1">
      <alignment vertical="center"/>
    </xf>
    <xf numFmtId="0" fontId="23" fillId="0" borderId="0" xfId="13" applyFont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173" fontId="15" fillId="0" borderId="6" xfId="1" applyNumberFormat="1" applyFont="1" applyBorder="1" applyAlignment="1">
      <alignment vertical="center"/>
    </xf>
    <xf numFmtId="0" fontId="14" fillId="0" borderId="39" xfId="13" applyFont="1" applyBorder="1" applyAlignment="1">
      <alignment horizontal="center" vertical="center"/>
    </xf>
    <xf numFmtId="0" fontId="14" fillId="0" borderId="15" xfId="13" applyFont="1" applyBorder="1" applyAlignment="1">
      <alignment vertical="center"/>
    </xf>
    <xf numFmtId="3" fontId="14" fillId="0" borderId="16" xfId="13" applyNumberFormat="1" applyFont="1" applyBorder="1" applyAlignment="1">
      <alignment vertical="center"/>
    </xf>
    <xf numFmtId="0" fontId="14" fillId="0" borderId="40" xfId="13" applyFont="1" applyBorder="1" applyAlignment="1">
      <alignment horizontal="center" vertical="center"/>
    </xf>
    <xf numFmtId="0" fontId="14" fillId="0" borderId="16" xfId="13" applyFont="1" applyBorder="1" applyAlignment="1">
      <alignment vertical="center" wrapText="1"/>
    </xf>
    <xf numFmtId="0" fontId="14" fillId="0" borderId="16" xfId="13" applyFont="1" applyBorder="1" applyAlignment="1">
      <alignment vertical="center"/>
    </xf>
    <xf numFmtId="0" fontId="14" fillId="0" borderId="14" xfId="13" applyFont="1" applyBorder="1" applyAlignment="1">
      <alignment horizontal="center" vertical="center"/>
    </xf>
    <xf numFmtId="0" fontId="14" fillId="0" borderId="17" xfId="13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5" fillId="0" borderId="14" xfId="13" applyNumberFormat="1" applyFont="1" applyBorder="1" applyAlignment="1">
      <alignment vertical="center"/>
    </xf>
    <xf numFmtId="0" fontId="15" fillId="0" borderId="26" xfId="13" applyFont="1" applyFill="1" applyBorder="1" applyAlignment="1">
      <alignment horizontal="center" vertical="center"/>
    </xf>
    <xf numFmtId="0" fontId="14" fillId="0" borderId="41" xfId="13" applyFont="1" applyBorder="1" applyAlignment="1">
      <alignment vertical="center"/>
    </xf>
    <xf numFmtId="0" fontId="15" fillId="0" borderId="41" xfId="13" applyFont="1" applyBorder="1" applyAlignment="1">
      <alignment horizontal="left" vertical="center"/>
    </xf>
    <xf numFmtId="0" fontId="15" fillId="0" borderId="26" xfId="13" applyFont="1" applyBorder="1" applyAlignment="1">
      <alignment vertical="center"/>
    </xf>
    <xf numFmtId="0" fontId="9" fillId="0" borderId="0" xfId="0" applyFont="1" applyFill="1" applyAlignment="1">
      <alignment horizontal="center"/>
    </xf>
    <xf numFmtId="172" fontId="11" fillId="0" borderId="0" xfId="1" applyNumberFormat="1" applyFont="1" applyFill="1" applyBorder="1"/>
    <xf numFmtId="172" fontId="15" fillId="0" borderId="0" xfId="1" applyNumberFormat="1" applyFont="1" applyFill="1" applyBorder="1"/>
    <xf numFmtId="0" fontId="14" fillId="0" borderId="0" xfId="0" applyFont="1" applyFill="1" applyBorder="1"/>
    <xf numFmtId="0" fontId="14" fillId="0" borderId="0" xfId="0" applyFont="1" applyFill="1"/>
    <xf numFmtId="172" fontId="15" fillId="0" borderId="42" xfId="1" applyNumberFormat="1" applyFont="1" applyFill="1" applyBorder="1" applyAlignment="1">
      <alignment horizontal="center" vertical="center" wrapText="1"/>
    </xf>
    <xf numFmtId="172" fontId="9" fillId="0" borderId="6" xfId="1" applyNumberFormat="1" applyFont="1" applyFill="1" applyBorder="1"/>
    <xf numFmtId="3" fontId="14" fillId="0" borderId="0" xfId="0" applyNumberFormat="1" applyFont="1" applyFill="1"/>
    <xf numFmtId="3" fontId="9" fillId="0" borderId="0" xfId="0" applyNumberFormat="1" applyFont="1" applyFill="1"/>
    <xf numFmtId="172" fontId="11" fillId="0" borderId="6" xfId="1" applyNumberFormat="1" applyFont="1" applyFill="1" applyBorder="1"/>
    <xf numFmtId="3" fontId="9" fillId="0" borderId="6" xfId="0" applyNumberFormat="1" applyFont="1" applyFill="1" applyBorder="1"/>
    <xf numFmtId="172" fontId="9" fillId="0" borderId="21" xfId="1" applyNumberFormat="1" applyFont="1" applyFill="1" applyBorder="1"/>
    <xf numFmtId="3" fontId="9" fillId="0" borderId="21" xfId="1" applyNumberFormat="1" applyFont="1" applyFill="1" applyBorder="1"/>
    <xf numFmtId="172" fontId="11" fillId="0" borderId="14" xfId="1" applyNumberFormat="1" applyFont="1" applyFill="1" applyBorder="1"/>
    <xf numFmtId="3" fontId="11" fillId="0" borderId="14" xfId="1" applyNumberFormat="1" applyFont="1" applyFill="1" applyBorder="1"/>
    <xf numFmtId="3" fontId="11" fillId="0" borderId="14" xfId="0" applyNumberFormat="1" applyFont="1" applyFill="1" applyBorder="1"/>
    <xf numFmtId="172" fontId="11" fillId="0" borderId="6" xfId="1" applyNumberFormat="1" applyFont="1" applyFill="1" applyBorder="1" applyAlignment="1">
      <alignment vertical="center" wrapText="1"/>
    </xf>
    <xf numFmtId="3" fontId="11" fillId="0" borderId="6" xfId="1" applyNumberFormat="1" applyFont="1" applyFill="1" applyBorder="1" applyAlignment="1">
      <alignment vertical="center" wrapText="1"/>
    </xf>
    <xf numFmtId="0" fontId="39" fillId="0" borderId="0" xfId="0" applyFont="1" applyFill="1" applyAlignment="1">
      <alignment vertical="center"/>
    </xf>
    <xf numFmtId="3" fontId="28" fillId="0" borderId="0" xfId="1" applyNumberFormat="1" applyFont="1" applyBorder="1" applyAlignment="1">
      <alignment horizontal="right" vertical="center"/>
    </xf>
    <xf numFmtId="172" fontId="9" fillId="0" borderId="6" xfId="1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/>
    <xf numFmtId="0" fontId="27" fillId="0" borderId="0" xfId="15" applyFont="1" applyAlignment="1">
      <alignment horizontal="left" vertical="center"/>
    </xf>
    <xf numFmtId="3" fontId="32" fillId="0" borderId="6" xfId="1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6" xfId="14" applyFont="1" applyBorder="1" applyAlignment="1">
      <alignment horizontal="right" vertical="center" wrapText="1"/>
    </xf>
    <xf numFmtId="0" fontId="15" fillId="0" borderId="6" xfId="14" applyFont="1" applyBorder="1" applyAlignment="1">
      <alignment horizontal="right" vertical="center" wrapText="1"/>
    </xf>
    <xf numFmtId="3" fontId="14" fillId="0" borderId="6" xfId="14" applyNumberFormat="1" applyFont="1" applyBorder="1" applyAlignment="1">
      <alignment horizontal="right" vertical="center" wrapText="1"/>
    </xf>
    <xf numFmtId="3" fontId="9" fillId="0" borderId="43" xfId="0" applyNumberFormat="1" applyFont="1" applyBorder="1" applyAlignment="1">
      <alignment horizontal="right" vertical="center"/>
    </xf>
    <xf numFmtId="3" fontId="9" fillId="0" borderId="44" xfId="0" applyNumberFormat="1" applyFont="1" applyBorder="1" applyAlignment="1">
      <alignment horizontal="right" vertical="center"/>
    </xf>
    <xf numFmtId="3" fontId="11" fillId="0" borderId="12" xfId="1" applyNumberFormat="1" applyFont="1" applyBorder="1" applyAlignment="1">
      <alignment horizontal="right" vertical="center"/>
    </xf>
    <xf numFmtId="0" fontId="41" fillId="0" borderId="16" xfId="13" applyFont="1" applyBorder="1" applyAlignment="1">
      <alignment vertical="center" wrapText="1"/>
    </xf>
    <xf numFmtId="3" fontId="15" fillId="0" borderId="6" xfId="13" applyNumberFormat="1" applyFont="1" applyBorder="1" applyAlignment="1">
      <alignment vertical="center"/>
    </xf>
    <xf numFmtId="0" fontId="14" fillId="0" borderId="0" xfId="13" applyFont="1" applyBorder="1" applyAlignment="1">
      <alignment vertical="center"/>
    </xf>
    <xf numFmtId="3" fontId="11" fillId="0" borderId="45" xfId="0" applyNumberFormat="1" applyFont="1" applyBorder="1" applyAlignment="1">
      <alignment horizontal="right" vertical="center"/>
    </xf>
    <xf numFmtId="3" fontId="11" fillId="0" borderId="46" xfId="0" applyNumberFormat="1" applyFont="1" applyBorder="1" applyAlignment="1">
      <alignment horizontal="right" vertical="center"/>
    </xf>
    <xf numFmtId="3" fontId="11" fillId="0" borderId="27" xfId="0" applyNumberFormat="1" applyFont="1" applyBorder="1" applyAlignment="1">
      <alignment horizontal="right" vertical="center"/>
    </xf>
    <xf numFmtId="3" fontId="15" fillId="0" borderId="6" xfId="14" applyNumberFormat="1" applyFont="1" applyBorder="1" applyAlignment="1">
      <alignment horizontal="right" vertical="center" wrapText="1"/>
    </xf>
    <xf numFmtId="173" fontId="14" fillId="0" borderId="0" xfId="1" applyNumberFormat="1" applyFont="1" applyAlignment="1">
      <alignment horizontal="right" vertical="center"/>
    </xf>
    <xf numFmtId="0" fontId="9" fillId="0" borderId="23" xfId="0" applyFont="1" applyFill="1" applyBorder="1" applyAlignment="1">
      <alignment horizontal="center" vertical="center" wrapText="1"/>
    </xf>
    <xf numFmtId="0" fontId="11" fillId="0" borderId="24" xfId="10" applyFont="1" applyBorder="1" applyAlignment="1">
      <alignment vertical="center"/>
    </xf>
    <xf numFmtId="0" fontId="11" fillId="0" borderId="29" xfId="10" applyFont="1" applyBorder="1" applyAlignment="1">
      <alignment horizontal="center" vertical="center"/>
    </xf>
    <xf numFmtId="0" fontId="11" fillId="0" borderId="46" xfId="1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4" xfId="10" applyFont="1" applyBorder="1" applyAlignment="1">
      <alignment horizontal="justify" vertical="center" wrapText="1"/>
    </xf>
    <xf numFmtId="0" fontId="9" fillId="0" borderId="2" xfId="10" applyFont="1" applyBorder="1" applyAlignment="1">
      <alignment horizontal="justify" vertical="center"/>
    </xf>
    <xf numFmtId="0" fontId="9" fillId="0" borderId="6" xfId="10" applyFont="1" applyBorder="1" applyAlignment="1">
      <alignment vertical="center"/>
    </xf>
    <xf numFmtId="0" fontId="9" fillId="0" borderId="32" xfId="10" applyFont="1" applyBorder="1" applyAlignment="1">
      <alignment vertical="center"/>
    </xf>
    <xf numFmtId="0" fontId="9" fillId="0" borderId="3" xfId="10" applyFont="1" applyBorder="1" applyAlignment="1">
      <alignment horizontal="justify" vertical="center"/>
    </xf>
    <xf numFmtId="0" fontId="9" fillId="0" borderId="3" xfId="0" applyFont="1" applyFill="1" applyBorder="1" applyAlignment="1">
      <alignment horizontal="center" vertical="center" wrapText="1"/>
    </xf>
    <xf numFmtId="3" fontId="11" fillId="0" borderId="45" xfId="10" applyNumberFormat="1" applyFont="1" applyBorder="1" applyAlignment="1">
      <alignment vertical="center"/>
    </xf>
    <xf numFmtId="3" fontId="11" fillId="0" borderId="27" xfId="10" applyNumberFormat="1" applyFont="1" applyBorder="1" applyAlignment="1">
      <alignment vertical="center"/>
    </xf>
    <xf numFmtId="3" fontId="11" fillId="0" borderId="46" xfId="1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10" applyFont="1" applyBorder="1" applyAlignment="1">
      <alignment vertical="center"/>
    </xf>
    <xf numFmtId="0" fontId="9" fillId="0" borderId="0" xfId="10" applyFont="1" applyBorder="1" applyAlignment="1">
      <alignment vertical="center"/>
    </xf>
    <xf numFmtId="0" fontId="9" fillId="0" borderId="0" xfId="10" applyFont="1" applyAlignment="1">
      <alignment vertical="center"/>
    </xf>
    <xf numFmtId="0" fontId="11" fillId="0" borderId="24" xfId="10" applyFont="1" applyFill="1" applyBorder="1" applyAlignment="1">
      <alignment horizontal="justify" vertical="center"/>
    </xf>
    <xf numFmtId="0" fontId="11" fillId="0" borderId="47" xfId="10" applyFont="1" applyFill="1" applyBorder="1" applyAlignment="1">
      <alignment horizontal="center" vertical="center"/>
    </xf>
    <xf numFmtId="0" fontId="11" fillId="0" borderId="29" xfId="10" applyFont="1" applyFill="1" applyBorder="1" applyAlignment="1">
      <alignment horizontal="center" vertical="center"/>
    </xf>
    <xf numFmtId="0" fontId="9" fillId="0" borderId="2" xfId="10" applyFont="1" applyFill="1" applyBorder="1" applyAlignment="1">
      <alignment horizontal="justify" vertical="center"/>
    </xf>
    <xf numFmtId="0" fontId="9" fillId="0" borderId="31" xfId="10" applyFont="1" applyFill="1" applyBorder="1" applyAlignment="1">
      <alignment vertical="center"/>
    </xf>
    <xf numFmtId="0" fontId="9" fillId="0" borderId="6" xfId="10" applyFont="1" applyFill="1" applyBorder="1" applyAlignment="1">
      <alignment vertical="center"/>
    </xf>
    <xf numFmtId="0" fontId="9" fillId="0" borderId="32" xfId="10" applyFont="1" applyFill="1" applyBorder="1" applyAlignment="1">
      <alignment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left" vertical="center" wrapText="1"/>
    </xf>
    <xf numFmtId="0" fontId="9" fillId="0" borderId="3" xfId="10" applyFont="1" applyFill="1" applyBorder="1" applyAlignment="1">
      <alignment horizontal="justify" vertical="center"/>
    </xf>
    <xf numFmtId="0" fontId="9" fillId="0" borderId="33" xfId="10" applyFont="1" applyFill="1" applyBorder="1" applyAlignment="1">
      <alignment vertical="center"/>
    </xf>
    <xf numFmtId="0" fontId="9" fillId="0" borderId="48" xfId="0" applyFont="1" applyFill="1" applyBorder="1" applyAlignment="1">
      <alignment horizontal="center" vertical="center" wrapText="1"/>
    </xf>
    <xf numFmtId="0" fontId="11" fillId="0" borderId="47" xfId="10" applyFont="1" applyBorder="1" applyAlignment="1">
      <alignment vertical="center"/>
    </xf>
    <xf numFmtId="0" fontId="11" fillId="0" borderId="27" xfId="10" applyFont="1" applyBorder="1" applyAlignment="1">
      <alignment vertical="center"/>
    </xf>
    <xf numFmtId="0" fontId="11" fillId="0" borderId="46" xfId="10" applyFont="1" applyBorder="1" applyAlignment="1">
      <alignment vertical="center"/>
    </xf>
    <xf numFmtId="3" fontId="14" fillId="0" borderId="6" xfId="14" applyNumberFormat="1" applyFont="1" applyBorder="1" applyAlignment="1">
      <alignment vertical="center"/>
    </xf>
    <xf numFmtId="0" fontId="9" fillId="0" borderId="4" xfId="10" applyFont="1" applyBorder="1" applyAlignment="1">
      <alignment vertical="center"/>
    </xf>
    <xf numFmtId="0" fontId="9" fillId="0" borderId="5" xfId="10" applyFont="1" applyBorder="1" applyAlignment="1">
      <alignment vertical="center"/>
    </xf>
    <xf numFmtId="0" fontId="9" fillId="0" borderId="21" xfId="10" applyFont="1" applyBorder="1" applyAlignment="1">
      <alignment vertical="center"/>
    </xf>
    <xf numFmtId="0" fontId="9" fillId="0" borderId="34" xfId="10" applyFont="1" applyBorder="1" applyAlignment="1">
      <alignment vertical="center"/>
    </xf>
    <xf numFmtId="0" fontId="11" fillId="0" borderId="0" xfId="0" applyFont="1" applyAlignment="1"/>
    <xf numFmtId="0" fontId="9" fillId="0" borderId="49" xfId="0" applyFont="1" applyBorder="1"/>
    <xf numFmtId="0" fontId="9" fillId="0" borderId="50" xfId="0" applyFont="1" applyBorder="1"/>
    <xf numFmtId="0" fontId="9" fillId="0" borderId="42" xfId="0" applyFont="1" applyBorder="1"/>
    <xf numFmtId="0" fontId="9" fillId="0" borderId="1" xfId="0" applyFont="1" applyBorder="1"/>
    <xf numFmtId="0" fontId="9" fillId="0" borderId="51" xfId="0" applyFont="1" applyBorder="1"/>
    <xf numFmtId="0" fontId="9" fillId="0" borderId="52" xfId="0" applyFont="1" applyBorder="1"/>
    <xf numFmtId="0" fontId="9" fillId="0" borderId="53" xfId="0" applyFont="1" applyBorder="1"/>
    <xf numFmtId="0" fontId="20" fillId="0" borderId="0" xfId="0" applyFont="1" applyAlignment="1">
      <alignment horizontal="center"/>
    </xf>
    <xf numFmtId="0" fontId="11" fillId="0" borderId="44" xfId="13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4" xfId="13" applyFont="1" applyBorder="1" applyAlignment="1">
      <alignment horizontal="center" vertical="center" wrapText="1"/>
    </xf>
    <xf numFmtId="0" fontId="9" fillId="0" borderId="0" xfId="13" applyFont="1" applyFill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172" fontId="11" fillId="0" borderId="6" xfId="1" applyNumberFormat="1" applyFont="1" applyFill="1" applyBorder="1" applyAlignment="1">
      <alignment horizontal="center" vertical="center" wrapText="1"/>
    </xf>
    <xf numFmtId="172" fontId="15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0" fontId="46" fillId="0" borderId="17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8" fillId="0" borderId="0" xfId="0" applyFont="1" applyAlignment="1"/>
    <xf numFmtId="0" fontId="46" fillId="0" borderId="4" xfId="0" applyFont="1" applyBorder="1" applyAlignment="1">
      <alignment horizontal="center" vertical="center" wrapText="1"/>
    </xf>
    <xf numFmtId="173" fontId="15" fillId="0" borderId="0" xfId="1" applyNumberFormat="1" applyFont="1" applyBorder="1" applyAlignment="1">
      <alignment vertical="center"/>
    </xf>
    <xf numFmtId="3" fontId="15" fillId="0" borderId="0" xfId="13" applyNumberFormat="1" applyFont="1" applyBorder="1" applyAlignment="1">
      <alignment vertical="center"/>
    </xf>
    <xf numFmtId="173" fontId="15" fillId="0" borderId="39" xfId="1" applyNumberFormat="1" applyFont="1" applyBorder="1" applyAlignment="1">
      <alignment horizontal="center" vertical="center" wrapText="1"/>
    </xf>
    <xf numFmtId="173" fontId="15" fillId="0" borderId="1" xfId="1" applyNumberFormat="1" applyFont="1" applyBorder="1" applyAlignment="1">
      <alignment vertical="center"/>
    </xf>
    <xf numFmtId="3" fontId="15" fillId="0" borderId="42" xfId="13" applyNumberFormat="1" applyFont="1" applyBorder="1" applyAlignment="1">
      <alignment vertical="center"/>
    </xf>
    <xf numFmtId="3" fontId="15" fillId="0" borderId="1" xfId="13" applyNumberFormat="1" applyFont="1" applyBorder="1" applyAlignment="1">
      <alignment vertical="center"/>
    </xf>
    <xf numFmtId="173" fontId="15" fillId="0" borderId="6" xfId="1" applyNumberFormat="1" applyFont="1" applyBorder="1" applyAlignment="1">
      <alignment horizontal="center" vertical="center" wrapText="1"/>
    </xf>
    <xf numFmtId="3" fontId="14" fillId="0" borderId="39" xfId="13" applyNumberFormat="1" applyFont="1" applyBorder="1" applyAlignment="1">
      <alignment vertical="center"/>
    </xf>
    <xf numFmtId="3" fontId="14" fillId="0" borderId="40" xfId="13" applyNumberFormat="1" applyFont="1" applyBorder="1" applyAlignment="1">
      <alignment vertical="center"/>
    </xf>
    <xf numFmtId="3" fontId="14" fillId="0" borderId="14" xfId="13" applyNumberFormat="1" applyFont="1" applyBorder="1" applyAlignment="1">
      <alignment vertical="center"/>
    </xf>
    <xf numFmtId="3" fontId="14" fillId="0" borderId="40" xfId="1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72" fontId="43" fillId="0" borderId="0" xfId="1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/>
    <xf numFmtId="0" fontId="28" fillId="0" borderId="0" xfId="15" applyFont="1" applyFill="1" applyBorder="1" applyAlignment="1">
      <alignment vertical="center"/>
    </xf>
    <xf numFmtId="3" fontId="30" fillId="0" borderId="14" xfId="1" applyNumberFormat="1" applyFont="1" applyBorder="1" applyAlignment="1">
      <alignment horizontal="right" vertical="center"/>
    </xf>
    <xf numFmtId="0" fontId="30" fillId="0" borderId="18" xfId="15" applyFont="1" applyFill="1" applyBorder="1" applyAlignment="1">
      <alignment vertical="center"/>
    </xf>
    <xf numFmtId="0" fontId="30" fillId="0" borderId="15" xfId="15" applyFont="1" applyFill="1" applyBorder="1" applyAlignment="1">
      <alignment vertical="center"/>
    </xf>
    <xf numFmtId="0" fontId="30" fillId="0" borderId="26" xfId="15" applyFont="1" applyFill="1" applyBorder="1" applyAlignment="1">
      <alignment vertical="center"/>
    </xf>
    <xf numFmtId="0" fontId="30" fillId="0" borderId="17" xfId="15" applyFont="1" applyFill="1" applyBorder="1" applyAlignment="1">
      <alignment vertical="center"/>
    </xf>
    <xf numFmtId="49" fontId="30" fillId="0" borderId="19" xfId="15" applyNumberFormat="1" applyFont="1" applyFill="1" applyBorder="1" applyAlignment="1">
      <alignment vertical="center"/>
    </xf>
    <xf numFmtId="49" fontId="30" fillId="0" borderId="10" xfId="15" applyNumberFormat="1" applyFont="1" applyFill="1" applyBorder="1" applyAlignment="1">
      <alignment vertical="center"/>
    </xf>
    <xf numFmtId="3" fontId="32" fillId="16" borderId="6" xfId="1" applyNumberFormat="1" applyFont="1" applyFill="1" applyBorder="1" applyAlignment="1">
      <alignment horizontal="right" vertical="center"/>
    </xf>
    <xf numFmtId="3" fontId="28" fillId="0" borderId="26" xfId="1" applyNumberFormat="1" applyFont="1" applyBorder="1" applyAlignment="1">
      <alignment horizontal="right" vertical="center"/>
    </xf>
    <xf numFmtId="3" fontId="30" fillId="0" borderId="14" xfId="1" applyNumberFormat="1" applyFont="1" applyFill="1" applyBorder="1" applyAlignment="1">
      <alignment horizontal="right" vertical="center"/>
    </xf>
    <xf numFmtId="3" fontId="28" fillId="0" borderId="26" xfId="1" applyNumberFormat="1" applyFont="1" applyBorder="1" applyAlignment="1">
      <alignment vertical="center"/>
    </xf>
    <xf numFmtId="3" fontId="32" fillId="0" borderId="14" xfId="1" applyNumberFormat="1" applyFont="1" applyFill="1" applyBorder="1" applyAlignment="1">
      <alignment vertical="center"/>
    </xf>
    <xf numFmtId="3" fontId="32" fillId="16" borderId="26" xfId="1" applyNumberFormat="1" applyFont="1" applyFill="1" applyBorder="1" applyAlignment="1">
      <alignment vertical="center"/>
    </xf>
    <xf numFmtId="3" fontId="32" fillId="16" borderId="14" xfId="1" applyNumberFormat="1" applyFont="1" applyFill="1" applyBorder="1" applyAlignment="1">
      <alignment vertical="center"/>
    </xf>
    <xf numFmtId="3" fontId="30" fillId="0" borderId="26" xfId="1" applyNumberFormat="1" applyFont="1" applyBorder="1" applyAlignment="1">
      <alignment vertical="center"/>
    </xf>
    <xf numFmtId="3" fontId="32" fillId="16" borderId="41" xfId="1" applyNumberFormat="1" applyFont="1" applyFill="1" applyBorder="1" applyAlignment="1">
      <alignment vertical="center"/>
    </xf>
    <xf numFmtId="3" fontId="32" fillId="16" borderId="6" xfId="1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9" fillId="0" borderId="21" xfId="0" applyNumberFormat="1" applyFont="1" applyFill="1" applyBorder="1"/>
    <xf numFmtId="3" fontId="9" fillId="0" borderId="4" xfId="1" applyNumberFormat="1" applyFont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0" fontId="46" fillId="0" borderId="32" xfId="0" applyFont="1" applyBorder="1" applyAlignment="1">
      <alignment horizontal="center" vertical="center" wrapText="1"/>
    </xf>
    <xf numFmtId="3" fontId="11" fillId="0" borderId="4" xfId="1" applyNumberFormat="1" applyFont="1" applyBorder="1" applyAlignment="1">
      <alignment horizontal="right" vertical="center"/>
    </xf>
    <xf numFmtId="3" fontId="11" fillId="0" borderId="32" xfId="1" applyNumberFormat="1" applyFont="1" applyBorder="1" applyAlignment="1">
      <alignment horizontal="right" vertical="center"/>
    </xf>
    <xf numFmtId="0" fontId="46" fillId="0" borderId="54" xfId="0" applyFont="1" applyBorder="1" applyAlignment="1">
      <alignment horizontal="center" vertical="center" wrapText="1"/>
    </xf>
    <xf numFmtId="0" fontId="0" fillId="0" borderId="54" xfId="0" applyBorder="1" applyAlignment="1">
      <alignment vertical="center"/>
    </xf>
    <xf numFmtId="3" fontId="11" fillId="0" borderId="9" xfId="1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8" fillId="0" borderId="31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 wrapText="1"/>
    </xf>
    <xf numFmtId="0" fontId="46" fillId="0" borderId="3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textRotation="90"/>
    </xf>
    <xf numFmtId="0" fontId="9" fillId="0" borderId="55" xfId="12" applyFont="1" applyBorder="1" applyAlignment="1">
      <alignment horizontal="left" vertical="center" wrapText="1"/>
    </xf>
    <xf numFmtId="0" fontId="19" fillId="0" borderId="10" xfId="12" applyFont="1" applyBorder="1" applyAlignment="1">
      <alignment horizontal="right" vertical="center" wrapText="1"/>
    </xf>
    <xf numFmtId="0" fontId="9" fillId="0" borderId="10" xfId="12" applyFont="1" applyBorder="1" applyAlignment="1">
      <alignment horizontal="left" vertical="center" wrapText="1"/>
    </xf>
    <xf numFmtId="0" fontId="19" fillId="0" borderId="15" xfId="12" applyFont="1" applyBorder="1" applyAlignment="1">
      <alignment horizontal="right" vertical="center" wrapText="1"/>
    </xf>
    <xf numFmtId="0" fontId="11" fillId="0" borderId="28" xfId="12" applyFont="1" applyBorder="1" applyAlignment="1">
      <alignment horizontal="right" vertical="center" wrapText="1"/>
    </xf>
    <xf numFmtId="0" fontId="9" fillId="0" borderId="17" xfId="12" applyFont="1" applyBorder="1" applyAlignment="1">
      <alignment horizontal="left" vertical="center" wrapText="1"/>
    </xf>
    <xf numFmtId="0" fontId="9" fillId="0" borderId="15" xfId="12" applyFont="1" applyBorder="1" applyAlignment="1">
      <alignment horizontal="left" vertical="center" wrapText="1"/>
    </xf>
    <xf numFmtId="0" fontId="11" fillId="0" borderId="56" xfId="0" applyFont="1" applyBorder="1" applyAlignment="1">
      <alignment vertical="center" wrapText="1"/>
    </xf>
    <xf numFmtId="3" fontId="9" fillId="17" borderId="2" xfId="0" applyNumberFormat="1" applyFont="1" applyFill="1" applyBorder="1" applyAlignment="1">
      <alignment horizontal="right" vertical="center"/>
    </xf>
    <xf numFmtId="0" fontId="11" fillId="0" borderId="13" xfId="12" applyFont="1" applyBorder="1" applyAlignment="1">
      <alignment horizontal="right" vertical="center" wrapText="1"/>
    </xf>
    <xf numFmtId="0" fontId="9" fillId="0" borderId="57" xfId="12" applyFont="1" applyBorder="1" applyAlignment="1">
      <alignment horizontal="left" vertical="center" wrapText="1"/>
    </xf>
    <xf numFmtId="0" fontId="9" fillId="0" borderId="2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12" xfId="12" applyFont="1" applyBorder="1" applyAlignment="1">
      <alignment horizontal="right" vertical="center" wrapText="1"/>
    </xf>
    <xf numFmtId="3" fontId="32" fillId="16" borderId="14" xfId="1" applyNumberFormat="1" applyFont="1" applyFill="1" applyBorder="1" applyAlignment="1">
      <alignment horizontal="right" vertical="center"/>
    </xf>
    <xf numFmtId="3" fontId="32" fillId="16" borderId="26" xfId="1" applyNumberFormat="1" applyFont="1" applyFill="1" applyBorder="1" applyAlignment="1">
      <alignment horizontal="right" vertical="center"/>
    </xf>
    <xf numFmtId="0" fontId="28" fillId="0" borderId="0" xfId="15" applyFont="1" applyBorder="1" applyAlignment="1">
      <alignment horizontal="center" vertical="center"/>
    </xf>
    <xf numFmtId="0" fontId="32" fillId="0" borderId="0" xfId="15" applyFont="1" applyFill="1" applyBorder="1" applyAlignment="1">
      <alignment horizontal="center" vertical="center"/>
    </xf>
    <xf numFmtId="0" fontId="32" fillId="0" borderId="0" xfId="15" applyFont="1" applyFill="1" applyBorder="1" applyAlignment="1">
      <alignment vertical="center"/>
    </xf>
    <xf numFmtId="3" fontId="32" fillId="0" borderId="0" xfId="1" applyNumberFormat="1" applyFont="1" applyFill="1" applyBorder="1" applyAlignment="1">
      <alignment horizontal="right" vertical="center"/>
    </xf>
    <xf numFmtId="3" fontId="30" fillId="0" borderId="6" xfId="1" applyNumberFormat="1" applyFont="1" applyFill="1" applyBorder="1" applyAlignment="1">
      <alignment vertical="center"/>
    </xf>
    <xf numFmtId="3" fontId="32" fillId="0" borderId="26" xfId="1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vertical="center"/>
    </xf>
    <xf numFmtId="3" fontId="19" fillId="0" borderId="3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9" fillId="0" borderId="0" xfId="10" applyFont="1" applyBorder="1" applyAlignment="1">
      <alignment horizontal="right" vertical="center"/>
    </xf>
    <xf numFmtId="0" fontId="9" fillId="0" borderId="0" xfId="10" applyFont="1" applyBorder="1" applyAlignment="1"/>
    <xf numFmtId="0" fontId="3" fillId="0" borderId="0" xfId="10"/>
    <xf numFmtId="0" fontId="9" fillId="0" borderId="0" xfId="10" applyFont="1" applyFill="1" applyBorder="1" applyAlignment="1">
      <alignment vertical="center"/>
    </xf>
    <xf numFmtId="0" fontId="9" fillId="0" borderId="0" xfId="10" applyFont="1" applyBorder="1" applyAlignment="1">
      <alignment horizontal="right"/>
    </xf>
    <xf numFmtId="0" fontId="20" fillId="0" borderId="0" xfId="10" applyFont="1" applyFill="1" applyAlignment="1">
      <alignment vertical="center" wrapText="1"/>
    </xf>
    <xf numFmtId="0" fontId="9" fillId="0" borderId="0" xfId="10" applyFont="1" applyFill="1" applyAlignment="1">
      <alignment horizontal="center" vertical="center"/>
    </xf>
    <xf numFmtId="0" fontId="9" fillId="0" borderId="0" xfId="10" applyFont="1" applyFill="1" applyAlignment="1"/>
    <xf numFmtId="0" fontId="9" fillId="0" borderId="0" xfId="10" applyFont="1" applyFill="1" applyAlignment="1">
      <alignment vertical="center"/>
    </xf>
    <xf numFmtId="0" fontId="9" fillId="0" borderId="0" xfId="10" applyFont="1" applyFill="1" applyAlignment="1">
      <alignment horizontal="center"/>
    </xf>
    <xf numFmtId="172" fontId="11" fillId="0" borderId="0" xfId="2" applyNumberFormat="1" applyFont="1" applyFill="1" applyBorder="1" applyAlignment="1">
      <alignment vertical="center"/>
    </xf>
    <xf numFmtId="172" fontId="15" fillId="0" borderId="0" xfId="2" applyNumberFormat="1" applyFont="1" applyFill="1" applyBorder="1"/>
    <xf numFmtId="0" fontId="14" fillId="0" borderId="0" xfId="10" applyFont="1" applyFill="1" applyBorder="1"/>
    <xf numFmtId="172" fontId="15" fillId="0" borderId="42" xfId="2" applyNumberFormat="1" applyFont="1" applyFill="1" applyBorder="1" applyAlignment="1">
      <alignment horizontal="center" vertical="center" wrapText="1"/>
    </xf>
    <xf numFmtId="172" fontId="43" fillId="0" borderId="0" xfId="2" applyNumberFormat="1" applyFont="1" applyFill="1" applyBorder="1" applyAlignment="1">
      <alignment horizontal="center" vertical="center" wrapText="1"/>
    </xf>
    <xf numFmtId="172" fontId="15" fillId="0" borderId="0" xfId="2" applyNumberFormat="1" applyFont="1" applyFill="1" applyBorder="1" applyAlignment="1">
      <alignment horizontal="center" vertical="center" wrapText="1"/>
    </xf>
    <xf numFmtId="0" fontId="9" fillId="0" borderId="0" xfId="10" applyFont="1" applyFill="1"/>
    <xf numFmtId="0" fontId="9" fillId="0" borderId="6" xfId="10" applyFont="1" applyFill="1" applyBorder="1" applyAlignment="1">
      <alignment horizontal="center" vertical="center"/>
    </xf>
    <xf numFmtId="172" fontId="11" fillId="0" borderId="6" xfId="2" applyNumberFormat="1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horizontal="center" vertical="center" wrapText="1"/>
    </xf>
    <xf numFmtId="172" fontId="11" fillId="0" borderId="6" xfId="2" applyNumberFormat="1" applyFont="1" applyFill="1" applyBorder="1" applyAlignment="1">
      <alignment vertical="center"/>
    </xf>
    <xf numFmtId="3" fontId="9" fillId="0" borderId="6" xfId="2" applyNumberFormat="1" applyFont="1" applyFill="1" applyBorder="1" applyAlignment="1">
      <alignment vertical="center"/>
    </xf>
    <xf numFmtId="172" fontId="9" fillId="0" borderId="6" xfId="2" applyNumberFormat="1" applyFont="1" applyFill="1" applyBorder="1" applyAlignment="1">
      <alignment vertical="center"/>
    </xf>
    <xf numFmtId="172" fontId="9" fillId="0" borderId="21" xfId="2" applyNumberFormat="1" applyFont="1" applyFill="1" applyBorder="1" applyAlignment="1">
      <alignment vertical="center"/>
    </xf>
    <xf numFmtId="3" fontId="9" fillId="0" borderId="21" xfId="2" applyNumberFormat="1" applyFont="1" applyFill="1" applyBorder="1" applyAlignment="1">
      <alignment vertical="center"/>
    </xf>
    <xf numFmtId="172" fontId="11" fillId="0" borderId="14" xfId="2" applyNumberFormat="1" applyFont="1" applyFill="1" applyBorder="1" applyAlignment="1">
      <alignment vertical="center"/>
    </xf>
    <xf numFmtId="3" fontId="11" fillId="0" borderId="14" xfId="2" applyNumberFormat="1" applyFont="1" applyFill="1" applyBorder="1" applyAlignment="1">
      <alignment vertical="center"/>
    </xf>
    <xf numFmtId="172" fontId="11" fillId="0" borderId="6" xfId="2" applyNumberFormat="1" applyFont="1" applyFill="1" applyBorder="1" applyAlignment="1">
      <alignment vertical="center" wrapText="1"/>
    </xf>
    <xf numFmtId="3" fontId="11" fillId="0" borderId="6" xfId="2" applyNumberFormat="1" applyFont="1" applyFill="1" applyBorder="1" applyAlignment="1">
      <alignment vertical="center" wrapText="1"/>
    </xf>
    <xf numFmtId="3" fontId="9" fillId="0" borderId="0" xfId="10" applyNumberFormat="1" applyFont="1" applyFill="1"/>
    <xf numFmtId="0" fontId="14" fillId="0" borderId="15" xfId="13" applyFont="1" applyBorder="1" applyAlignment="1">
      <alignment vertical="center" wrapText="1"/>
    </xf>
    <xf numFmtId="0" fontId="9" fillId="0" borderId="58" xfId="0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9" fillId="0" borderId="58" xfId="0" applyNumberFormat="1" applyFont="1" applyBorder="1" applyAlignment="1">
      <alignment vertical="center"/>
    </xf>
    <xf numFmtId="3" fontId="11" fillId="0" borderId="32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3" fontId="11" fillId="0" borderId="51" xfId="0" applyNumberFormat="1" applyFont="1" applyBorder="1" applyAlignment="1">
      <alignment vertical="center"/>
    </xf>
    <xf numFmtId="3" fontId="11" fillId="0" borderId="58" xfId="0" applyNumberFormat="1" applyFont="1" applyBorder="1" applyAlignment="1">
      <alignment vertical="center"/>
    </xf>
    <xf numFmtId="3" fontId="15" fillId="0" borderId="34" xfId="0" applyNumberFormat="1" applyFont="1" applyBorder="1" applyAlignment="1">
      <alignment vertical="center"/>
    </xf>
    <xf numFmtId="0" fontId="9" fillId="0" borderId="19" xfId="14" applyFont="1" applyFill="1" applyBorder="1" applyAlignment="1">
      <alignment horizontal="center" vertical="center"/>
    </xf>
    <xf numFmtId="3" fontId="14" fillId="0" borderId="10" xfId="14" applyNumberFormat="1" applyFont="1" applyBorder="1" applyAlignment="1">
      <alignment horizontal="right" vertical="center" wrapText="1"/>
    </xf>
    <xf numFmtId="3" fontId="14" fillId="0" borderId="10" xfId="1" applyNumberFormat="1" applyFont="1" applyBorder="1" applyAlignment="1">
      <alignment horizontal="right" vertical="center"/>
    </xf>
    <xf numFmtId="0" fontId="14" fillId="0" borderId="6" xfId="13" applyFont="1" applyFill="1" applyBorder="1" applyAlignment="1">
      <alignment vertical="center" wrapText="1"/>
    </xf>
    <xf numFmtId="0" fontId="9" fillId="0" borderId="0" xfId="17" applyFont="1" applyFill="1"/>
    <xf numFmtId="0" fontId="3" fillId="0" borderId="0" xfId="17" applyFont="1"/>
    <xf numFmtId="0" fontId="38" fillId="0" borderId="0" xfId="17" applyFont="1" applyAlignment="1">
      <alignment horizontal="center" vertical="center"/>
    </xf>
    <xf numFmtId="0" fontId="9" fillId="0" borderId="0" xfId="17" applyFont="1" applyFill="1" applyBorder="1" applyAlignment="1">
      <alignment horizontal="center" vertical="center"/>
    </xf>
    <xf numFmtId="0" fontId="20" fillId="0" borderId="0" xfId="17" applyFont="1" applyAlignment="1">
      <alignment horizontal="center"/>
    </xf>
    <xf numFmtId="0" fontId="9" fillId="0" borderId="0" xfId="17" applyFont="1"/>
    <xf numFmtId="0" fontId="9" fillId="0" borderId="0" xfId="17" applyFont="1" applyAlignment="1">
      <alignment horizontal="right"/>
    </xf>
    <xf numFmtId="0" fontId="11" fillId="0" borderId="6" xfId="17" applyFont="1" applyBorder="1" applyAlignment="1">
      <alignment horizontal="center" vertical="center"/>
    </xf>
    <xf numFmtId="0" fontId="9" fillId="0" borderId="6" xfId="17" applyFont="1" applyFill="1" applyBorder="1" applyAlignment="1">
      <alignment horizontal="center" vertical="center"/>
    </xf>
    <xf numFmtId="0" fontId="9" fillId="0" borderId="15" xfId="17" applyFont="1" applyBorder="1" applyAlignment="1">
      <alignment vertical="center" wrapText="1"/>
    </xf>
    <xf numFmtId="3" fontId="11" fillId="0" borderId="6" xfId="17" applyNumberFormat="1" applyFont="1" applyFill="1" applyBorder="1" applyAlignment="1">
      <alignment vertical="center"/>
    </xf>
    <xf numFmtId="3" fontId="11" fillId="0" borderId="6" xfId="17" applyNumberFormat="1" applyFont="1" applyBorder="1" applyAlignment="1">
      <alignment vertical="center"/>
    </xf>
    <xf numFmtId="0" fontId="37" fillId="0" borderId="0" xfId="17" applyFont="1"/>
    <xf numFmtId="0" fontId="3" fillId="0" borderId="0" xfId="17" applyFont="1" applyFill="1"/>
    <xf numFmtId="3" fontId="9" fillId="0" borderId="6" xfId="3" applyNumberFormat="1" applyFont="1" applyFill="1" applyBorder="1"/>
    <xf numFmtId="0" fontId="9" fillId="9" borderId="0" xfId="17" applyFont="1" applyFill="1"/>
    <xf numFmtId="0" fontId="9" fillId="0" borderId="6" xfId="3" applyNumberFormat="1" applyFont="1" applyFill="1" applyBorder="1"/>
    <xf numFmtId="3" fontId="11" fillId="0" borderId="6" xfId="3" applyNumberFormat="1" applyFont="1" applyFill="1" applyBorder="1"/>
    <xf numFmtId="0" fontId="11" fillId="9" borderId="0" xfId="17" applyFont="1" applyFill="1"/>
    <xf numFmtId="3" fontId="14" fillId="0" borderId="6" xfId="3" applyNumberFormat="1" applyFont="1" applyBorder="1" applyAlignment="1">
      <alignment horizontal="right" vertical="center"/>
    </xf>
    <xf numFmtId="3" fontId="15" fillId="0" borderId="6" xfId="3" applyNumberFormat="1" applyFont="1" applyBorder="1" applyAlignment="1">
      <alignment horizontal="right" vertical="center"/>
    </xf>
    <xf numFmtId="172" fontId="14" fillId="0" borderId="0" xfId="3" applyNumberFormat="1" applyFont="1" applyBorder="1" applyAlignment="1">
      <alignment vertical="center"/>
    </xf>
    <xf numFmtId="172" fontId="9" fillId="0" borderId="0" xfId="3" applyNumberFormat="1" applyFont="1" applyAlignment="1">
      <alignment vertical="center"/>
    </xf>
    <xf numFmtId="172" fontId="9" fillId="0" borderId="9" xfId="3" applyNumberFormat="1" applyFont="1" applyBorder="1" applyAlignment="1">
      <alignment vertical="center"/>
    </xf>
    <xf numFmtId="172" fontId="9" fillId="0" borderId="14" xfId="3" applyNumberFormat="1" applyFont="1" applyBorder="1" applyAlignment="1">
      <alignment vertical="center"/>
    </xf>
    <xf numFmtId="172" fontId="9" fillId="0" borderId="59" xfId="3" applyNumberFormat="1" applyFont="1" applyBorder="1" applyAlignment="1">
      <alignment vertical="center"/>
    </xf>
    <xf numFmtId="172" fontId="9" fillId="0" borderId="4" xfId="3" applyNumberFormat="1" applyFont="1" applyBorder="1" applyAlignment="1">
      <alignment vertical="center"/>
    </xf>
    <xf numFmtId="172" fontId="9" fillId="0" borderId="6" xfId="3" applyNumberFormat="1" applyFont="1" applyBorder="1" applyAlignment="1">
      <alignment vertical="center"/>
    </xf>
    <xf numFmtId="172" fontId="9" fillId="0" borderId="32" xfId="3" applyNumberFormat="1" applyFont="1" applyBorder="1" applyAlignment="1">
      <alignment vertical="center"/>
    </xf>
    <xf numFmtId="0" fontId="11" fillId="0" borderId="45" xfId="10" applyFont="1" applyBorder="1" applyAlignment="1">
      <alignment vertical="center"/>
    </xf>
    <xf numFmtId="0" fontId="11" fillId="0" borderId="47" xfId="10" applyFont="1" applyBorder="1" applyAlignment="1">
      <alignment horizontal="center" vertical="center"/>
    </xf>
    <xf numFmtId="3" fontId="28" fillId="18" borderId="6" xfId="1" applyNumberFormat="1" applyFont="1" applyFill="1" applyBorder="1" applyAlignment="1">
      <alignment horizontal="right" vertical="center"/>
    </xf>
    <xf numFmtId="0" fontId="14" fillId="0" borderId="10" xfId="14" applyFont="1" applyBorder="1" applyAlignment="1">
      <alignment horizontal="right" vertical="center" wrapText="1"/>
    </xf>
    <xf numFmtId="3" fontId="14" fillId="0" borderId="10" xfId="14" applyNumberFormat="1" applyFont="1" applyBorder="1" applyAlignment="1">
      <alignment horizontal="right" vertical="center"/>
    </xf>
    <xf numFmtId="0" fontId="9" fillId="0" borderId="41" xfId="0" applyFont="1" applyFill="1" applyBorder="1" applyAlignment="1">
      <alignment horizontal="center" vertical="center"/>
    </xf>
    <xf numFmtId="172" fontId="11" fillId="0" borderId="16" xfId="1" applyNumberFormat="1" applyFont="1" applyBorder="1" applyAlignment="1">
      <alignment vertical="center"/>
    </xf>
    <xf numFmtId="172" fontId="22" fillId="0" borderId="16" xfId="1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3" fillId="0" borderId="6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20" fillId="0" borderId="0" xfId="0" applyFont="1" applyAlignment="1">
      <alignment horizontal="center"/>
    </xf>
    <xf numFmtId="0" fontId="11" fillId="0" borderId="56" xfId="13" applyFont="1" applyBorder="1" applyAlignment="1">
      <alignment horizontal="center" vertical="center" wrapText="1"/>
    </xf>
    <xf numFmtId="0" fontId="11" fillId="0" borderId="60" xfId="13" applyFont="1" applyBorder="1" applyAlignment="1">
      <alignment horizontal="center" vertical="center" wrapText="1"/>
    </xf>
    <xf numFmtId="0" fontId="11" fillId="0" borderId="44" xfId="13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left"/>
    </xf>
    <xf numFmtId="0" fontId="13" fillId="0" borderId="3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61" xfId="13" applyFont="1" applyBorder="1" applyAlignment="1">
      <alignment horizontal="center" vertical="center" wrapText="1"/>
    </xf>
    <xf numFmtId="0" fontId="11" fillId="0" borderId="4" xfId="13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/>
    </xf>
    <xf numFmtId="0" fontId="15" fillId="0" borderId="6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5" fillId="0" borderId="22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9" fillId="0" borderId="0" xfId="13" applyFont="1" applyFill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5" fillId="0" borderId="43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3" fontId="9" fillId="0" borderId="6" xfId="0" applyNumberFormat="1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0" fillId="0" borderId="0" xfId="13" applyFont="1" applyAlignment="1">
      <alignment horizontal="center" vertical="center" wrapText="1"/>
    </xf>
    <xf numFmtId="0" fontId="14" fillId="0" borderId="0" xfId="13" applyFont="1" applyAlignment="1">
      <alignment horizontal="right" vertical="center"/>
    </xf>
    <xf numFmtId="0" fontId="15" fillId="0" borderId="1" xfId="13" applyFont="1" applyBorder="1" applyAlignment="1">
      <alignment vertical="center"/>
    </xf>
    <xf numFmtId="0" fontId="15" fillId="0" borderId="10" xfId="13" applyFont="1" applyBorder="1" applyAlignment="1">
      <alignment vertical="center"/>
    </xf>
    <xf numFmtId="0" fontId="15" fillId="0" borderId="19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" vertical="center"/>
    </xf>
    <xf numFmtId="0" fontId="15" fillId="0" borderId="18" xfId="13" applyFont="1" applyBorder="1" applyAlignment="1">
      <alignment horizontal="left" vertical="center"/>
    </xf>
    <xf numFmtId="0" fontId="15" fillId="0" borderId="30" xfId="13" applyFont="1" applyBorder="1" applyAlignment="1">
      <alignment horizontal="left" vertical="center"/>
    </xf>
    <xf numFmtId="0" fontId="15" fillId="0" borderId="15" xfId="13" applyFont="1" applyBorder="1" applyAlignment="1">
      <alignment horizontal="left" vertical="center"/>
    </xf>
    <xf numFmtId="0" fontId="15" fillId="0" borderId="18" xfId="13" applyFont="1" applyBorder="1" applyAlignment="1">
      <alignment horizontal="center" vertical="center"/>
    </xf>
    <xf numFmtId="0" fontId="15" fillId="0" borderId="1" xfId="13" applyFont="1" applyFill="1" applyBorder="1" applyAlignment="1">
      <alignment horizontal="left" vertical="center"/>
    </xf>
    <xf numFmtId="0" fontId="11" fillId="0" borderId="10" xfId="13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0" fillId="0" borderId="0" xfId="14" applyFont="1" applyAlignment="1">
      <alignment horizontal="center" vertical="center"/>
    </xf>
    <xf numFmtId="0" fontId="15" fillId="0" borderId="6" xfId="14" applyFont="1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0" fontId="14" fillId="0" borderId="6" xfId="13" applyFont="1" applyBorder="1" applyAlignment="1">
      <alignment horizontal="center" vertical="center" wrapText="1"/>
    </xf>
    <xf numFmtId="0" fontId="14" fillId="0" borderId="6" xfId="14" applyFont="1" applyBorder="1" applyAlignment="1">
      <alignment vertical="center"/>
    </xf>
    <xf numFmtId="0" fontId="15" fillId="0" borderId="6" xfId="14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42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19" xfId="14" applyFont="1" applyBorder="1" applyAlignment="1">
      <alignment horizontal="center" vertical="center" wrapText="1"/>
    </xf>
    <xf numFmtId="0" fontId="15" fillId="0" borderId="10" xfId="14" applyFont="1" applyBorder="1" applyAlignment="1">
      <alignment horizontal="center" vertical="center" wrapText="1"/>
    </xf>
    <xf numFmtId="0" fontId="20" fillId="0" borderId="0" xfId="14" applyFont="1" applyFill="1" applyBorder="1" applyAlignment="1">
      <alignment horizontal="center" vertical="center" wrapText="1"/>
    </xf>
    <xf numFmtId="0" fontId="15" fillId="0" borderId="39" xfId="13" applyFont="1" applyBorder="1" applyAlignment="1">
      <alignment horizontal="center" vertical="center" wrapText="1"/>
    </xf>
    <xf numFmtId="0" fontId="15" fillId="0" borderId="40" xfId="13" applyFont="1" applyBorder="1" applyAlignment="1">
      <alignment horizontal="center" vertical="center" wrapText="1"/>
    </xf>
    <xf numFmtId="0" fontId="15" fillId="0" borderId="14" xfId="13" applyFont="1" applyBorder="1" applyAlignment="1">
      <alignment horizontal="center" vertical="center" wrapText="1"/>
    </xf>
    <xf numFmtId="0" fontId="9" fillId="0" borderId="39" xfId="14" applyFont="1" applyFill="1" applyBorder="1" applyAlignment="1">
      <alignment horizontal="center" vertical="center"/>
    </xf>
    <xf numFmtId="0" fontId="9" fillId="0" borderId="14" xfId="14" applyFont="1" applyFill="1" applyBorder="1" applyAlignment="1">
      <alignment horizontal="center" vertical="center"/>
    </xf>
    <xf numFmtId="0" fontId="9" fillId="0" borderId="0" xfId="13" applyFont="1" applyAlignment="1">
      <alignment vertical="center"/>
    </xf>
    <xf numFmtId="0" fontId="9" fillId="0" borderId="0" xfId="0" applyFont="1" applyAlignment="1"/>
    <xf numFmtId="0" fontId="9" fillId="0" borderId="0" xfId="13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23" fillId="0" borderId="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9" xfId="16" applyFont="1" applyFill="1" applyBorder="1" applyAlignment="1">
      <alignment horizontal="left" vertical="center" wrapText="1"/>
    </xf>
    <xf numFmtId="0" fontId="11" fillId="0" borderId="1" xfId="16" applyFont="1" applyFill="1" applyBorder="1" applyAlignment="1">
      <alignment horizontal="left" vertical="center" wrapText="1"/>
    </xf>
    <xf numFmtId="0" fontId="11" fillId="0" borderId="10" xfId="16" applyFont="1" applyFill="1" applyBorder="1" applyAlignment="1">
      <alignment horizontal="left" vertical="center" wrapText="1"/>
    </xf>
    <xf numFmtId="0" fontId="9" fillId="0" borderId="19" xfId="16" applyFont="1" applyFill="1" applyBorder="1" applyAlignment="1">
      <alignment horizontal="left" vertical="center" wrapText="1"/>
    </xf>
    <xf numFmtId="0" fontId="9" fillId="0" borderId="1" xfId="16" applyFont="1" applyFill="1" applyBorder="1" applyAlignment="1">
      <alignment horizontal="left" vertical="center" wrapText="1"/>
    </xf>
    <xf numFmtId="0" fontId="9" fillId="0" borderId="10" xfId="16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4" fillId="0" borderId="0" xfId="13" applyFont="1" applyFill="1" applyBorder="1" applyAlignment="1">
      <alignment horizontal="right" vertical="center"/>
    </xf>
    <xf numFmtId="0" fontId="20" fillId="0" borderId="0" xfId="16" applyFont="1" applyFill="1" applyBorder="1" applyAlignment="1">
      <alignment horizontal="center" vertical="center" wrapText="1"/>
    </xf>
    <xf numFmtId="0" fontId="39" fillId="0" borderId="42" xfId="16" applyFont="1" applyFill="1" applyBorder="1" applyAlignment="1">
      <alignment horizontal="center" vertical="center"/>
    </xf>
    <xf numFmtId="0" fontId="23" fillId="0" borderId="42" xfId="16" applyFont="1" applyFill="1" applyBorder="1" applyAlignment="1">
      <alignment horizontal="center" vertical="center"/>
    </xf>
    <xf numFmtId="0" fontId="12" fillId="0" borderId="6" xfId="16" applyFont="1" applyFill="1" applyBorder="1" applyAlignment="1">
      <alignment horizontal="center" vertical="center"/>
    </xf>
    <xf numFmtId="0" fontId="11" fillId="0" borderId="6" xfId="16" applyFont="1" applyFill="1" applyBorder="1" applyAlignment="1">
      <alignment horizontal="center" vertical="center"/>
    </xf>
    <xf numFmtId="0" fontId="9" fillId="9" borderId="6" xfId="17" applyFont="1" applyFill="1" applyBorder="1" applyAlignment="1">
      <alignment horizontal="left" vertical="center"/>
    </xf>
    <xf numFmtId="0" fontId="11" fillId="9" borderId="19" xfId="17" applyFont="1" applyFill="1" applyBorder="1" applyAlignment="1">
      <alignment horizontal="right" vertical="center"/>
    </xf>
    <xf numFmtId="0" fontId="11" fillId="9" borderId="1" xfId="17" applyFont="1" applyFill="1" applyBorder="1" applyAlignment="1">
      <alignment horizontal="right" vertical="center"/>
    </xf>
    <xf numFmtId="0" fontId="11" fillId="9" borderId="10" xfId="17" applyFont="1" applyFill="1" applyBorder="1" applyAlignment="1">
      <alignment horizontal="right" vertical="center"/>
    </xf>
    <xf numFmtId="0" fontId="9" fillId="0" borderId="19" xfId="17" applyFont="1" applyBorder="1" applyAlignment="1">
      <alignment horizontal="left" vertical="center" wrapText="1"/>
    </xf>
    <xf numFmtId="0" fontId="9" fillId="0" borderId="10" xfId="17" applyFont="1" applyBorder="1" applyAlignment="1">
      <alignment horizontal="left" vertical="center" wrapText="1"/>
    </xf>
    <xf numFmtId="0" fontId="11" fillId="0" borderId="19" xfId="17" applyFont="1" applyBorder="1" applyAlignment="1">
      <alignment horizontal="right" vertical="center" wrapText="1"/>
    </xf>
    <xf numFmtId="0" fontId="11" fillId="0" borderId="1" xfId="17" applyFont="1" applyBorder="1" applyAlignment="1">
      <alignment horizontal="right" vertical="center" wrapText="1"/>
    </xf>
    <xf numFmtId="0" fontId="11" fillId="0" borderId="10" xfId="17" applyFont="1" applyBorder="1" applyAlignment="1">
      <alignment horizontal="right" vertical="center" wrapText="1"/>
    </xf>
    <xf numFmtId="0" fontId="11" fillId="0" borderId="6" xfId="17" applyFont="1" applyBorder="1" applyAlignment="1">
      <alignment horizontal="center" vertical="center"/>
    </xf>
    <xf numFmtId="0" fontId="20" fillId="0" borderId="0" xfId="17" applyFont="1" applyAlignment="1">
      <alignment horizontal="center" vertical="center" wrapText="1"/>
    </xf>
    <xf numFmtId="0" fontId="20" fillId="0" borderId="0" xfId="17" applyFont="1" applyAlignment="1">
      <alignment horizontal="center"/>
    </xf>
    <xf numFmtId="0" fontId="9" fillId="0" borderId="39" xfId="17" applyFont="1" applyFill="1" applyBorder="1" applyAlignment="1">
      <alignment horizontal="center" vertical="center"/>
    </xf>
    <xf numFmtId="0" fontId="9" fillId="0" borderId="14" xfId="17" applyFont="1" applyFill="1" applyBorder="1" applyAlignment="1">
      <alignment horizontal="center" vertical="center"/>
    </xf>
    <xf numFmtId="0" fontId="11" fillId="0" borderId="15" xfId="17" applyFont="1" applyBorder="1" applyAlignment="1">
      <alignment horizontal="center" vertical="center" wrapText="1"/>
    </xf>
    <xf numFmtId="0" fontId="11" fillId="0" borderId="17" xfId="17" applyFont="1" applyBorder="1" applyAlignment="1">
      <alignment horizontal="center"/>
    </xf>
    <xf numFmtId="0" fontId="11" fillId="0" borderId="6" xfId="17" applyFont="1" applyBorder="1" applyAlignment="1">
      <alignment horizontal="center" vertical="center" wrapText="1"/>
    </xf>
    <xf numFmtId="0" fontId="9" fillId="0" borderId="19" xfId="17" applyFont="1" applyBorder="1" applyAlignment="1">
      <alignment horizontal="center" vertical="center"/>
    </xf>
    <xf numFmtId="0" fontId="9" fillId="0" borderId="10" xfId="17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11" fillId="0" borderId="49" xfId="0" applyFont="1" applyBorder="1" applyAlignment="1">
      <alignment horizontal="center" vertical="center"/>
    </xf>
    <xf numFmtId="172" fontId="15" fillId="0" borderId="0" xfId="1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2" fontId="11" fillId="0" borderId="6" xfId="1" applyNumberFormat="1" applyFont="1" applyFill="1" applyBorder="1" applyAlignment="1">
      <alignment horizontal="center" vertical="center" wrapText="1"/>
    </xf>
    <xf numFmtId="0" fontId="9" fillId="0" borderId="0" xfId="10" applyFont="1" applyBorder="1" applyAlignment="1">
      <alignment horizontal="right" vertical="center"/>
    </xf>
    <xf numFmtId="0" fontId="20" fillId="0" borderId="0" xfId="10" applyFont="1" applyFill="1" applyAlignment="1">
      <alignment horizontal="center" vertical="center" wrapText="1"/>
    </xf>
    <xf numFmtId="0" fontId="9" fillId="0" borderId="0" xfId="10" applyFont="1" applyFill="1" applyAlignment="1">
      <alignment horizontal="center" vertical="center"/>
    </xf>
    <xf numFmtId="0" fontId="30" fillId="0" borderId="26" xfId="15" applyFont="1" applyBorder="1" applyAlignment="1">
      <alignment horizontal="center" vertical="center"/>
    </xf>
    <xf numFmtId="0" fontId="30" fillId="0" borderId="17" xfId="15" applyFont="1" applyBorder="1" applyAlignment="1">
      <alignment horizontal="center" vertical="center"/>
    </xf>
    <xf numFmtId="0" fontId="28" fillId="0" borderId="19" xfId="15" applyFont="1" applyBorder="1" applyAlignment="1">
      <alignment horizontal="center" vertical="center"/>
    </xf>
    <xf numFmtId="0" fontId="28" fillId="0" borderId="10" xfId="15" applyFont="1" applyBorder="1" applyAlignment="1">
      <alignment horizontal="center" vertical="center"/>
    </xf>
    <xf numFmtId="0" fontId="32" fillId="0" borderId="18" xfId="15" applyFont="1" applyFill="1" applyBorder="1" applyAlignment="1">
      <alignment horizontal="center" vertical="center"/>
    </xf>
    <xf numFmtId="0" fontId="32" fillId="0" borderId="15" xfId="15" applyFont="1" applyFill="1" applyBorder="1" applyAlignment="1">
      <alignment horizontal="center" vertical="center"/>
    </xf>
    <xf numFmtId="0" fontId="32" fillId="0" borderId="26" xfId="15" applyFont="1" applyFill="1" applyBorder="1" applyAlignment="1">
      <alignment horizontal="center" vertical="center"/>
    </xf>
    <xf numFmtId="0" fontId="32" fillId="0" borderId="17" xfId="15" applyFont="1" applyFill="1" applyBorder="1" applyAlignment="1">
      <alignment horizontal="center" vertical="center"/>
    </xf>
    <xf numFmtId="49" fontId="30" fillId="0" borderId="19" xfId="15" applyNumberFormat="1" applyFont="1" applyBorder="1" applyAlignment="1">
      <alignment horizontal="center" vertical="center"/>
    </xf>
    <xf numFmtId="49" fontId="30" fillId="0" borderId="10" xfId="15" applyNumberFormat="1" applyFont="1" applyBorder="1" applyAlignment="1">
      <alignment horizontal="center" vertical="center"/>
    </xf>
    <xf numFmtId="0" fontId="30" fillId="0" borderId="18" xfId="15" applyFont="1" applyBorder="1" applyAlignment="1">
      <alignment horizontal="center" vertical="center"/>
    </xf>
    <xf numFmtId="0" fontId="30" fillId="0" borderId="15" xfId="15" applyFont="1" applyBorder="1" applyAlignment="1">
      <alignment horizontal="center" vertical="center"/>
    </xf>
    <xf numFmtId="49" fontId="30" fillId="0" borderId="19" xfId="15" applyNumberFormat="1" applyFont="1" applyFill="1" applyBorder="1" applyAlignment="1">
      <alignment horizontal="center" vertical="center"/>
    </xf>
    <xf numFmtId="49" fontId="30" fillId="0" borderId="10" xfId="15" applyNumberFormat="1" applyFont="1" applyFill="1" applyBorder="1" applyAlignment="1">
      <alignment horizontal="center" vertical="center"/>
    </xf>
    <xf numFmtId="0" fontId="32" fillId="0" borderId="41" xfId="15" applyFont="1" applyFill="1" applyBorder="1" applyAlignment="1">
      <alignment horizontal="center" vertical="center"/>
    </xf>
    <xf numFmtId="0" fontId="32" fillId="0" borderId="16" xfId="15" applyFont="1" applyFill="1" applyBorder="1" applyAlignment="1">
      <alignment horizontal="center" vertical="center"/>
    </xf>
    <xf numFmtId="0" fontId="32" fillId="0" borderId="18" xfId="15" applyFont="1" applyBorder="1" applyAlignment="1">
      <alignment horizontal="center" vertical="center"/>
    </xf>
    <xf numFmtId="0" fontId="32" fillId="0" borderId="15" xfId="15" applyFont="1" applyBorder="1" applyAlignment="1">
      <alignment horizontal="center" vertical="center"/>
    </xf>
    <xf numFmtId="0" fontId="30" fillId="0" borderId="18" xfId="15" applyFont="1" applyFill="1" applyBorder="1" applyAlignment="1">
      <alignment horizontal="center" vertical="center"/>
    </xf>
    <xf numFmtId="0" fontId="30" fillId="0" borderId="15" xfId="15" applyFont="1" applyFill="1" applyBorder="1" applyAlignment="1">
      <alignment horizontal="center" vertical="center"/>
    </xf>
    <xf numFmtId="0" fontId="30" fillId="0" borderId="26" xfId="15" applyFont="1" applyFill="1" applyBorder="1" applyAlignment="1">
      <alignment horizontal="center" vertical="center"/>
    </xf>
    <xf numFmtId="0" fontId="30" fillId="0" borderId="17" xfId="15" applyFont="1" applyFill="1" applyBorder="1" applyAlignment="1">
      <alignment horizontal="center" vertical="center"/>
    </xf>
    <xf numFmtId="0" fontId="28" fillId="0" borderId="19" xfId="15" applyFont="1" applyFill="1" applyBorder="1" applyAlignment="1">
      <alignment horizontal="center" vertical="center"/>
    </xf>
    <xf numFmtId="0" fontId="28" fillId="0" borderId="10" xfId="15" applyFont="1" applyFill="1" applyBorder="1" applyAlignment="1">
      <alignment horizontal="center" vertical="center"/>
    </xf>
    <xf numFmtId="0" fontId="28" fillId="0" borderId="39" xfId="15" applyFont="1" applyBorder="1" applyAlignment="1">
      <alignment horizontal="center" vertical="center" wrapText="1"/>
    </xf>
    <xf numFmtId="0" fontId="28" fillId="0" borderId="40" xfId="15" applyFont="1" applyBorder="1" applyAlignment="1">
      <alignment horizontal="center" vertical="center" wrapText="1"/>
    </xf>
    <xf numFmtId="0" fontId="28" fillId="0" borderId="14" xfId="15" applyFont="1" applyBorder="1" applyAlignment="1">
      <alignment horizontal="center" vertical="center" wrapText="1"/>
    </xf>
    <xf numFmtId="0" fontId="28" fillId="0" borderId="40" xfId="15" applyFont="1" applyFill="1" applyBorder="1" applyAlignment="1">
      <alignment horizontal="center" vertical="center"/>
    </xf>
    <xf numFmtId="0" fontId="28" fillId="0" borderId="14" xfId="15" applyFont="1" applyFill="1" applyBorder="1" applyAlignment="1">
      <alignment horizontal="center" vertical="center"/>
    </xf>
    <xf numFmtId="0" fontId="28" fillId="0" borderId="18" xfId="15" applyFont="1" applyBorder="1" applyAlignment="1">
      <alignment horizontal="center" vertical="center"/>
    </xf>
    <xf numFmtId="0" fontId="28" fillId="0" borderId="15" xfId="15" applyFont="1" applyBorder="1" applyAlignment="1">
      <alignment horizontal="center" vertical="center"/>
    </xf>
    <xf numFmtId="0" fontId="32" fillId="0" borderId="19" xfId="15" applyFont="1" applyBorder="1" applyAlignment="1">
      <alignment horizontal="center" vertical="center"/>
    </xf>
    <xf numFmtId="0" fontId="32" fillId="0" borderId="10" xfId="15" applyFont="1" applyBorder="1" applyAlignment="1">
      <alignment horizontal="center" vertical="center"/>
    </xf>
    <xf numFmtId="0" fontId="28" fillId="0" borderId="39" xfId="15" applyFont="1" applyFill="1" applyBorder="1" applyAlignment="1">
      <alignment horizontal="center" vertical="center" wrapText="1"/>
    </xf>
    <xf numFmtId="0" fontId="28" fillId="0" borderId="40" xfId="15" applyFont="1" applyFill="1" applyBorder="1" applyAlignment="1">
      <alignment horizontal="center" vertical="center" wrapText="1"/>
    </xf>
    <xf numFmtId="0" fontId="28" fillId="0" borderId="14" xfId="15" applyFont="1" applyFill="1" applyBorder="1" applyAlignment="1">
      <alignment horizontal="center" vertical="center" wrapText="1"/>
    </xf>
    <xf numFmtId="0" fontId="31" fillId="0" borderId="41" xfId="15" applyFont="1" applyFill="1" applyBorder="1" applyAlignment="1">
      <alignment horizontal="center" vertical="center"/>
    </xf>
    <xf numFmtId="0" fontId="31" fillId="0" borderId="16" xfId="15" applyFont="1" applyFill="1" applyBorder="1" applyAlignment="1">
      <alignment horizontal="center" vertical="center"/>
    </xf>
    <xf numFmtId="49" fontId="31" fillId="0" borderId="39" xfId="15" applyNumberFormat="1" applyFont="1" applyBorder="1" applyAlignment="1">
      <alignment horizontal="center" vertical="center"/>
    </xf>
    <xf numFmtId="49" fontId="31" fillId="0" borderId="39" xfId="15" applyNumberFormat="1" applyFont="1" applyFill="1" applyBorder="1" applyAlignment="1">
      <alignment horizontal="center" vertical="center"/>
    </xf>
    <xf numFmtId="0" fontId="31" fillId="0" borderId="41" xfId="15" applyFont="1" applyBorder="1" applyAlignment="1">
      <alignment horizontal="center" vertical="center"/>
    </xf>
    <xf numFmtId="0" fontId="31" fillId="0" borderId="16" xfId="15" applyFont="1" applyBorder="1" applyAlignment="1">
      <alignment horizontal="center" vertical="center"/>
    </xf>
    <xf numFmtId="0" fontId="32" fillId="8" borderId="19" xfId="15" applyFont="1" applyFill="1" applyBorder="1" applyAlignment="1">
      <alignment horizontal="center" vertical="center"/>
    </xf>
    <xf numFmtId="0" fontId="32" fillId="8" borderId="10" xfId="15" applyFont="1" applyFill="1" applyBorder="1" applyAlignment="1">
      <alignment horizontal="center" vertical="center"/>
    </xf>
    <xf numFmtId="0" fontId="32" fillId="0" borderId="41" xfId="15" applyFont="1" applyBorder="1" applyAlignment="1">
      <alignment horizontal="center" vertical="center"/>
    </xf>
    <xf numFmtId="0" fontId="32" fillId="0" borderId="16" xfId="15" applyFont="1" applyBorder="1" applyAlignment="1">
      <alignment horizontal="center" vertical="center"/>
    </xf>
    <xf numFmtId="0" fontId="28" fillId="0" borderId="6" xfId="15" applyFont="1" applyBorder="1" applyAlignment="1">
      <alignment horizontal="center" vertical="center" wrapText="1"/>
    </xf>
    <xf numFmtId="0" fontId="30" fillId="0" borderId="19" xfId="15" applyFont="1" applyBorder="1" applyAlignment="1">
      <alignment horizontal="center" vertical="center"/>
    </xf>
    <xf numFmtId="0" fontId="30" fillId="0" borderId="10" xfId="15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 textRotation="90" wrapText="1"/>
    </xf>
    <xf numFmtId="0" fontId="11" fillId="0" borderId="38" xfId="0" applyFont="1" applyBorder="1" applyAlignment="1">
      <alignment horizontal="center" vertical="center" textRotation="90" wrapText="1"/>
    </xf>
    <xf numFmtId="0" fontId="11" fillId="0" borderId="69" xfId="0" applyFont="1" applyBorder="1" applyAlignment="1">
      <alignment horizontal="center" vertical="center" textRotation="90" wrapText="1"/>
    </xf>
    <xf numFmtId="0" fontId="11" fillId="0" borderId="56" xfId="0" applyFont="1" applyBorder="1" applyAlignment="1">
      <alignment horizontal="center" vertical="center" textRotation="90" wrapText="1"/>
    </xf>
    <xf numFmtId="0" fontId="11" fillId="0" borderId="60" xfId="0" applyFont="1" applyBorder="1" applyAlignment="1">
      <alignment horizontal="center" vertical="center" textRotation="90" wrapText="1"/>
    </xf>
    <xf numFmtId="0" fontId="11" fillId="0" borderId="48" xfId="0" applyFont="1" applyBorder="1" applyAlignment="1">
      <alignment horizontal="center" vertical="center" textRotation="90" wrapText="1"/>
    </xf>
  </cellXfs>
  <cellStyles count="24">
    <cellStyle name="Ezres" xfId="1" builtinId="3"/>
    <cellStyle name="Ezres 2" xfId="2"/>
    <cellStyle name="Ezres 3" xfId="3"/>
    <cellStyle name="Jelölőszín (1)" xfId="4"/>
    <cellStyle name="Jelölőszín (2)" xfId="5"/>
    <cellStyle name="Jelölőszín (3)" xfId="6"/>
    <cellStyle name="Jelölőszín (4)" xfId="7"/>
    <cellStyle name="Jelölőszín (5)" xfId="8"/>
    <cellStyle name="Jelölőszín (6)" xfId="9"/>
    <cellStyle name="Jelölőszín 1" xfId="18" builtinId="29" hidden="1"/>
    <cellStyle name="Jelölőszín 2" xfId="19" builtinId="33" hidden="1"/>
    <cellStyle name="Jelölőszín 3" xfId="20" builtinId="37" hidden="1"/>
    <cellStyle name="Jelölőszín 4" xfId="21" builtinId="41" hidden="1"/>
    <cellStyle name="Jelölőszín 5" xfId="22" builtinId="45" hidden="1"/>
    <cellStyle name="Jelölőszín 6" xfId="23" builtinId="49" hidden="1"/>
    <cellStyle name="Normál" xfId="0" builtinId="0"/>
    <cellStyle name="Normál 2" xfId="10"/>
    <cellStyle name="Normál 4" xfId="11"/>
    <cellStyle name="Normál 4 2" xfId="12"/>
    <cellStyle name="Normál_2001 költségvetés" xfId="13"/>
    <cellStyle name="Normál_2-A tábla" xfId="14"/>
    <cellStyle name="Normál_Becsehely aládolgozó 2016. évi költségvetéshez" xfId="15"/>
    <cellStyle name="Normál_mellékletek Magdinak" xfId="16"/>
    <cellStyle name="Normál_mellékletek Magdinak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view="pageBreakPreview" zoomScaleNormal="100" zoomScaleSheetLayoutView="100" workbookViewId="0"/>
  </sheetViews>
  <sheetFormatPr defaultColWidth="9.109375" defaultRowHeight="13.2" x14ac:dyDescent="0.25"/>
  <cols>
    <col min="1" max="1" width="33.5546875" style="13" customWidth="1"/>
    <col min="2" max="25" width="15.109375" style="13" customWidth="1"/>
    <col min="26" max="26" width="12.5546875" style="13" bestFit="1" customWidth="1"/>
    <col min="27" max="16384" width="9.109375" style="13"/>
  </cols>
  <sheetData>
    <row r="1" spans="1:27" s="9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7" s="9" customForma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 t="s">
        <v>68</v>
      </c>
      <c r="Q2" s="10"/>
      <c r="R2" s="10"/>
      <c r="S2" s="10"/>
      <c r="T2" s="10"/>
      <c r="U2" s="10"/>
      <c r="V2" s="10"/>
      <c r="W2" s="10"/>
      <c r="X2" s="10"/>
      <c r="Y2" s="10"/>
    </row>
    <row r="3" spans="1:27" x14ac:dyDescent="0.25">
      <c r="A3" s="574"/>
      <c r="B3" s="574"/>
      <c r="C3" s="574"/>
      <c r="D3" s="574"/>
      <c r="E3" s="12"/>
      <c r="P3" s="580"/>
      <c r="Q3" s="580"/>
      <c r="R3" s="580"/>
      <c r="S3" s="580"/>
      <c r="T3" s="580"/>
      <c r="U3" s="580"/>
      <c r="V3" s="580"/>
      <c r="W3" s="580"/>
      <c r="X3" s="580"/>
      <c r="Y3" s="14"/>
    </row>
    <row r="4" spans="1:27" ht="18" x14ac:dyDescent="0.35">
      <c r="A4" s="581" t="s">
        <v>787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376"/>
    </row>
    <row r="5" spans="1:27" ht="18" x14ac:dyDescent="0.35">
      <c r="A5" s="581" t="s">
        <v>532</v>
      </c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376"/>
    </row>
    <row r="6" spans="1:27" x14ac:dyDescent="0.25">
      <c r="Z6" s="15"/>
    </row>
    <row r="7" spans="1:27" ht="13.8" thickBot="1" x14ac:dyDescent="0.3">
      <c r="X7" s="13" t="s">
        <v>569</v>
      </c>
      <c r="Z7" s="15"/>
    </row>
    <row r="8" spans="1:27" ht="33.75" customHeight="1" x14ac:dyDescent="0.25">
      <c r="A8" s="582" t="s">
        <v>1</v>
      </c>
      <c r="B8" s="568" t="s">
        <v>2</v>
      </c>
      <c r="C8" s="569"/>
      <c r="D8" s="569"/>
      <c r="E8" s="569"/>
      <c r="F8" s="569"/>
      <c r="G8" s="569"/>
      <c r="H8" s="569"/>
      <c r="I8" s="569"/>
      <c r="J8" s="569"/>
      <c r="K8" s="570"/>
      <c r="L8" s="563" t="s">
        <v>4</v>
      </c>
      <c r="M8" s="577"/>
      <c r="N8" s="568" t="s">
        <v>3</v>
      </c>
      <c r="O8" s="569"/>
      <c r="P8" s="569"/>
      <c r="Q8" s="569"/>
      <c r="R8" s="569"/>
      <c r="S8" s="569"/>
      <c r="T8" s="569"/>
      <c r="U8" s="570"/>
      <c r="V8" s="563" t="s">
        <v>4</v>
      </c>
      <c r="W8" s="564"/>
      <c r="X8" s="559" t="s">
        <v>5</v>
      </c>
      <c r="Y8" s="560"/>
      <c r="Z8" s="15"/>
    </row>
    <row r="9" spans="1:27" ht="32.25" customHeight="1" x14ac:dyDescent="0.25">
      <c r="A9" s="583"/>
      <c r="B9" s="578" t="s">
        <v>7</v>
      </c>
      <c r="C9" s="556"/>
      <c r="D9" s="555" t="s">
        <v>8</v>
      </c>
      <c r="E9" s="556"/>
      <c r="F9" s="571" t="s">
        <v>9</v>
      </c>
      <c r="G9" s="573"/>
      <c r="H9" s="573"/>
      <c r="I9" s="572"/>
      <c r="J9" s="555" t="s">
        <v>10</v>
      </c>
      <c r="K9" s="586"/>
      <c r="L9" s="555" t="s">
        <v>11</v>
      </c>
      <c r="M9" s="575"/>
      <c r="N9" s="578" t="s">
        <v>593</v>
      </c>
      <c r="O9" s="556"/>
      <c r="P9" s="555" t="s">
        <v>12</v>
      </c>
      <c r="Q9" s="556"/>
      <c r="R9" s="555" t="s">
        <v>13</v>
      </c>
      <c r="S9" s="556"/>
      <c r="T9" s="555" t="s">
        <v>801</v>
      </c>
      <c r="U9" s="556"/>
      <c r="V9" s="565" t="s">
        <v>515</v>
      </c>
      <c r="W9" s="566"/>
      <c r="X9" s="561"/>
      <c r="Y9" s="562"/>
    </row>
    <row r="10" spans="1:27" ht="29.25" customHeight="1" x14ac:dyDescent="0.25">
      <c r="A10" s="584"/>
      <c r="B10" s="579"/>
      <c r="C10" s="558"/>
      <c r="D10" s="557"/>
      <c r="E10" s="558"/>
      <c r="F10" s="571" t="s">
        <v>15</v>
      </c>
      <c r="G10" s="572"/>
      <c r="H10" s="571" t="s">
        <v>16</v>
      </c>
      <c r="I10" s="572"/>
      <c r="J10" s="557"/>
      <c r="K10" s="567"/>
      <c r="L10" s="557"/>
      <c r="M10" s="576"/>
      <c r="N10" s="579"/>
      <c r="O10" s="558"/>
      <c r="P10" s="557"/>
      <c r="Q10" s="558"/>
      <c r="R10" s="557"/>
      <c r="S10" s="558"/>
      <c r="T10" s="557"/>
      <c r="U10" s="558"/>
      <c r="V10" s="557"/>
      <c r="W10" s="567"/>
      <c r="X10" s="561"/>
      <c r="Y10" s="562"/>
    </row>
    <row r="11" spans="1:27" ht="39" customHeight="1" x14ac:dyDescent="0.3">
      <c r="A11" s="377"/>
      <c r="B11" s="387" t="s">
        <v>625</v>
      </c>
      <c r="C11" s="387" t="s">
        <v>626</v>
      </c>
      <c r="D11" s="388" t="s">
        <v>625</v>
      </c>
      <c r="E11" s="388" t="s">
        <v>626</v>
      </c>
      <c r="F11" s="389" t="s">
        <v>625</v>
      </c>
      <c r="G11" s="389" t="s">
        <v>626</v>
      </c>
      <c r="H11" s="390" t="s">
        <v>625</v>
      </c>
      <c r="I11" s="391" t="s">
        <v>626</v>
      </c>
      <c r="J11" s="392" t="s">
        <v>625</v>
      </c>
      <c r="K11" s="392" t="s">
        <v>626</v>
      </c>
      <c r="L11" s="389" t="s">
        <v>625</v>
      </c>
      <c r="M11" s="434" t="s">
        <v>626</v>
      </c>
      <c r="N11" s="393" t="s">
        <v>625</v>
      </c>
      <c r="O11" s="387" t="s">
        <v>626</v>
      </c>
      <c r="P11" s="387" t="s">
        <v>625</v>
      </c>
      <c r="Q11" s="387" t="s">
        <v>626</v>
      </c>
      <c r="R11" s="394" t="s">
        <v>625</v>
      </c>
      <c r="S11" s="389" t="s">
        <v>626</v>
      </c>
      <c r="T11" s="394" t="s">
        <v>625</v>
      </c>
      <c r="U11" s="389" t="s">
        <v>626</v>
      </c>
      <c r="V11" s="394" t="s">
        <v>625</v>
      </c>
      <c r="W11" s="392" t="s">
        <v>626</v>
      </c>
      <c r="X11" s="395" t="s">
        <v>625</v>
      </c>
      <c r="Y11" s="437" t="s">
        <v>626</v>
      </c>
      <c r="Z11" s="396"/>
      <c r="AA11" s="396"/>
    </row>
    <row r="12" spans="1:27" s="17" customFormat="1" ht="36.75" customHeight="1" x14ac:dyDescent="0.25">
      <c r="A12" s="16" t="s">
        <v>740</v>
      </c>
      <c r="B12" s="197">
        <f>'18.m. Konyha rovat+cofog'!J24</f>
        <v>15095148.524999999</v>
      </c>
      <c r="C12" s="197">
        <f>'18.m. Konyha rovat+cofog'!K24</f>
        <v>19378075.625</v>
      </c>
      <c r="D12" s="198"/>
      <c r="E12" s="198"/>
      <c r="F12" s="198"/>
      <c r="G12" s="198"/>
      <c r="H12" s="198">
        <f>'18.m. Konyha rovat+cofog'!J35</f>
        <v>20829352</v>
      </c>
      <c r="I12" s="198">
        <f>'18.m. Konyha rovat+cofog'!K35</f>
        <v>21088455</v>
      </c>
      <c r="J12" s="199"/>
      <c r="K12" s="199"/>
      <c r="L12" s="198">
        <f>'18.m. Konyha rovat+cofog'!J34</f>
        <v>120873</v>
      </c>
      <c r="M12" s="198">
        <f>'18.m. Konyha rovat+cofog'!K34</f>
        <v>120873</v>
      </c>
      <c r="N12" s="200"/>
      <c r="O12" s="197"/>
      <c r="P12" s="197"/>
      <c r="Q12" s="197"/>
      <c r="R12" s="198"/>
      <c r="S12" s="199"/>
      <c r="T12" s="199"/>
      <c r="U12" s="199"/>
      <c r="V12" s="199"/>
      <c r="W12" s="199"/>
      <c r="X12" s="435">
        <f>B12+D12+F12+H12+J12+L12+N12+P12+R12+V12</f>
        <v>36045373.524999999</v>
      </c>
      <c r="Y12" s="436">
        <f>C12+E12+G12+I12+K12+M12+O12+Q12+S12+W12</f>
        <v>40587403.625</v>
      </c>
    </row>
    <row r="13" spans="1:27" s="17" customFormat="1" ht="33" customHeight="1" x14ac:dyDescent="0.25">
      <c r="A13" s="18" t="s">
        <v>770</v>
      </c>
      <c r="B13" s="197">
        <f>'17.m. Óvoda rovat+cofog'!J20</f>
        <v>150</v>
      </c>
      <c r="C13" s="197">
        <f>'17.m. Óvoda rovat+cofog'!K20</f>
        <v>150</v>
      </c>
      <c r="D13" s="198"/>
      <c r="E13" s="198"/>
      <c r="F13" s="198"/>
      <c r="G13" s="198"/>
      <c r="H13" s="198">
        <f>'17.m. Óvoda rovat+cofog'!J31</f>
        <v>21078850</v>
      </c>
      <c r="I13" s="198">
        <f>'17.m. Óvoda rovat+cofog'!K31</f>
        <v>19703850.25</v>
      </c>
      <c r="J13" s="199"/>
      <c r="K13" s="199"/>
      <c r="L13" s="199">
        <f>'17.m. Óvoda rovat+cofog'!J30</f>
        <v>60833</v>
      </c>
      <c r="M13" s="199">
        <f>'17.m. Óvoda rovat+cofog'!K30</f>
        <v>60833</v>
      </c>
      <c r="N13" s="200"/>
      <c r="O13" s="197"/>
      <c r="P13" s="197"/>
      <c r="Q13" s="197"/>
      <c r="R13" s="198"/>
      <c r="S13" s="199"/>
      <c r="T13" s="199"/>
      <c r="U13" s="199"/>
      <c r="V13" s="199"/>
      <c r="W13" s="199"/>
      <c r="X13" s="435">
        <f>B13+D13+F13+H13+J13+L13+N13+P13+R13+V13</f>
        <v>21139833</v>
      </c>
      <c r="Y13" s="436">
        <f>C13+E13+G13+I13+K13+M13+O13+Q13+S13+W13</f>
        <v>19764833.25</v>
      </c>
    </row>
    <row r="14" spans="1:27" s="17" customFormat="1" ht="33.75" customHeight="1" x14ac:dyDescent="0.25">
      <c r="A14" s="16" t="s">
        <v>23</v>
      </c>
      <c r="B14" s="197">
        <f>'16.m. Önk. rovat+cofog'!AX45</f>
        <v>4316750</v>
      </c>
      <c r="C14" s="197">
        <f>'16.m. Önk. rovat+cofog'!AY45</f>
        <v>8049093.1099999994</v>
      </c>
      <c r="D14" s="198">
        <f>'16.m. Önk. rovat+cofog'!AX34</f>
        <v>9250000</v>
      </c>
      <c r="E14" s="198">
        <f>'16.m. Önk. rovat+cofog'!AY34</f>
        <v>11363991</v>
      </c>
      <c r="F14" s="198">
        <f>'16.m. Önk. rovat+cofog'!AX23</f>
        <v>89027960</v>
      </c>
      <c r="G14" s="198">
        <f>'16.m. Önk. rovat+cofog'!AY23</f>
        <v>92372671.5</v>
      </c>
      <c r="H14" s="198"/>
      <c r="I14" s="198"/>
      <c r="J14" s="198">
        <f>'16.m. Önk. rovat+cofog'!AX51</f>
        <v>70000</v>
      </c>
      <c r="K14" s="198">
        <f>'16.m. Önk. rovat+cofog'!AY51</f>
        <v>720000</v>
      </c>
      <c r="L14" s="430">
        <v>0</v>
      </c>
      <c r="M14" s="17">
        <v>0</v>
      </c>
      <c r="N14" s="432">
        <f>'16.m. Önk. rovat+cofog'!AX28</f>
        <v>0</v>
      </c>
      <c r="O14" s="198">
        <f>'16.m. Önk. rovat+cofog'!AY28</f>
        <v>33546744</v>
      </c>
      <c r="P14" s="197">
        <f>'16.m. Önk. rovat+cofog'!AX54</f>
        <v>0</v>
      </c>
      <c r="Q14" s="197">
        <f>'16.m. Önk. rovat+cofog'!AY54</f>
        <v>0</v>
      </c>
      <c r="R14" s="198">
        <f>'16.m. Önk. rovat+cofog'!AX48</f>
        <v>0</v>
      </c>
      <c r="S14" s="198">
        <f>'16.m. Önk. rovat+cofog'!AY48</f>
        <v>3850000</v>
      </c>
      <c r="T14" s="199">
        <f>'16.m. Önk. rovat+cofog'!AX57</f>
        <v>0</v>
      </c>
      <c r="U14" s="199">
        <f>'16.m. Önk. rovat+cofog'!AY57</f>
        <v>3214395</v>
      </c>
      <c r="V14" s="199">
        <f>'16.m. Önk. rovat+cofog'!AX56</f>
        <v>44297891</v>
      </c>
      <c r="W14" s="199">
        <f>'16.m. Önk. rovat+cofog'!AY56</f>
        <v>43282285</v>
      </c>
      <c r="X14" s="435">
        <f>B14+D14+F14+H14+J14+L14+N14+P14+R14+V14</f>
        <v>146962601</v>
      </c>
      <c r="Y14" s="436">
        <f>C14+E14+G14+I14+K14+M14+O14+Q14+S14+U14+W14</f>
        <v>196399179.61000001</v>
      </c>
    </row>
    <row r="15" spans="1:27" s="19" customFormat="1" ht="42.75" customHeight="1" thickBot="1" x14ac:dyDescent="0.3">
      <c r="A15" s="20" t="s">
        <v>769</v>
      </c>
      <c r="B15" s="202">
        <f t="shared" ref="B15:X15" si="0">SUM(B12:B14)</f>
        <v>19412048.524999999</v>
      </c>
      <c r="C15" s="202">
        <f t="shared" si="0"/>
        <v>27427318.734999999</v>
      </c>
      <c r="D15" s="202">
        <f t="shared" si="0"/>
        <v>9250000</v>
      </c>
      <c r="E15" s="202">
        <f t="shared" si="0"/>
        <v>11363991</v>
      </c>
      <c r="F15" s="202">
        <f t="shared" si="0"/>
        <v>89027960</v>
      </c>
      <c r="G15" s="202">
        <f t="shared" si="0"/>
        <v>92372671.5</v>
      </c>
      <c r="H15" s="202">
        <f t="shared" si="0"/>
        <v>41908202</v>
      </c>
      <c r="I15" s="202">
        <f t="shared" si="0"/>
        <v>40792305.25</v>
      </c>
      <c r="J15" s="202">
        <f t="shared" si="0"/>
        <v>70000</v>
      </c>
      <c r="K15" s="202">
        <f t="shared" si="0"/>
        <v>720000</v>
      </c>
      <c r="L15" s="203">
        <f t="shared" si="0"/>
        <v>181706</v>
      </c>
      <c r="M15" s="203">
        <f t="shared" si="0"/>
        <v>181706</v>
      </c>
      <c r="N15" s="433">
        <f t="shared" si="0"/>
        <v>0</v>
      </c>
      <c r="O15" s="203">
        <f t="shared" si="0"/>
        <v>33546744</v>
      </c>
      <c r="P15" s="202">
        <f t="shared" si="0"/>
        <v>0</v>
      </c>
      <c r="Q15" s="202">
        <f t="shared" si="0"/>
        <v>0</v>
      </c>
      <c r="R15" s="203">
        <f t="shared" si="0"/>
        <v>0</v>
      </c>
      <c r="S15" s="203">
        <f t="shared" si="0"/>
        <v>3850000</v>
      </c>
      <c r="T15" s="203">
        <f t="shared" si="0"/>
        <v>0</v>
      </c>
      <c r="U15" s="203">
        <f t="shared" si="0"/>
        <v>3214395</v>
      </c>
      <c r="V15" s="321">
        <f t="shared" si="0"/>
        <v>44297891</v>
      </c>
      <c r="W15" s="247">
        <f t="shared" si="0"/>
        <v>43282285</v>
      </c>
      <c r="X15" s="433">
        <f t="shared" si="0"/>
        <v>204147807.52500001</v>
      </c>
      <c r="Y15" s="205">
        <f>C15+E15+G15+I15+K15+M15+O15+Q15+S15+W15</f>
        <v>253537021.48500001</v>
      </c>
    </row>
    <row r="16" spans="1:27" s="21" customForma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s="21" customFormat="1" x14ac:dyDescent="0.25">
      <c r="A17" s="13"/>
      <c r="B17" s="585"/>
      <c r="C17" s="585"/>
      <c r="D17" s="585"/>
      <c r="E17" s="378"/>
      <c r="F17" s="15"/>
      <c r="G17" s="15"/>
      <c r="H17" s="15"/>
      <c r="I17" s="15"/>
      <c r="J17" s="15"/>
      <c r="K17" s="15"/>
      <c r="L17" s="22"/>
      <c r="M17" s="22"/>
      <c r="N17" s="22"/>
      <c r="O17" s="22"/>
      <c r="P17" s="12"/>
      <c r="Q17" s="12"/>
      <c r="R17" s="15"/>
      <c r="S17" s="15"/>
      <c r="T17" s="15"/>
      <c r="U17" s="15"/>
      <c r="V17" s="15"/>
      <c r="W17" s="15"/>
      <c r="X17" s="22"/>
      <c r="Y17" s="22"/>
    </row>
    <row r="18" spans="1:25" s="21" customFormat="1" x14ac:dyDescent="0.25">
      <c r="A18" s="13"/>
      <c r="B18" s="12"/>
      <c r="C18" s="12"/>
      <c r="D18" s="12"/>
      <c r="E18" s="12"/>
      <c r="F18" s="23"/>
      <c r="G18" s="23"/>
      <c r="H18" s="15"/>
      <c r="I18" s="15"/>
      <c r="J18" s="15"/>
      <c r="K18" s="15"/>
      <c r="L18" s="24"/>
      <c r="M18" s="24"/>
      <c r="N18" s="24"/>
      <c r="O18" s="24"/>
      <c r="P18" s="12"/>
      <c r="Q18" s="12"/>
      <c r="R18" s="22"/>
      <c r="S18" s="22"/>
      <c r="T18" s="22"/>
      <c r="U18" s="22"/>
      <c r="V18" s="22"/>
      <c r="W18" s="22"/>
      <c r="X18" s="24"/>
      <c r="Y18" s="24"/>
    </row>
    <row r="19" spans="1:25" s="21" customFormat="1" x14ac:dyDescent="0.25">
      <c r="A19" s="13"/>
      <c r="B19" s="12"/>
      <c r="C19" s="12"/>
      <c r="D19" s="12"/>
      <c r="E19" s="12"/>
      <c r="F19" s="15"/>
      <c r="G19" s="15"/>
      <c r="H19" s="15"/>
      <c r="I19" s="15"/>
      <c r="J19" s="15"/>
      <c r="K19" s="15"/>
      <c r="L19" s="25"/>
      <c r="M19" s="25"/>
      <c r="N19" s="25"/>
      <c r="O19" s="25"/>
      <c r="P19" s="12"/>
      <c r="Q19" s="12"/>
      <c r="R19" s="15"/>
      <c r="S19" s="15"/>
      <c r="T19" s="15"/>
      <c r="U19" s="15"/>
      <c r="V19" s="15"/>
      <c r="W19" s="15"/>
      <c r="X19" s="25"/>
      <c r="Y19" s="25"/>
    </row>
    <row r="20" spans="1:2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B21" s="26"/>
      <c r="C21" s="26"/>
      <c r="D21" s="26"/>
      <c r="E21" s="26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27"/>
      <c r="Y21" s="27"/>
    </row>
    <row r="22" spans="1:25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24"/>
      <c r="M22" s="24"/>
      <c r="N22" s="24"/>
      <c r="O22" s="24"/>
      <c r="P22" s="15"/>
      <c r="Q22" s="15"/>
      <c r="R22" s="15"/>
      <c r="S22" s="15"/>
      <c r="T22" s="15"/>
      <c r="U22" s="15"/>
      <c r="V22" s="15"/>
      <c r="W22" s="15"/>
      <c r="X22" s="25"/>
      <c r="Y22" s="25"/>
    </row>
    <row r="23" spans="1:25" x14ac:dyDescent="0.25">
      <c r="J23" s="21"/>
      <c r="K23" s="21"/>
      <c r="L23" s="28"/>
      <c r="M23" s="28"/>
      <c r="N23" s="28"/>
      <c r="O23" s="28"/>
    </row>
    <row r="24" spans="1:25" x14ac:dyDescent="0.25">
      <c r="J24" s="21"/>
      <c r="K24" s="21"/>
      <c r="L24" s="28"/>
      <c r="M24" s="28"/>
      <c r="N24" s="28"/>
      <c r="O24" s="28"/>
    </row>
    <row r="25" spans="1:25" x14ac:dyDescent="0.25">
      <c r="J25" s="21"/>
      <c r="K25" s="21"/>
      <c r="L25" s="28"/>
      <c r="M25" s="28"/>
      <c r="N25" s="28"/>
      <c r="O25" s="28"/>
      <c r="V25" s="29"/>
      <c r="W25" s="29"/>
    </row>
    <row r="26" spans="1:25" x14ac:dyDescent="0.25">
      <c r="L26" s="30"/>
      <c r="M26" s="30"/>
      <c r="N26" s="30"/>
      <c r="O26" s="30"/>
    </row>
    <row r="27" spans="1:25" x14ac:dyDescent="0.25">
      <c r="L27" s="30"/>
      <c r="M27" s="30"/>
      <c r="N27" s="30"/>
      <c r="O27" s="30"/>
    </row>
    <row r="28" spans="1:25" x14ac:dyDescent="0.25">
      <c r="L28" s="30"/>
      <c r="M28" s="30"/>
      <c r="N28" s="30"/>
      <c r="O28" s="30"/>
    </row>
  </sheetData>
  <mergeCells count="23">
    <mergeCell ref="P3:X3"/>
    <mergeCell ref="A4:X4"/>
    <mergeCell ref="A8:A10"/>
    <mergeCell ref="A5:X5"/>
    <mergeCell ref="B17:D17"/>
    <mergeCell ref="B8:K8"/>
    <mergeCell ref="J9:K10"/>
    <mergeCell ref="B9:C10"/>
    <mergeCell ref="D9:E10"/>
    <mergeCell ref="F10:G10"/>
    <mergeCell ref="H10:I10"/>
    <mergeCell ref="F9:I9"/>
    <mergeCell ref="A3:D3"/>
    <mergeCell ref="L9:M10"/>
    <mergeCell ref="L8:M8"/>
    <mergeCell ref="N9:O10"/>
    <mergeCell ref="P9:Q10"/>
    <mergeCell ref="X8:Y10"/>
    <mergeCell ref="V8:W8"/>
    <mergeCell ref="V9:W10"/>
    <mergeCell ref="R9:S10"/>
    <mergeCell ref="N8:U8"/>
    <mergeCell ref="T9:U1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3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zoomScale="75" zoomScaleNormal="100" workbookViewId="0">
      <selection activeCell="H14" sqref="H14"/>
    </sheetView>
  </sheetViews>
  <sheetFormatPr defaultColWidth="9.109375" defaultRowHeight="13.2" x14ac:dyDescent="0.25"/>
  <cols>
    <col min="1" max="1" width="4" style="41" customWidth="1"/>
    <col min="2" max="3" width="9.109375" style="41"/>
    <col min="4" max="4" width="18.109375" style="41" customWidth="1"/>
    <col min="5" max="5" width="15.88671875" style="41" customWidth="1"/>
    <col min="6" max="6" width="14.5546875" style="41" customWidth="1"/>
    <col min="7" max="7" width="14.109375" style="41" customWidth="1"/>
    <col min="8" max="8" width="12.88671875" style="41" customWidth="1"/>
    <col min="9" max="9" width="13.109375" style="41" customWidth="1"/>
    <col min="10" max="10" width="15.109375" style="41" customWidth="1"/>
    <col min="11" max="16384" width="9.109375" style="41"/>
  </cols>
  <sheetData>
    <row r="1" spans="1:10" ht="15.6" x14ac:dyDescent="0.25">
      <c r="A1" s="697" t="s">
        <v>531</v>
      </c>
      <c r="B1" s="697"/>
      <c r="C1" s="697"/>
      <c r="D1" s="697"/>
      <c r="E1" s="697"/>
      <c r="F1" s="697"/>
      <c r="G1" s="697"/>
      <c r="H1" s="697"/>
      <c r="I1" s="697"/>
      <c r="J1" s="697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42.75" customHeight="1" x14ac:dyDescent="0.25">
      <c r="A3" s="698" t="s">
        <v>774</v>
      </c>
      <c r="B3" s="698"/>
      <c r="C3" s="698"/>
      <c r="D3" s="698"/>
      <c r="E3" s="698"/>
      <c r="F3" s="698"/>
      <c r="G3" s="698"/>
      <c r="H3" s="698"/>
      <c r="I3" s="698"/>
      <c r="J3" s="698"/>
    </row>
    <row r="4" spans="1:10" ht="20.25" customHeight="1" x14ac:dyDescent="0.25">
      <c r="A4" s="698" t="s">
        <v>529</v>
      </c>
      <c r="B4" s="698"/>
      <c r="C4" s="698"/>
      <c r="D4" s="698"/>
      <c r="E4" s="698"/>
      <c r="F4" s="698"/>
      <c r="G4" s="698"/>
      <c r="H4" s="698"/>
      <c r="I4" s="698"/>
      <c r="J4" s="698"/>
    </row>
    <row r="5" spans="1:10" ht="22.8" x14ac:dyDescent="0.25">
      <c r="A5" s="254"/>
      <c r="B5" s="255"/>
      <c r="C5" s="255"/>
      <c r="D5" s="255"/>
      <c r="E5" s="255"/>
      <c r="F5" s="255"/>
      <c r="G5" s="255"/>
      <c r="H5" s="255"/>
      <c r="I5" s="255"/>
      <c r="J5" s="255"/>
    </row>
    <row r="6" spans="1:10" ht="22.8" x14ac:dyDescent="0.25">
      <c r="A6" s="254"/>
      <c r="B6" s="255"/>
      <c r="C6" s="255"/>
      <c r="D6" s="699"/>
      <c r="E6" s="700"/>
      <c r="F6" s="700"/>
      <c r="G6" s="700"/>
      <c r="H6" s="700"/>
      <c r="I6" s="255"/>
      <c r="J6" s="256" t="s">
        <v>599</v>
      </c>
    </row>
    <row r="7" spans="1:10" x14ac:dyDescent="0.25">
      <c r="A7" s="701"/>
      <c r="B7" s="702" t="s">
        <v>523</v>
      </c>
      <c r="C7" s="702"/>
      <c r="D7" s="702"/>
      <c r="E7" s="702"/>
      <c r="F7" s="702"/>
      <c r="G7" s="702"/>
      <c r="H7" s="702"/>
      <c r="I7" s="702"/>
      <c r="J7" s="702" t="s">
        <v>500</v>
      </c>
    </row>
    <row r="8" spans="1:10" x14ac:dyDescent="0.25">
      <c r="A8" s="701"/>
      <c r="B8" s="702"/>
      <c r="C8" s="702"/>
      <c r="D8" s="702"/>
      <c r="E8" s="257" t="s">
        <v>530</v>
      </c>
      <c r="F8" s="257" t="s">
        <v>586</v>
      </c>
      <c r="G8" s="257" t="s">
        <v>592</v>
      </c>
      <c r="H8" s="257" t="s">
        <v>600</v>
      </c>
      <c r="I8" s="257" t="s">
        <v>780</v>
      </c>
      <c r="J8" s="702"/>
    </row>
    <row r="9" spans="1:10" ht="35.1" customHeight="1" x14ac:dyDescent="0.25">
      <c r="A9" s="262" t="s">
        <v>0</v>
      </c>
      <c r="B9" s="691"/>
      <c r="C9" s="692"/>
      <c r="D9" s="693"/>
      <c r="E9" s="310">
        <v>0</v>
      </c>
      <c r="F9" s="310">
        <v>0</v>
      </c>
      <c r="G9" s="310">
        <v>0</v>
      </c>
      <c r="H9" s="310">
        <v>0</v>
      </c>
      <c r="I9" s="310">
        <v>0</v>
      </c>
      <c r="J9" s="259">
        <f t="shared" ref="J9:J18" si="0">SUM(E9:I9)</f>
        <v>0</v>
      </c>
    </row>
    <row r="10" spans="1:10" ht="35.1" customHeight="1" x14ac:dyDescent="0.25">
      <c r="A10" s="262" t="s">
        <v>6</v>
      </c>
      <c r="B10" s="691"/>
      <c r="C10" s="692"/>
      <c r="D10" s="693"/>
      <c r="E10" s="310">
        <v>0</v>
      </c>
      <c r="F10" s="310">
        <v>0</v>
      </c>
      <c r="G10" s="310">
        <v>0</v>
      </c>
      <c r="H10" s="310">
        <v>0</v>
      </c>
      <c r="I10" s="310">
        <v>0</v>
      </c>
      <c r="J10" s="259">
        <f t="shared" si="0"/>
        <v>0</v>
      </c>
    </row>
    <row r="11" spans="1:10" ht="35.1" customHeight="1" x14ac:dyDescent="0.25">
      <c r="A11" s="262" t="s">
        <v>14</v>
      </c>
      <c r="B11" s="691"/>
      <c r="C11" s="692"/>
      <c r="D11" s="693"/>
      <c r="E11" s="310">
        <v>0</v>
      </c>
      <c r="F11" s="310">
        <v>0</v>
      </c>
      <c r="G11" s="310">
        <v>0</v>
      </c>
      <c r="H11" s="310">
        <v>0</v>
      </c>
      <c r="I11" s="310">
        <v>0</v>
      </c>
      <c r="J11" s="259">
        <f t="shared" si="0"/>
        <v>0</v>
      </c>
    </row>
    <row r="12" spans="1:10" ht="35.1" customHeight="1" x14ac:dyDescent="0.25">
      <c r="A12" s="262" t="s">
        <v>17</v>
      </c>
      <c r="B12" s="691"/>
      <c r="C12" s="692"/>
      <c r="D12" s="693"/>
      <c r="E12" s="310">
        <v>0</v>
      </c>
      <c r="F12" s="310">
        <v>0</v>
      </c>
      <c r="G12" s="310">
        <v>0</v>
      </c>
      <c r="H12" s="310">
        <v>0</v>
      </c>
      <c r="I12" s="310">
        <v>0</v>
      </c>
      <c r="J12" s="259">
        <f t="shared" si="0"/>
        <v>0</v>
      </c>
    </row>
    <row r="13" spans="1:10" ht="35.1" customHeight="1" x14ac:dyDescent="0.25">
      <c r="A13" s="262" t="s">
        <v>34</v>
      </c>
      <c r="B13" s="694"/>
      <c r="C13" s="695"/>
      <c r="D13" s="696"/>
      <c r="E13" s="310">
        <v>0</v>
      </c>
      <c r="F13" s="310">
        <v>0</v>
      </c>
      <c r="G13" s="310">
        <v>0</v>
      </c>
      <c r="H13" s="310">
        <v>0</v>
      </c>
      <c r="I13" s="310">
        <v>0</v>
      </c>
      <c r="J13" s="259">
        <f t="shared" si="0"/>
        <v>0</v>
      </c>
    </row>
    <row r="14" spans="1:10" ht="35.1" customHeight="1" x14ac:dyDescent="0.25">
      <c r="A14" s="262" t="s">
        <v>36</v>
      </c>
      <c r="B14" s="691"/>
      <c r="C14" s="692"/>
      <c r="D14" s="693"/>
      <c r="E14" s="310">
        <v>0</v>
      </c>
      <c r="F14" s="310">
        <v>0</v>
      </c>
      <c r="G14" s="310">
        <v>0</v>
      </c>
      <c r="H14" s="310">
        <v>0</v>
      </c>
      <c r="I14" s="310">
        <v>0</v>
      </c>
      <c r="J14" s="259">
        <f t="shared" si="0"/>
        <v>0</v>
      </c>
    </row>
    <row r="15" spans="1:10" ht="35.1" customHeight="1" x14ac:dyDescent="0.25">
      <c r="A15" s="262" t="s">
        <v>31</v>
      </c>
      <c r="B15" s="691"/>
      <c r="C15" s="692"/>
      <c r="D15" s="693"/>
      <c r="E15" s="310">
        <v>0</v>
      </c>
      <c r="F15" s="310">
        <v>0</v>
      </c>
      <c r="G15" s="310">
        <v>0</v>
      </c>
      <c r="H15" s="310">
        <v>0</v>
      </c>
      <c r="I15" s="310">
        <v>0</v>
      </c>
      <c r="J15" s="259">
        <f t="shared" si="0"/>
        <v>0</v>
      </c>
    </row>
    <row r="16" spans="1:10" ht="35.1" customHeight="1" x14ac:dyDescent="0.25">
      <c r="A16" s="262" t="s">
        <v>18</v>
      </c>
      <c r="B16" s="691"/>
      <c r="C16" s="692"/>
      <c r="D16" s="693"/>
      <c r="E16" s="310">
        <v>0</v>
      </c>
      <c r="F16" s="310">
        <v>0</v>
      </c>
      <c r="G16" s="310">
        <v>0</v>
      </c>
      <c r="H16" s="310">
        <v>0</v>
      </c>
      <c r="I16" s="310">
        <v>0</v>
      </c>
      <c r="J16" s="259">
        <f t="shared" si="0"/>
        <v>0</v>
      </c>
    </row>
    <row r="17" spans="1:10" ht="35.1" customHeight="1" x14ac:dyDescent="0.25">
      <c r="A17" s="262" t="s">
        <v>19</v>
      </c>
      <c r="B17" s="691"/>
      <c r="C17" s="692"/>
      <c r="D17" s="693"/>
      <c r="E17" s="310">
        <v>0</v>
      </c>
      <c r="F17" s="310">
        <v>0</v>
      </c>
      <c r="G17" s="310">
        <v>0</v>
      </c>
      <c r="H17" s="310">
        <v>0</v>
      </c>
      <c r="I17" s="310">
        <v>0</v>
      </c>
      <c r="J17" s="259">
        <f t="shared" si="0"/>
        <v>0</v>
      </c>
    </row>
    <row r="18" spans="1:10" ht="34.5" customHeight="1" x14ac:dyDescent="0.25">
      <c r="A18" s="262" t="s">
        <v>20</v>
      </c>
      <c r="B18" s="691"/>
      <c r="C18" s="692"/>
      <c r="D18" s="693"/>
      <c r="E18" s="310">
        <v>0</v>
      </c>
      <c r="F18" s="310">
        <v>0</v>
      </c>
      <c r="G18" s="310">
        <v>0</v>
      </c>
      <c r="H18" s="310">
        <v>0</v>
      </c>
      <c r="I18" s="310">
        <v>0</v>
      </c>
      <c r="J18" s="259">
        <f t="shared" si="0"/>
        <v>0</v>
      </c>
    </row>
    <row r="19" spans="1:10" ht="34.5" customHeight="1" x14ac:dyDescent="0.25">
      <c r="A19" s="262" t="s">
        <v>21</v>
      </c>
      <c r="B19" s="688" t="s">
        <v>551</v>
      </c>
      <c r="C19" s="689"/>
      <c r="D19" s="690"/>
      <c r="E19" s="260">
        <f t="shared" ref="E19:J19" si="1">SUM(E9:E18)</f>
        <v>0</v>
      </c>
      <c r="F19" s="260">
        <f t="shared" si="1"/>
        <v>0</v>
      </c>
      <c r="G19" s="260">
        <f t="shared" si="1"/>
        <v>0</v>
      </c>
      <c r="H19" s="260">
        <f t="shared" si="1"/>
        <v>0</v>
      </c>
      <c r="I19" s="260">
        <f t="shared" si="1"/>
        <v>0</v>
      </c>
      <c r="J19" s="261">
        <f t="shared" si="1"/>
        <v>0</v>
      </c>
    </row>
    <row r="20" spans="1:10" x14ac:dyDescent="0.25">
      <c r="E20" s="258"/>
      <c r="F20" s="258"/>
      <c r="G20" s="258"/>
      <c r="H20" s="258"/>
      <c r="I20" s="258"/>
    </row>
  </sheetData>
  <mergeCells count="19">
    <mergeCell ref="B15:D15"/>
    <mergeCell ref="A1:J1"/>
    <mergeCell ref="A3:J3"/>
    <mergeCell ref="D6:H6"/>
    <mergeCell ref="A7:A8"/>
    <mergeCell ref="B7:D8"/>
    <mergeCell ref="E7:I7"/>
    <mergeCell ref="J7:J8"/>
    <mergeCell ref="A4:J4"/>
    <mergeCell ref="B19:D19"/>
    <mergeCell ref="B9:D9"/>
    <mergeCell ref="B10:D10"/>
    <mergeCell ref="B11:D11"/>
    <mergeCell ref="B18:D18"/>
    <mergeCell ref="B12:D12"/>
    <mergeCell ref="B14:D14"/>
    <mergeCell ref="B13:D13"/>
    <mergeCell ref="B16:D16"/>
    <mergeCell ref="B17:D17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="80" zoomScaleNormal="100" workbookViewId="0">
      <selection activeCell="A5" sqref="A5"/>
    </sheetView>
  </sheetViews>
  <sheetFormatPr defaultColWidth="9.109375" defaultRowHeight="13.2" x14ac:dyDescent="0.25"/>
  <cols>
    <col min="1" max="1" width="3.5546875" style="531" customWidth="1"/>
    <col min="2" max="2" width="26.5546875" style="519" customWidth="1"/>
    <col min="3" max="3" width="30.5546875" style="519" customWidth="1"/>
    <col min="4" max="4" width="19.109375" style="519" customWidth="1"/>
    <col min="5" max="5" width="20.6640625" style="519" customWidth="1"/>
    <col min="6" max="6" width="11.5546875" style="519" customWidth="1"/>
    <col min="7" max="7" width="16.88671875" style="519" customWidth="1"/>
    <col min="8" max="8" width="11.109375" style="519" customWidth="1"/>
    <col min="9" max="9" width="11.5546875" style="519" customWidth="1"/>
    <col min="10" max="16384" width="9.109375" style="519"/>
  </cols>
  <sheetData>
    <row r="1" spans="1:11" ht="17.25" customHeight="1" x14ac:dyDescent="0.25">
      <c r="A1" s="518"/>
      <c r="B1" s="651" t="s">
        <v>543</v>
      </c>
      <c r="C1" s="611"/>
      <c r="D1" s="611"/>
      <c r="E1" s="611"/>
    </row>
    <row r="2" spans="1:11" ht="17.25" customHeight="1" x14ac:dyDescent="0.25">
      <c r="A2" s="518"/>
      <c r="B2" s="237"/>
      <c r="C2" s="58"/>
      <c r="D2" s="58"/>
      <c r="E2" s="58"/>
    </row>
    <row r="3" spans="1:11" ht="17.25" customHeight="1" x14ac:dyDescent="0.25">
      <c r="A3" s="518"/>
      <c r="B3" s="237"/>
      <c r="C3" s="58"/>
      <c r="D3" s="58"/>
      <c r="E3" s="58"/>
    </row>
    <row r="4" spans="1:11" ht="36.75" customHeight="1" x14ac:dyDescent="0.25">
      <c r="A4" s="713" t="s">
        <v>775</v>
      </c>
      <c r="B4" s="713"/>
      <c r="C4" s="713"/>
      <c r="D4" s="713"/>
      <c r="E4" s="713"/>
      <c r="H4" s="520"/>
      <c r="I4" s="520"/>
      <c r="J4" s="520"/>
      <c r="K4" s="520"/>
    </row>
    <row r="5" spans="1:11" ht="17.25" customHeight="1" x14ac:dyDescent="0.35">
      <c r="A5" s="521"/>
      <c r="B5" s="714" t="s">
        <v>526</v>
      </c>
      <c r="C5" s="714"/>
      <c r="D5" s="714"/>
      <c r="E5" s="714"/>
      <c r="H5" s="520"/>
      <c r="I5" s="520"/>
      <c r="J5" s="520"/>
      <c r="K5" s="520"/>
    </row>
    <row r="6" spans="1:11" ht="17.25" customHeight="1" x14ac:dyDescent="0.35">
      <c r="A6" s="521"/>
      <c r="B6" s="522"/>
      <c r="C6" s="522"/>
      <c r="D6" s="522"/>
      <c r="E6" s="522"/>
      <c r="H6" s="520"/>
      <c r="I6" s="520"/>
      <c r="J6" s="520"/>
      <c r="K6" s="520"/>
    </row>
    <row r="7" spans="1:11" ht="17.25" customHeight="1" x14ac:dyDescent="0.35">
      <c r="A7" s="521"/>
      <c r="B7" s="522"/>
      <c r="C7" s="522"/>
      <c r="D7" s="522"/>
      <c r="E7" s="522"/>
      <c r="H7" s="520"/>
      <c r="I7" s="520"/>
      <c r="J7" s="520"/>
      <c r="K7" s="520"/>
    </row>
    <row r="8" spans="1:11" ht="17.25" customHeight="1" x14ac:dyDescent="0.35">
      <c r="A8" s="521"/>
      <c r="B8" s="522"/>
      <c r="C8" s="522"/>
      <c r="D8" s="522"/>
      <c r="E8" s="522"/>
      <c r="H8" s="520"/>
      <c r="I8" s="520"/>
      <c r="J8" s="520"/>
      <c r="K8" s="520"/>
    </row>
    <row r="9" spans="1:11" ht="16.5" customHeight="1" x14ac:dyDescent="0.25">
      <c r="A9" s="521"/>
      <c r="B9" s="523"/>
      <c r="C9" s="523"/>
      <c r="D9" s="523"/>
      <c r="E9" s="524" t="s">
        <v>599</v>
      </c>
      <c r="H9" s="520"/>
      <c r="I9" s="520"/>
      <c r="J9" s="520"/>
      <c r="K9" s="520"/>
    </row>
    <row r="10" spans="1:11" ht="18.75" customHeight="1" x14ac:dyDescent="0.25">
      <c r="A10" s="715"/>
      <c r="B10" s="717" t="s">
        <v>573</v>
      </c>
      <c r="C10" s="712" t="s">
        <v>572</v>
      </c>
      <c r="D10" s="712"/>
      <c r="E10" s="719" t="s">
        <v>500</v>
      </c>
    </row>
    <row r="11" spans="1:11" ht="31.5" customHeight="1" x14ac:dyDescent="0.25">
      <c r="A11" s="716"/>
      <c r="B11" s="718"/>
      <c r="C11" s="720" t="s">
        <v>524</v>
      </c>
      <c r="D11" s="721"/>
      <c r="E11" s="719"/>
    </row>
    <row r="12" spans="1:11" ht="35.1" customHeight="1" x14ac:dyDescent="0.25">
      <c r="A12" s="526" t="s">
        <v>0</v>
      </c>
      <c r="B12" s="527" t="s">
        <v>97</v>
      </c>
      <c r="C12" s="707" t="s">
        <v>776</v>
      </c>
      <c r="D12" s="708"/>
      <c r="E12" s="528">
        <v>0</v>
      </c>
    </row>
    <row r="13" spans="1:11" ht="35.1" customHeight="1" x14ac:dyDescent="0.25">
      <c r="A13" s="526" t="s">
        <v>6</v>
      </c>
      <c r="B13" s="527" t="s">
        <v>525</v>
      </c>
      <c r="C13" s="707" t="s">
        <v>776</v>
      </c>
      <c r="D13" s="708"/>
      <c r="E13" s="528">
        <v>0</v>
      </c>
    </row>
    <row r="14" spans="1:11" ht="35.1" customHeight="1" x14ac:dyDescent="0.25">
      <c r="A14" s="526" t="s">
        <v>14</v>
      </c>
      <c r="B14" s="527"/>
      <c r="C14" s="707"/>
      <c r="D14" s="708"/>
      <c r="E14" s="528"/>
    </row>
    <row r="15" spans="1:11" ht="35.1" customHeight="1" x14ac:dyDescent="0.25">
      <c r="A15" s="526" t="s">
        <v>17</v>
      </c>
      <c r="B15" s="527"/>
      <c r="C15" s="707"/>
      <c r="D15" s="708"/>
      <c r="E15" s="529"/>
    </row>
    <row r="16" spans="1:11" s="530" customFormat="1" ht="35.1" customHeight="1" x14ac:dyDescent="0.25">
      <c r="A16" s="526" t="s">
        <v>34</v>
      </c>
      <c r="B16" s="709" t="s">
        <v>98</v>
      </c>
      <c r="C16" s="710"/>
      <c r="D16" s="711"/>
      <c r="E16" s="529">
        <f>SUM(E12:E15)</f>
        <v>0</v>
      </c>
    </row>
    <row r="17" spans="1:5" ht="21" customHeight="1" x14ac:dyDescent="0.25"/>
    <row r="18" spans="1:5" ht="21" customHeight="1" x14ac:dyDescent="0.25"/>
    <row r="19" spans="1:5" s="523" customFormat="1" x14ac:dyDescent="0.25">
      <c r="A19" s="518"/>
      <c r="E19" s="524" t="s">
        <v>599</v>
      </c>
    </row>
    <row r="20" spans="1:5" s="523" customFormat="1" ht="21.75" customHeight="1" x14ac:dyDescent="0.25">
      <c r="A20" s="712" t="s">
        <v>575</v>
      </c>
      <c r="B20" s="712"/>
      <c r="C20" s="712"/>
      <c r="D20" s="712"/>
      <c r="E20" s="525" t="s">
        <v>500</v>
      </c>
    </row>
    <row r="21" spans="1:5" s="533" customFormat="1" ht="22.5" customHeight="1" x14ac:dyDescent="0.25">
      <c r="A21" s="703" t="s">
        <v>777</v>
      </c>
      <c r="B21" s="703"/>
      <c r="C21" s="703"/>
      <c r="D21" s="703"/>
      <c r="E21" s="532">
        <f>2*249*615+2*185*445</f>
        <v>470920</v>
      </c>
    </row>
    <row r="22" spans="1:5" s="533" customFormat="1" ht="22.5" customHeight="1" x14ac:dyDescent="0.25">
      <c r="A22" s="703" t="s">
        <v>576</v>
      </c>
      <c r="B22" s="703"/>
      <c r="C22" s="703"/>
      <c r="D22" s="703"/>
      <c r="E22" s="534">
        <v>0</v>
      </c>
    </row>
    <row r="23" spans="1:5" s="533" customFormat="1" ht="22.5" customHeight="1" x14ac:dyDescent="0.25">
      <c r="A23" s="703" t="s">
        <v>577</v>
      </c>
      <c r="B23" s="703"/>
      <c r="C23" s="703"/>
      <c r="D23" s="703"/>
      <c r="E23" s="532">
        <v>0</v>
      </c>
    </row>
    <row r="24" spans="1:5" s="533" customFormat="1" ht="23.25" customHeight="1" x14ac:dyDescent="0.25">
      <c r="A24" s="703" t="s">
        <v>578</v>
      </c>
      <c r="B24" s="703"/>
      <c r="C24" s="703"/>
      <c r="D24" s="703"/>
      <c r="E24" s="532">
        <v>0</v>
      </c>
    </row>
    <row r="25" spans="1:5" s="536" customFormat="1" ht="22.5" customHeight="1" x14ac:dyDescent="0.25">
      <c r="A25" s="704" t="s">
        <v>98</v>
      </c>
      <c r="B25" s="705"/>
      <c r="C25" s="705"/>
      <c r="D25" s="706"/>
      <c r="E25" s="535">
        <f>SUM(E21:E24)</f>
        <v>470920</v>
      </c>
    </row>
    <row r="36" ht="12" customHeight="1" x14ac:dyDescent="0.25"/>
    <row r="40" ht="12" customHeight="1" x14ac:dyDescent="0.25"/>
  </sheetData>
  <mergeCells count="19">
    <mergeCell ref="A20:D20"/>
    <mergeCell ref="B1:E1"/>
    <mergeCell ref="A4:E4"/>
    <mergeCell ref="B5:E5"/>
    <mergeCell ref="A10:A11"/>
    <mergeCell ref="B10:B11"/>
    <mergeCell ref="C10:D10"/>
    <mergeCell ref="E10:E11"/>
    <mergeCell ref="C11:D11"/>
    <mergeCell ref="A21:D21"/>
    <mergeCell ref="A22:D22"/>
    <mergeCell ref="A23:D23"/>
    <mergeCell ref="A24:D24"/>
    <mergeCell ref="A25:D25"/>
    <mergeCell ref="C12:D12"/>
    <mergeCell ref="C13:D13"/>
    <mergeCell ref="C14:D14"/>
    <mergeCell ref="C15:D15"/>
    <mergeCell ref="B16:D1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zoomScale="80" zoomScaleNormal="100" workbookViewId="0">
      <selection activeCell="F24" sqref="F24"/>
    </sheetView>
  </sheetViews>
  <sheetFormatPr defaultColWidth="9.109375" defaultRowHeight="13.2" x14ac:dyDescent="0.25"/>
  <cols>
    <col min="1" max="1" width="4.88671875" style="208" customWidth="1"/>
    <col min="2" max="2" width="51" style="17" customWidth="1"/>
    <col min="3" max="3" width="25.6640625" style="17" customWidth="1"/>
    <col min="4" max="4" width="20.44140625" style="17" customWidth="1"/>
    <col min="5" max="5" width="19.6640625" style="17" customWidth="1"/>
    <col min="6" max="6" width="21.6640625" style="17" customWidth="1"/>
    <col min="7" max="16384" width="9.109375" style="17"/>
  </cols>
  <sheetData>
    <row r="1" spans="1:9" x14ac:dyDescent="0.25">
      <c r="D1" s="17" t="s">
        <v>544</v>
      </c>
    </row>
    <row r="2" spans="1:9" x14ac:dyDescent="0.25">
      <c r="A2" s="209"/>
      <c r="B2" s="209"/>
      <c r="C2" s="209"/>
      <c r="D2" s="209"/>
      <c r="E2" s="209"/>
      <c r="F2" s="36"/>
    </row>
    <row r="3" spans="1:9" ht="18" x14ac:dyDescent="0.25">
      <c r="A3" s="722" t="s">
        <v>778</v>
      </c>
      <c r="B3" s="722"/>
      <c r="C3" s="722"/>
      <c r="D3" s="722"/>
      <c r="E3" s="722"/>
      <c r="F3" s="722"/>
    </row>
    <row r="4" spans="1:9" ht="18" x14ac:dyDescent="0.25">
      <c r="A4" s="253"/>
      <c r="B4" s="722" t="s">
        <v>149</v>
      </c>
      <c r="C4" s="722"/>
      <c r="D4" s="722"/>
      <c r="E4" s="722"/>
      <c r="F4" s="722"/>
    </row>
    <row r="5" spans="1:9" ht="15.6" x14ac:dyDescent="0.25">
      <c r="B5" s="210" t="s">
        <v>141</v>
      </c>
      <c r="C5" s="723"/>
      <c r="D5" s="723"/>
      <c r="E5" s="210"/>
      <c r="F5" s="210"/>
      <c r="G5" s="87"/>
      <c r="H5" s="87"/>
      <c r="I5" s="87"/>
    </row>
    <row r="6" spans="1:9" ht="18" x14ac:dyDescent="0.25">
      <c r="B6" s="683" t="s">
        <v>528</v>
      </c>
      <c r="C6" s="683"/>
      <c r="D6" s="683"/>
      <c r="E6" s="683"/>
      <c r="F6" s="683"/>
    </row>
    <row r="7" spans="1:9" ht="15.6" x14ac:dyDescent="0.25">
      <c r="B7" s="210"/>
      <c r="C7" s="210"/>
      <c r="D7" s="210" t="s">
        <v>143</v>
      </c>
      <c r="E7" s="210"/>
      <c r="F7" s="210"/>
    </row>
    <row r="8" spans="1:9" x14ac:dyDescent="0.25">
      <c r="F8" s="245" t="s">
        <v>599</v>
      </c>
    </row>
    <row r="9" spans="1:9" ht="26.25" customHeight="1" x14ac:dyDescent="0.25">
      <c r="A9" s="206" t="s">
        <v>0</v>
      </c>
      <c r="B9" s="47"/>
      <c r="C9" s="33" t="s">
        <v>530</v>
      </c>
      <c r="D9" s="33" t="s">
        <v>586</v>
      </c>
      <c r="E9" s="33" t="s">
        <v>592</v>
      </c>
      <c r="F9" s="33" t="s">
        <v>600</v>
      </c>
    </row>
    <row r="10" spans="1:9" ht="19.5" customHeight="1" x14ac:dyDescent="0.25">
      <c r="A10" s="206" t="s">
        <v>6</v>
      </c>
      <c r="B10" s="92" t="s">
        <v>102</v>
      </c>
      <c r="C10" s="207"/>
      <c r="D10" s="207"/>
      <c r="E10" s="207"/>
      <c r="F10" s="207"/>
    </row>
    <row r="11" spans="1:9" ht="47.25" customHeight="1" x14ac:dyDescent="0.25">
      <c r="A11" s="206" t="s">
        <v>14</v>
      </c>
      <c r="B11" s="93" t="s">
        <v>491</v>
      </c>
      <c r="C11" s="537">
        <f>'1.m. kiemelt bev.'!C15</f>
        <v>27427318.734999999</v>
      </c>
      <c r="D11" s="537">
        <f>C11*1.01</f>
        <v>27701591.922350001</v>
      </c>
      <c r="E11" s="537">
        <f>D11*1.01</f>
        <v>27978607.841573499</v>
      </c>
      <c r="F11" s="537">
        <f>E11*1.01</f>
        <v>28258393.919989236</v>
      </c>
    </row>
    <row r="12" spans="1:9" ht="31.2" x14ac:dyDescent="0.25">
      <c r="A12" s="206" t="s">
        <v>17</v>
      </c>
      <c r="B12" s="93" t="s">
        <v>492</v>
      </c>
      <c r="C12" s="537">
        <f>'1.m. kiemelt bev.'!E15</f>
        <v>11363991</v>
      </c>
      <c r="D12" s="537">
        <f t="shared" ref="D12:F14" si="0">C12</f>
        <v>11363991</v>
      </c>
      <c r="E12" s="537">
        <f t="shared" si="0"/>
        <v>11363991</v>
      </c>
      <c r="F12" s="537">
        <f t="shared" si="0"/>
        <v>11363991</v>
      </c>
    </row>
    <row r="13" spans="1:9" ht="20.25" customHeight="1" x14ac:dyDescent="0.25">
      <c r="A13" s="206" t="s">
        <v>34</v>
      </c>
      <c r="B13" s="211" t="s">
        <v>9</v>
      </c>
      <c r="C13" s="537">
        <f>'1.m. kiemelt bev.'!G15</f>
        <v>92372671.5</v>
      </c>
      <c r="D13" s="537">
        <f t="shared" si="0"/>
        <v>92372671.5</v>
      </c>
      <c r="E13" s="537">
        <f t="shared" si="0"/>
        <v>92372671.5</v>
      </c>
      <c r="F13" s="537">
        <f t="shared" si="0"/>
        <v>92372671.5</v>
      </c>
    </row>
    <row r="14" spans="1:9" ht="22.5" customHeight="1" x14ac:dyDescent="0.25">
      <c r="A14" s="206" t="s">
        <v>36</v>
      </c>
      <c r="B14" s="94" t="s">
        <v>10</v>
      </c>
      <c r="C14" s="537">
        <f>'1.m. kiemelt bev.'!K15</f>
        <v>720000</v>
      </c>
      <c r="D14" s="537">
        <v>0</v>
      </c>
      <c r="E14" s="537">
        <f t="shared" si="0"/>
        <v>0</v>
      </c>
      <c r="F14" s="537">
        <f t="shared" si="0"/>
        <v>0</v>
      </c>
    </row>
    <row r="15" spans="1:9" ht="22.5" customHeight="1" x14ac:dyDescent="0.25">
      <c r="A15" s="206" t="s">
        <v>31</v>
      </c>
      <c r="B15" s="94" t="s">
        <v>3</v>
      </c>
      <c r="C15" s="537">
        <f>'1.m. kiemelt bev.'!O15+'1.m. kiemelt bev.'!Q15+'1.m. kiemelt bev.'!S15</f>
        <v>37396744</v>
      </c>
      <c r="D15" s="537">
        <v>0</v>
      </c>
      <c r="E15" s="537">
        <v>0</v>
      </c>
      <c r="F15" s="537">
        <v>0</v>
      </c>
    </row>
    <row r="16" spans="1:9" ht="22.5" customHeight="1" x14ac:dyDescent="0.25">
      <c r="A16" s="206" t="s">
        <v>18</v>
      </c>
      <c r="B16" s="94" t="s">
        <v>116</v>
      </c>
      <c r="C16" s="537">
        <f>'1.m. kiemelt bev.'!M15+'1.m. kiemelt bev.'!W15</f>
        <v>43463991</v>
      </c>
      <c r="D16" s="537">
        <v>0</v>
      </c>
      <c r="E16" s="537">
        <v>0</v>
      </c>
      <c r="F16" s="537">
        <v>0</v>
      </c>
    </row>
    <row r="17" spans="1:9" ht="22.5" customHeight="1" x14ac:dyDescent="0.25">
      <c r="A17" s="206" t="s">
        <v>19</v>
      </c>
      <c r="B17" s="94" t="s">
        <v>802</v>
      </c>
      <c r="C17" s="537">
        <f>'1.m. kiemelt bev.'!U15</f>
        <v>3214395</v>
      </c>
      <c r="D17" s="537"/>
      <c r="E17" s="537"/>
      <c r="F17" s="537"/>
    </row>
    <row r="18" spans="1:9" ht="25.5" customHeight="1" x14ac:dyDescent="0.25">
      <c r="A18" s="206" t="s">
        <v>20</v>
      </c>
      <c r="B18" s="212" t="s">
        <v>5</v>
      </c>
      <c r="C18" s="538">
        <f>SUM(C11:C17)</f>
        <v>215959111.23500001</v>
      </c>
      <c r="D18" s="538">
        <f>SUM(D11:D16)</f>
        <v>131438254.42235</v>
      </c>
      <c r="E18" s="538">
        <f>SUM(E11:E16)</f>
        <v>131715270.34157351</v>
      </c>
      <c r="F18" s="538">
        <f>SUM(F11:F16)</f>
        <v>131995056.41998923</v>
      </c>
    </row>
    <row r="19" spans="1:9" s="87" customFormat="1" ht="15.6" x14ac:dyDescent="0.25">
      <c r="A19" s="206"/>
      <c r="B19" s="213"/>
      <c r="C19" s="539"/>
      <c r="D19" s="539"/>
      <c r="E19" s="539"/>
      <c r="F19" s="539"/>
    </row>
    <row r="20" spans="1:9" ht="24" customHeight="1" x14ac:dyDescent="0.25">
      <c r="A20" s="206" t="s">
        <v>21</v>
      </c>
      <c r="B20" s="212" t="s">
        <v>119</v>
      </c>
      <c r="C20" s="33" t="s">
        <v>530</v>
      </c>
      <c r="D20" s="33" t="s">
        <v>586</v>
      </c>
      <c r="E20" s="33" t="s">
        <v>592</v>
      </c>
      <c r="F20" s="33" t="s">
        <v>600</v>
      </c>
      <c r="G20" s="17" t="s">
        <v>144</v>
      </c>
    </row>
    <row r="21" spans="1:9" ht="18.75" customHeight="1" x14ac:dyDescent="0.25">
      <c r="A21" s="206" t="s">
        <v>32</v>
      </c>
      <c r="B21" s="94" t="s">
        <v>145</v>
      </c>
      <c r="C21" s="537">
        <f>'2.m. kiemelt kiad.'!C14</f>
        <v>49819924</v>
      </c>
      <c r="D21" s="537">
        <f t="shared" ref="D21:F22" si="1">C21*1.005</f>
        <v>50069023.619999997</v>
      </c>
      <c r="E21" s="537">
        <f t="shared" si="1"/>
        <v>50319368.738099992</v>
      </c>
      <c r="F21" s="537">
        <f t="shared" si="1"/>
        <v>50570965.581790484</v>
      </c>
    </row>
    <row r="22" spans="1:9" ht="27" customHeight="1" x14ac:dyDescent="0.25">
      <c r="A22" s="206" t="s">
        <v>22</v>
      </c>
      <c r="B22" s="94" t="s">
        <v>120</v>
      </c>
      <c r="C22" s="537">
        <f>'2.m. kiemelt kiad.'!E14</f>
        <v>7357297.0750000002</v>
      </c>
      <c r="D22" s="537">
        <f t="shared" si="1"/>
        <v>7394083.5603749994</v>
      </c>
      <c r="E22" s="537">
        <f t="shared" si="1"/>
        <v>7431053.9781768732</v>
      </c>
      <c r="F22" s="537">
        <f t="shared" si="1"/>
        <v>7468209.2480677571</v>
      </c>
      <c r="G22" s="17" t="s">
        <v>142</v>
      </c>
    </row>
    <row r="23" spans="1:9" ht="27" customHeight="1" x14ac:dyDescent="0.25">
      <c r="A23" s="206" t="s">
        <v>24</v>
      </c>
      <c r="B23" s="94" t="s">
        <v>29</v>
      </c>
      <c r="C23" s="537">
        <f>'2.m. kiemelt kiad.'!G14</f>
        <v>55114141.734200001</v>
      </c>
      <c r="D23" s="537">
        <f>C23+2484941</f>
        <v>57599082.734200001</v>
      </c>
      <c r="E23" s="537">
        <f>D23*1.01+7506</f>
        <v>58182579.561542004</v>
      </c>
      <c r="F23" s="537">
        <f>E23+75837</f>
        <v>58258416.561542004</v>
      </c>
      <c r="I23" s="17" t="s">
        <v>146</v>
      </c>
    </row>
    <row r="24" spans="1:9" ht="21" customHeight="1" x14ac:dyDescent="0.25">
      <c r="A24" s="206" t="s">
        <v>40</v>
      </c>
      <c r="B24" s="94" t="s">
        <v>150</v>
      </c>
      <c r="C24" s="537">
        <f>'2.m. kiemelt kiad.'!I14</f>
        <v>400000</v>
      </c>
      <c r="D24" s="537">
        <v>400000</v>
      </c>
      <c r="E24" s="537">
        <f>D24</f>
        <v>400000</v>
      </c>
      <c r="F24" s="537">
        <f>E24</f>
        <v>400000</v>
      </c>
      <c r="I24" s="17" t="s">
        <v>147</v>
      </c>
    </row>
    <row r="25" spans="1:9" ht="21" customHeight="1" x14ac:dyDescent="0.25">
      <c r="A25" s="206" t="s">
        <v>41</v>
      </c>
      <c r="B25" s="94" t="s">
        <v>121</v>
      </c>
      <c r="C25" s="537">
        <f>'2.m. kiemelt kiad.'!K14</f>
        <v>2450000</v>
      </c>
      <c r="D25" s="537">
        <v>0</v>
      </c>
      <c r="E25" s="537">
        <v>0</v>
      </c>
      <c r="F25" s="537">
        <f>E25</f>
        <v>0</v>
      </c>
    </row>
    <row r="26" spans="1:9" ht="21" customHeight="1" x14ac:dyDescent="0.25">
      <c r="A26" s="206" t="s">
        <v>42</v>
      </c>
      <c r="B26" s="94" t="s">
        <v>26</v>
      </c>
      <c r="C26" s="537">
        <f>'2.m. kiemelt kiad.'!O14+'2.m. kiemelt kiad.'!Q14+'2.m. kiemelt kiad.'!S14</f>
        <v>52668396.829999998</v>
      </c>
      <c r="D26" s="537">
        <v>0</v>
      </c>
      <c r="E26" s="537">
        <v>0</v>
      </c>
      <c r="F26" s="537">
        <v>0</v>
      </c>
    </row>
    <row r="27" spans="1:9" ht="21" customHeight="1" x14ac:dyDescent="0.25">
      <c r="A27" s="206" t="s">
        <v>43</v>
      </c>
      <c r="B27" s="94" t="s">
        <v>123</v>
      </c>
      <c r="C27" s="537">
        <f>'2.m. kiemelt kiad.'!M14+'2.m. kiemelt kiad.'!U14</f>
        <v>48149351</v>
      </c>
      <c r="D27" s="537">
        <v>15976064</v>
      </c>
      <c r="E27" s="537">
        <v>15382268</v>
      </c>
      <c r="F27" s="537">
        <v>15297465</v>
      </c>
    </row>
    <row r="28" spans="1:9" ht="21.75" customHeight="1" x14ac:dyDescent="0.25">
      <c r="A28" s="206" t="s">
        <v>44</v>
      </c>
      <c r="B28" s="92" t="s">
        <v>27</v>
      </c>
      <c r="C28" s="538">
        <f>SUM(C21:C27)</f>
        <v>215959110.6392</v>
      </c>
      <c r="D28" s="538">
        <f>SUM(D21:D27)</f>
        <v>131438253.914575</v>
      </c>
      <c r="E28" s="538">
        <f>SUM(E21:E27)</f>
        <v>131715270.27781887</v>
      </c>
      <c r="F28" s="538">
        <f>SUM(F21:F27)</f>
        <v>131995056.39140025</v>
      </c>
      <c r="G28" s="17" t="s">
        <v>148</v>
      </c>
    </row>
  </sheetData>
  <mergeCells count="4">
    <mergeCell ref="A3:F3"/>
    <mergeCell ref="B4:F4"/>
    <mergeCell ref="C5:D5"/>
    <mergeCell ref="B6:F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view="pageBreakPreview" topLeftCell="A13" zoomScale="80" zoomScaleNormal="100" workbookViewId="0">
      <selection activeCell="G15" sqref="G15"/>
    </sheetView>
  </sheetViews>
  <sheetFormatPr defaultColWidth="9.109375" defaultRowHeight="13.2" x14ac:dyDescent="0.25"/>
  <cols>
    <col min="1" max="1" width="4.88671875" style="208" customWidth="1"/>
    <col min="2" max="2" width="48.88671875" style="17" customWidth="1"/>
    <col min="3" max="7" width="16.6640625" style="17" customWidth="1"/>
    <col min="8" max="16384" width="9.109375" style="17"/>
  </cols>
  <sheetData>
    <row r="1" spans="1:13" x14ac:dyDescent="0.25">
      <c r="C1" s="214" t="s">
        <v>506</v>
      </c>
      <c r="D1" s="214"/>
      <c r="E1" s="214"/>
    </row>
    <row r="3" spans="1:13" ht="18" x14ac:dyDescent="0.25">
      <c r="A3" s="722" t="s">
        <v>779</v>
      </c>
      <c r="B3" s="722"/>
      <c r="C3" s="722"/>
      <c r="D3" s="722"/>
      <c r="E3" s="722"/>
      <c r="F3" s="722"/>
      <c r="G3" s="209"/>
    </row>
    <row r="4" spans="1:13" ht="18" x14ac:dyDescent="0.25">
      <c r="A4" s="308"/>
      <c r="B4" s="683" t="s">
        <v>100</v>
      </c>
      <c r="C4" s="683"/>
      <c r="D4" s="683"/>
      <c r="E4" s="683"/>
      <c r="F4" s="683"/>
      <c r="H4" s="87"/>
      <c r="I4" s="87"/>
      <c r="J4" s="87"/>
      <c r="K4" s="87"/>
      <c r="L4" s="87"/>
      <c r="M4" s="87"/>
    </row>
    <row r="5" spans="1:13" ht="18" x14ac:dyDescent="0.25">
      <c r="A5" s="308"/>
      <c r="B5" s="239"/>
      <c r="C5" s="683"/>
      <c r="D5" s="683"/>
      <c r="E5" s="239"/>
      <c r="F5" s="239"/>
      <c r="H5" s="87"/>
      <c r="I5" s="87"/>
      <c r="J5" s="87"/>
      <c r="K5" s="87"/>
      <c r="L5" s="87"/>
      <c r="M5" s="87"/>
    </row>
    <row r="6" spans="1:13" ht="18" x14ac:dyDescent="0.25">
      <c r="A6" s="308"/>
      <c r="B6" s="683" t="s">
        <v>568</v>
      </c>
      <c r="C6" s="683"/>
      <c r="D6" s="683"/>
      <c r="E6" s="683"/>
      <c r="F6" s="683"/>
    </row>
    <row r="7" spans="1:13" ht="18" x14ac:dyDescent="0.25">
      <c r="A7" s="308"/>
      <c r="B7" s="239"/>
      <c r="C7" s="239"/>
      <c r="D7" s="239"/>
      <c r="E7" s="239"/>
      <c r="F7" s="239"/>
    </row>
    <row r="8" spans="1:13" ht="13.8" thickBot="1" x14ac:dyDescent="0.3">
      <c r="C8" s="540"/>
      <c r="D8" s="540"/>
      <c r="E8" s="540"/>
      <c r="F8" s="540"/>
      <c r="G8" s="17" t="s">
        <v>569</v>
      </c>
    </row>
    <row r="9" spans="1:13" ht="36" customHeight="1" thickBot="1" x14ac:dyDescent="0.3">
      <c r="A9" s="330" t="s">
        <v>0</v>
      </c>
      <c r="B9" s="547" t="s">
        <v>606</v>
      </c>
      <c r="C9" s="548" t="s">
        <v>530</v>
      </c>
      <c r="D9" s="332" t="s">
        <v>586</v>
      </c>
      <c r="E9" s="332" t="s">
        <v>592</v>
      </c>
      <c r="F9" s="332" t="s">
        <v>600</v>
      </c>
      <c r="G9" s="333" t="s">
        <v>780</v>
      </c>
    </row>
    <row r="10" spans="1:13" x14ac:dyDescent="0.25">
      <c r="A10" s="334" t="s">
        <v>6</v>
      </c>
      <c r="B10" s="335" t="s">
        <v>607</v>
      </c>
      <c r="C10" s="541">
        <f>'16.m. Önk. rovat+cofog'!E29+'16.m. Önk. rovat+cofog'!E30</f>
        <v>11273991</v>
      </c>
      <c r="D10" s="542">
        <v>10700000</v>
      </c>
      <c r="E10" s="542">
        <v>10700000</v>
      </c>
      <c r="F10" s="542">
        <v>10700000</v>
      </c>
      <c r="G10" s="543">
        <v>10700000</v>
      </c>
    </row>
    <row r="11" spans="1:13" ht="39.6" x14ac:dyDescent="0.25">
      <c r="A11" s="334" t="s">
        <v>14</v>
      </c>
      <c r="B11" s="336" t="s">
        <v>608</v>
      </c>
      <c r="C11" s="364">
        <v>0</v>
      </c>
      <c r="D11" s="337">
        <v>0</v>
      </c>
      <c r="E11" s="337">
        <v>0</v>
      </c>
      <c r="F11" s="337">
        <v>0</v>
      </c>
      <c r="G11" s="338">
        <v>0</v>
      </c>
    </row>
    <row r="12" spans="1:13" x14ac:dyDescent="0.25">
      <c r="A12" s="334" t="s">
        <v>17</v>
      </c>
      <c r="B12" s="336" t="s">
        <v>609</v>
      </c>
      <c r="C12" s="364">
        <v>0</v>
      </c>
      <c r="D12" s="337">
        <v>0</v>
      </c>
      <c r="E12" s="337">
        <v>0</v>
      </c>
      <c r="F12" s="337">
        <v>0</v>
      </c>
      <c r="G12" s="338">
        <v>0</v>
      </c>
    </row>
    <row r="13" spans="1:13" ht="39.6" x14ac:dyDescent="0.25">
      <c r="A13" s="334" t="s">
        <v>34</v>
      </c>
      <c r="B13" s="336" t="s">
        <v>610</v>
      </c>
      <c r="C13" s="364">
        <v>0</v>
      </c>
      <c r="D13" s="337">
        <v>0</v>
      </c>
      <c r="E13" s="337">
        <v>0</v>
      </c>
      <c r="F13" s="337">
        <v>0</v>
      </c>
      <c r="G13" s="338">
        <v>0</v>
      </c>
    </row>
    <row r="14" spans="1:13" x14ac:dyDescent="0.25">
      <c r="A14" s="334" t="s">
        <v>36</v>
      </c>
      <c r="B14" s="336" t="s">
        <v>611</v>
      </c>
      <c r="C14" s="544">
        <f>'16.m. Önk. rovat+cofog'!E33</f>
        <v>90000</v>
      </c>
      <c r="D14" s="545">
        <v>50000</v>
      </c>
      <c r="E14" s="545">
        <v>50000</v>
      </c>
      <c r="F14" s="545">
        <v>50000</v>
      </c>
      <c r="G14" s="546">
        <v>50000</v>
      </c>
    </row>
    <row r="15" spans="1:13" ht="13.8" thickBot="1" x14ac:dyDescent="0.3">
      <c r="A15" s="334" t="s">
        <v>31</v>
      </c>
      <c r="B15" s="339" t="s">
        <v>612</v>
      </c>
      <c r="C15" s="365">
        <v>0</v>
      </c>
      <c r="D15" s="366">
        <v>0</v>
      </c>
      <c r="E15" s="366">
        <v>0</v>
      </c>
      <c r="F15" s="366">
        <v>0</v>
      </c>
      <c r="G15" s="367">
        <v>0</v>
      </c>
    </row>
    <row r="16" spans="1:13" ht="13.8" thickBot="1" x14ac:dyDescent="0.3">
      <c r="A16" s="340" t="s">
        <v>18</v>
      </c>
      <c r="B16" s="331" t="s">
        <v>98</v>
      </c>
      <c r="C16" s="341">
        <f>SUM(C10:C15)</f>
        <v>11363991</v>
      </c>
      <c r="D16" s="342">
        <f>SUM(D10:D15)</f>
        <v>10750000</v>
      </c>
      <c r="E16" s="342">
        <f>SUM(E10:E15)</f>
        <v>10750000</v>
      </c>
      <c r="F16" s="342">
        <f>SUM(F10:F15)</f>
        <v>10750000</v>
      </c>
      <c r="G16" s="343">
        <f>SUM(G10:G15)</f>
        <v>10750000</v>
      </c>
    </row>
    <row r="17" spans="1:7" x14ac:dyDescent="0.25">
      <c r="A17" s="344"/>
      <c r="B17" s="345"/>
      <c r="C17" s="346"/>
      <c r="D17" s="347"/>
      <c r="E17" s="347"/>
      <c r="F17" s="347"/>
      <c r="G17" s="347"/>
    </row>
    <row r="18" spans="1:7" ht="13.8" thickBot="1" x14ac:dyDescent="0.3">
      <c r="A18" s="344"/>
      <c r="B18" s="347"/>
      <c r="C18" s="347"/>
      <c r="D18" s="347"/>
      <c r="E18" s="347"/>
      <c r="F18" s="347"/>
      <c r="G18" s="347"/>
    </row>
    <row r="19" spans="1:7" ht="24.6" customHeight="1" thickBot="1" x14ac:dyDescent="0.3">
      <c r="A19" s="330" t="s">
        <v>19</v>
      </c>
      <c r="B19" s="348" t="s">
        <v>613</v>
      </c>
      <c r="C19" s="349" t="s">
        <v>530</v>
      </c>
      <c r="D19" s="350" t="s">
        <v>586</v>
      </c>
      <c r="E19" s="350" t="s">
        <v>592</v>
      </c>
      <c r="F19" s="350" t="s">
        <v>600</v>
      </c>
      <c r="G19" s="350" t="s">
        <v>780</v>
      </c>
    </row>
    <row r="20" spans="1:7" ht="31.5" customHeight="1" x14ac:dyDescent="0.25">
      <c r="A20" s="334" t="s">
        <v>20</v>
      </c>
      <c r="B20" s="351" t="s">
        <v>614</v>
      </c>
      <c r="C20" s="352">
        <v>0</v>
      </c>
      <c r="D20" s="353">
        <v>0</v>
      </c>
      <c r="E20" s="353">
        <v>0</v>
      </c>
      <c r="F20" s="353">
        <v>0</v>
      </c>
      <c r="G20" s="354">
        <v>0</v>
      </c>
    </row>
    <row r="21" spans="1:7" x14ac:dyDescent="0.25">
      <c r="A21" s="355" t="s">
        <v>21</v>
      </c>
      <c r="B21" s="351" t="s">
        <v>615</v>
      </c>
      <c r="C21" s="352">
        <v>0</v>
      </c>
      <c r="D21" s="353">
        <v>0</v>
      </c>
      <c r="E21" s="353">
        <v>0</v>
      </c>
      <c r="F21" s="353">
        <v>0</v>
      </c>
      <c r="G21" s="354">
        <v>0</v>
      </c>
    </row>
    <row r="22" spans="1:7" x14ac:dyDescent="0.25">
      <c r="A22" s="334" t="s">
        <v>32</v>
      </c>
      <c r="B22" s="351" t="s">
        <v>616</v>
      </c>
      <c r="C22" s="352">
        <v>0</v>
      </c>
      <c r="D22" s="353">
        <v>0</v>
      </c>
      <c r="E22" s="353">
        <v>0</v>
      </c>
      <c r="F22" s="353">
        <v>0</v>
      </c>
      <c r="G22" s="354">
        <v>0</v>
      </c>
    </row>
    <row r="23" spans="1:7" x14ac:dyDescent="0.25">
      <c r="A23" s="355" t="s">
        <v>22</v>
      </c>
      <c r="B23" s="351" t="s">
        <v>617</v>
      </c>
      <c r="C23" s="352">
        <v>0</v>
      </c>
      <c r="D23" s="353">
        <v>0</v>
      </c>
      <c r="E23" s="353">
        <v>0</v>
      </c>
      <c r="F23" s="353">
        <v>0</v>
      </c>
      <c r="G23" s="354">
        <v>0</v>
      </c>
    </row>
    <row r="24" spans="1:7" ht="26.4" x14ac:dyDescent="0.25">
      <c r="A24" s="334" t="s">
        <v>24</v>
      </c>
      <c r="B24" s="356" t="s">
        <v>618</v>
      </c>
      <c r="C24" s="352">
        <v>0</v>
      </c>
      <c r="D24" s="353">
        <v>0</v>
      </c>
      <c r="E24" s="353">
        <v>0</v>
      </c>
      <c r="F24" s="353">
        <v>0</v>
      </c>
      <c r="G24" s="354">
        <v>0</v>
      </c>
    </row>
    <row r="25" spans="1:7" ht="39.6" x14ac:dyDescent="0.25">
      <c r="A25" s="355" t="s">
        <v>40</v>
      </c>
      <c r="B25" s="351" t="s">
        <v>619</v>
      </c>
      <c r="C25" s="352">
        <v>0</v>
      </c>
      <c r="D25" s="353">
        <v>0</v>
      </c>
      <c r="E25" s="353">
        <v>0</v>
      </c>
      <c r="F25" s="353">
        <v>0</v>
      </c>
      <c r="G25" s="354">
        <v>0</v>
      </c>
    </row>
    <row r="26" spans="1:7" ht="53.4" thickBot="1" x14ac:dyDescent="0.3">
      <c r="A26" s="334" t="s">
        <v>41</v>
      </c>
      <c r="B26" s="357" t="s">
        <v>620</v>
      </c>
      <c r="C26" s="358">
        <v>0</v>
      </c>
      <c r="D26" s="353">
        <v>0</v>
      </c>
      <c r="E26" s="353">
        <v>0</v>
      </c>
      <c r="F26" s="353">
        <v>0</v>
      </c>
      <c r="G26" s="354">
        <v>0</v>
      </c>
    </row>
    <row r="27" spans="1:7" ht="13.8" thickBot="1" x14ac:dyDescent="0.3">
      <c r="A27" s="359" t="s">
        <v>42</v>
      </c>
      <c r="B27" s="331" t="s">
        <v>98</v>
      </c>
      <c r="C27" s="360">
        <f>SUM(C20:C26)</f>
        <v>0</v>
      </c>
      <c r="D27" s="361">
        <f>SUM(D20:D26)</f>
        <v>0</v>
      </c>
      <c r="E27" s="361">
        <f>SUM(E20:E26)</f>
        <v>0</v>
      </c>
      <c r="F27" s="361">
        <f>SUM(F20:F26)</f>
        <v>0</v>
      </c>
      <c r="G27" s="362">
        <f>SUM(G20:G26)</f>
        <v>0</v>
      </c>
    </row>
    <row r="28" spans="1:7" x14ac:dyDescent="0.25">
      <c r="C28" s="540"/>
      <c r="D28" s="540"/>
      <c r="E28" s="540"/>
      <c r="F28" s="540"/>
    </row>
    <row r="29" spans="1:7" x14ac:dyDescent="0.25">
      <c r="C29" s="540"/>
      <c r="D29" s="540"/>
      <c r="E29" s="540"/>
      <c r="F29" s="540"/>
    </row>
    <row r="30" spans="1:7" x14ac:dyDescent="0.25">
      <c r="A30" s="368" t="s">
        <v>623</v>
      </c>
      <c r="B30" s="13"/>
      <c r="C30" s="13"/>
      <c r="D30" s="13"/>
      <c r="E30" s="13"/>
    </row>
    <row r="31" spans="1:7" x14ac:dyDescent="0.25">
      <c r="A31" s="77" t="s">
        <v>624</v>
      </c>
      <c r="B31" s="13"/>
      <c r="C31" s="13"/>
      <c r="D31" s="13"/>
      <c r="E31" s="13"/>
    </row>
    <row r="32" spans="1:7" ht="13.8" thickBot="1" x14ac:dyDescent="0.3">
      <c r="A32" s="77"/>
      <c r="B32" s="13"/>
      <c r="C32" s="13"/>
      <c r="D32" s="13"/>
      <c r="E32" s="13"/>
    </row>
    <row r="33" spans="1:5" ht="13.8" thickBot="1" x14ac:dyDescent="0.3">
      <c r="A33" s="724" t="s">
        <v>621</v>
      </c>
      <c r="B33" s="725"/>
      <c r="C33" s="724" t="s">
        <v>622</v>
      </c>
      <c r="D33" s="732"/>
      <c r="E33" s="725"/>
    </row>
    <row r="34" spans="1:5" x14ac:dyDescent="0.25">
      <c r="A34" s="726"/>
      <c r="B34" s="727"/>
      <c r="C34" s="371"/>
      <c r="D34" s="371"/>
      <c r="E34" s="42"/>
    </row>
    <row r="35" spans="1:5" x14ac:dyDescent="0.25">
      <c r="A35" s="728"/>
      <c r="B35" s="729"/>
      <c r="C35" s="372"/>
      <c r="D35" s="372"/>
      <c r="E35" s="373"/>
    </row>
    <row r="36" spans="1:5" x14ac:dyDescent="0.25">
      <c r="A36" s="728"/>
      <c r="B36" s="729"/>
      <c r="C36" s="372"/>
      <c r="D36" s="372"/>
      <c r="E36" s="373"/>
    </row>
    <row r="37" spans="1:5" x14ac:dyDescent="0.25">
      <c r="A37" s="728"/>
      <c r="B37" s="729"/>
      <c r="C37" s="372"/>
      <c r="D37" s="372"/>
      <c r="E37" s="373"/>
    </row>
    <row r="38" spans="1:5" x14ac:dyDescent="0.25">
      <c r="A38" s="728"/>
      <c r="B38" s="729"/>
      <c r="C38" s="372"/>
      <c r="D38" s="372"/>
      <c r="E38" s="373"/>
    </row>
    <row r="39" spans="1:5" ht="13.8" thickBot="1" x14ac:dyDescent="0.3">
      <c r="A39" s="730"/>
      <c r="B39" s="731"/>
      <c r="C39" s="374"/>
      <c r="D39" s="374"/>
      <c r="E39" s="375"/>
    </row>
    <row r="40" spans="1:5" ht="13.8" thickBot="1" x14ac:dyDescent="0.3">
      <c r="A40" s="724" t="s">
        <v>98</v>
      </c>
      <c r="B40" s="725"/>
      <c r="C40" s="369"/>
      <c r="D40" s="369"/>
      <c r="E40" s="370"/>
    </row>
  </sheetData>
  <mergeCells count="13">
    <mergeCell ref="A3:F3"/>
    <mergeCell ref="B4:F4"/>
    <mergeCell ref="C5:D5"/>
    <mergeCell ref="B6:F6"/>
    <mergeCell ref="A33:B33"/>
    <mergeCell ref="C33:E33"/>
    <mergeCell ref="A40:B40"/>
    <mergeCell ref="A34:B34"/>
    <mergeCell ref="A35:B35"/>
    <mergeCell ref="A36:B36"/>
    <mergeCell ref="A37:B37"/>
    <mergeCell ref="A38:B38"/>
    <mergeCell ref="A39:B3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BreakPreview" zoomScaleNormal="100" workbookViewId="0">
      <selection activeCell="B4" sqref="B4:H4"/>
    </sheetView>
  </sheetViews>
  <sheetFormatPr defaultColWidth="9.109375" defaultRowHeight="13.2" x14ac:dyDescent="0.25"/>
  <cols>
    <col min="1" max="1" width="5" style="41" customWidth="1"/>
    <col min="2" max="2" width="58.33203125" style="41" bestFit="1" customWidth="1"/>
    <col min="3" max="4" width="15.6640625" style="41" customWidth="1"/>
    <col min="5" max="6" width="16.44140625" style="41" customWidth="1"/>
    <col min="7" max="8" width="14.33203125" style="41" customWidth="1"/>
    <col min="9" max="9" width="9.109375" style="41"/>
    <col min="10" max="10" width="9.5546875" style="41" bestFit="1" customWidth="1"/>
    <col min="11" max="16384" width="9.109375" style="41"/>
  </cols>
  <sheetData>
    <row r="1" spans="1:14" s="11" customFormat="1" x14ac:dyDescent="0.25">
      <c r="B1" s="580" t="s">
        <v>565</v>
      </c>
      <c r="C1" s="580"/>
      <c r="D1" s="580"/>
      <c r="E1" s="580"/>
      <c r="F1" s="580"/>
      <c r="G1" s="580"/>
      <c r="H1" s="580"/>
    </row>
    <row r="2" spans="1:14" s="11" customFormat="1" x14ac:dyDescent="0.25">
      <c r="B2" s="14"/>
      <c r="C2" s="14"/>
      <c r="D2" s="14"/>
      <c r="E2" s="14"/>
      <c r="F2" s="14"/>
      <c r="G2" s="14"/>
      <c r="H2" s="14"/>
    </row>
    <row r="3" spans="1:14" s="11" customFormat="1" ht="41.25" customHeight="1" x14ac:dyDescent="0.25">
      <c r="A3" s="10"/>
      <c r="B3" s="734" t="s">
        <v>795</v>
      </c>
      <c r="C3" s="734"/>
      <c r="D3" s="734"/>
      <c r="E3" s="734"/>
      <c r="F3" s="734"/>
      <c r="G3" s="734"/>
      <c r="H3" s="734"/>
    </row>
    <row r="4" spans="1:14" x14ac:dyDescent="0.25">
      <c r="B4" s="735" t="s">
        <v>99</v>
      </c>
      <c r="C4" s="735"/>
      <c r="D4" s="735"/>
      <c r="E4" s="735"/>
      <c r="F4" s="735"/>
      <c r="G4" s="735"/>
      <c r="H4" s="735"/>
      <c r="I4" s="23"/>
      <c r="J4" s="23"/>
      <c r="K4" s="23"/>
      <c r="L4" s="23"/>
      <c r="M4" s="23"/>
      <c r="N4" s="23"/>
    </row>
    <row r="5" spans="1:14" x14ac:dyDescent="0.25">
      <c r="B5" s="290"/>
      <c r="C5" s="290"/>
      <c r="D5" s="290"/>
      <c r="E5" s="290"/>
      <c r="F5" s="290"/>
      <c r="G5" s="290"/>
      <c r="H5" s="290"/>
      <c r="I5" s="23"/>
      <c r="J5" s="23"/>
      <c r="K5" s="23"/>
      <c r="L5" s="23"/>
      <c r="M5" s="23"/>
      <c r="N5" s="23"/>
    </row>
    <row r="6" spans="1:14" s="294" customFormat="1" ht="12" customHeight="1" x14ac:dyDescent="0.3">
      <c r="A6" s="209"/>
      <c r="B6" s="291"/>
      <c r="C6" s="291"/>
      <c r="D6" s="291"/>
      <c r="E6" s="292"/>
      <c r="F6" s="292"/>
      <c r="G6" s="293"/>
      <c r="H6" s="293"/>
    </row>
    <row r="7" spans="1:14" s="294" customFormat="1" ht="39.75" customHeight="1" x14ac:dyDescent="0.3">
      <c r="A7" s="733" t="s">
        <v>570</v>
      </c>
      <c r="B7" s="733"/>
      <c r="C7" s="733"/>
      <c r="D7" s="733"/>
      <c r="E7" s="733"/>
      <c r="F7" s="733"/>
      <c r="G7" s="733"/>
      <c r="H7" s="733"/>
    </row>
    <row r="8" spans="1:14" s="294" customFormat="1" ht="16.5" customHeight="1" x14ac:dyDescent="0.3">
      <c r="A8" s="295"/>
      <c r="B8" s="295"/>
      <c r="C8" s="384"/>
      <c r="D8" s="384"/>
      <c r="E8" s="384"/>
      <c r="F8" s="384"/>
      <c r="H8" s="410" t="s">
        <v>569</v>
      </c>
    </row>
    <row r="9" spans="1:14" s="294" customFormat="1" ht="17.25" customHeight="1" x14ac:dyDescent="0.3">
      <c r="A9" s="737"/>
      <c r="B9" s="738" t="s">
        <v>552</v>
      </c>
      <c r="C9" s="738" t="s">
        <v>555</v>
      </c>
      <c r="D9" s="738"/>
      <c r="E9" s="738"/>
      <c r="F9" s="738"/>
      <c r="G9" s="738"/>
      <c r="H9" s="738"/>
    </row>
    <row r="10" spans="1:14" s="294" customFormat="1" ht="25.5" customHeight="1" x14ac:dyDescent="0.3">
      <c r="A10" s="737"/>
      <c r="B10" s="738"/>
      <c r="C10" s="629" t="s">
        <v>553</v>
      </c>
      <c r="D10" s="736"/>
      <c r="E10" s="629" t="s">
        <v>554</v>
      </c>
      <c r="F10" s="736"/>
      <c r="G10" s="629" t="s">
        <v>500</v>
      </c>
      <c r="H10" s="736"/>
    </row>
    <row r="11" spans="1:14" s="294" customFormat="1" ht="24" x14ac:dyDescent="0.3">
      <c r="A11" s="108"/>
      <c r="B11" s="383"/>
      <c r="C11" s="389" t="s">
        <v>625</v>
      </c>
      <c r="D11" s="389" t="s">
        <v>626</v>
      </c>
      <c r="E11" s="389" t="s">
        <v>625</v>
      </c>
      <c r="F11" s="389" t="s">
        <v>626</v>
      </c>
      <c r="G11" s="389" t="s">
        <v>625</v>
      </c>
      <c r="H11" s="389" t="s">
        <v>626</v>
      </c>
    </row>
    <row r="12" spans="1:14" s="294" customFormat="1" ht="20.100000000000001" customHeight="1" x14ac:dyDescent="0.3">
      <c r="A12" s="108" t="s">
        <v>0</v>
      </c>
      <c r="B12" s="299" t="s">
        <v>556</v>
      </c>
      <c r="C12" s="250"/>
      <c r="D12" s="250"/>
      <c r="E12" s="250"/>
      <c r="F12" s="250"/>
      <c r="G12" s="300"/>
      <c r="H12" s="300"/>
    </row>
    <row r="13" spans="1:14" s="294" customFormat="1" ht="20.100000000000001" customHeight="1" x14ac:dyDescent="0.3">
      <c r="A13" s="108" t="s">
        <v>6</v>
      </c>
      <c r="B13" s="296" t="s">
        <v>571</v>
      </c>
      <c r="C13" s="250">
        <v>0</v>
      </c>
      <c r="D13" s="250">
        <v>0</v>
      </c>
      <c r="E13" s="250">
        <v>400000</v>
      </c>
      <c r="F13" s="250">
        <v>400000</v>
      </c>
      <c r="G13" s="300">
        <f t="shared" ref="G13:H16" si="0">C13+E13</f>
        <v>400000</v>
      </c>
      <c r="H13" s="300">
        <f t="shared" si="0"/>
        <v>400000</v>
      </c>
    </row>
    <row r="14" spans="1:14" s="293" customFormat="1" ht="20.100000000000001" customHeight="1" x14ac:dyDescent="0.3">
      <c r="A14" s="108" t="s">
        <v>14</v>
      </c>
      <c r="B14" s="296" t="s">
        <v>557</v>
      </c>
      <c r="C14" s="250">
        <v>0</v>
      </c>
      <c r="D14" s="250">
        <v>0</v>
      </c>
      <c r="E14" s="250">
        <v>150000</v>
      </c>
      <c r="F14" s="250">
        <v>150000</v>
      </c>
      <c r="G14" s="300">
        <f t="shared" si="0"/>
        <v>150000</v>
      </c>
      <c r="H14" s="300">
        <f t="shared" si="0"/>
        <v>150000</v>
      </c>
    </row>
    <row r="15" spans="1:14" s="294" customFormat="1" ht="19.5" customHeight="1" x14ac:dyDescent="0.3">
      <c r="A15" s="108" t="s">
        <v>17</v>
      </c>
      <c r="B15" s="296" t="s">
        <v>558</v>
      </c>
      <c r="C15" s="250">
        <v>0</v>
      </c>
      <c r="D15" s="250">
        <v>0</v>
      </c>
      <c r="E15" s="250">
        <v>0</v>
      </c>
      <c r="F15" s="250">
        <v>0</v>
      </c>
      <c r="G15" s="300">
        <f t="shared" si="0"/>
        <v>0</v>
      </c>
      <c r="H15" s="300">
        <f t="shared" si="0"/>
        <v>0</v>
      </c>
    </row>
    <row r="16" spans="1:14" s="294" customFormat="1" ht="20.100000000000001" customHeight="1" thickBot="1" x14ac:dyDescent="0.35">
      <c r="A16" s="108" t="s">
        <v>34</v>
      </c>
      <c r="B16" s="301" t="s">
        <v>516</v>
      </c>
      <c r="C16" s="302">
        <v>0</v>
      </c>
      <c r="D16" s="302">
        <v>0</v>
      </c>
      <c r="E16" s="302">
        <v>0</v>
      </c>
      <c r="F16" s="302"/>
      <c r="G16" s="431">
        <f t="shared" si="0"/>
        <v>0</v>
      </c>
      <c r="H16" s="431">
        <f t="shared" si="0"/>
        <v>0</v>
      </c>
    </row>
    <row r="17" spans="1:10" s="294" customFormat="1" ht="19.5" customHeight="1" x14ac:dyDescent="0.3">
      <c r="A17" s="108" t="s">
        <v>36</v>
      </c>
      <c r="B17" s="303" t="s">
        <v>559</v>
      </c>
      <c r="C17" s="304">
        <f>SUM(C13:C15)</f>
        <v>0</v>
      </c>
      <c r="D17" s="304">
        <f>SUM(D13:D15)</f>
        <v>0</v>
      </c>
      <c r="E17" s="304">
        <f>SUM(E13:E16)</f>
        <v>550000</v>
      </c>
      <c r="F17" s="304">
        <f>SUM(F13:F16)</f>
        <v>550000</v>
      </c>
      <c r="G17" s="304">
        <f>SUM(G13:G16)</f>
        <v>550000</v>
      </c>
      <c r="H17" s="304">
        <f>SUM(H13:H16)</f>
        <v>550000</v>
      </c>
    </row>
    <row r="18" spans="1:10" s="294" customFormat="1" ht="19.5" customHeight="1" x14ac:dyDescent="0.3">
      <c r="A18" s="108"/>
      <c r="B18" s="303"/>
      <c r="C18" s="304"/>
      <c r="D18" s="304"/>
      <c r="E18" s="304"/>
      <c r="F18" s="304"/>
      <c r="G18" s="304"/>
      <c r="H18" s="311"/>
    </row>
    <row r="19" spans="1:10" s="294" customFormat="1" ht="19.5" customHeight="1" x14ac:dyDescent="0.3">
      <c r="A19" s="108" t="s">
        <v>31</v>
      </c>
      <c r="B19" s="299" t="s">
        <v>560</v>
      </c>
      <c r="C19" s="250"/>
      <c r="D19" s="250"/>
      <c r="E19" s="250"/>
      <c r="F19" s="250"/>
      <c r="G19" s="300"/>
      <c r="H19" s="300"/>
    </row>
    <row r="20" spans="1:10" s="294" customFormat="1" ht="19.5" customHeight="1" x14ac:dyDescent="0.3">
      <c r="A20" s="108" t="s">
        <v>18</v>
      </c>
      <c r="B20" s="296" t="s">
        <v>561</v>
      </c>
      <c r="C20" s="250">
        <v>0</v>
      </c>
      <c r="D20" s="250">
        <v>0</v>
      </c>
      <c r="E20" s="250">
        <v>0</v>
      </c>
      <c r="F20" s="250">
        <v>0</v>
      </c>
      <c r="G20" s="300">
        <f>C20+E20</f>
        <v>0</v>
      </c>
      <c r="H20" s="300">
        <f>D20+F20</f>
        <v>0</v>
      </c>
    </row>
    <row r="21" spans="1:10" s="294" customFormat="1" ht="20.100000000000001" customHeight="1" thickBot="1" x14ac:dyDescent="0.35">
      <c r="A21" s="108" t="s">
        <v>19</v>
      </c>
      <c r="B21" s="301" t="s">
        <v>562</v>
      </c>
      <c r="C21" s="302">
        <v>0</v>
      </c>
      <c r="D21" s="302">
        <v>0</v>
      </c>
      <c r="E21" s="302">
        <v>0</v>
      </c>
      <c r="F21" s="302">
        <v>0</v>
      </c>
      <c r="G21" s="431">
        <f>C21+E21</f>
        <v>0</v>
      </c>
      <c r="H21" s="431">
        <f>D21+F21</f>
        <v>0</v>
      </c>
    </row>
    <row r="22" spans="1:10" s="294" customFormat="1" ht="20.100000000000001" customHeight="1" x14ac:dyDescent="0.3">
      <c r="A22" s="108" t="s">
        <v>20</v>
      </c>
      <c r="B22" s="304" t="s">
        <v>563</v>
      </c>
      <c r="C22" s="304">
        <f t="shared" ref="C22:H22" si="1">SUM(C20:C21)</f>
        <v>0</v>
      </c>
      <c r="D22" s="304">
        <f t="shared" si="1"/>
        <v>0</v>
      </c>
      <c r="E22" s="304">
        <f t="shared" si="1"/>
        <v>0</v>
      </c>
      <c r="F22" s="304">
        <f t="shared" si="1"/>
        <v>0</v>
      </c>
      <c r="G22" s="305">
        <f t="shared" si="1"/>
        <v>0</v>
      </c>
      <c r="H22" s="305">
        <f t="shared" si="1"/>
        <v>0</v>
      </c>
    </row>
    <row r="23" spans="1:10" s="294" customFormat="1" ht="20.100000000000001" customHeight="1" x14ac:dyDescent="0.3">
      <c r="A23" s="108"/>
      <c r="B23" s="304"/>
      <c r="C23" s="304"/>
      <c r="D23" s="304"/>
      <c r="E23" s="304"/>
      <c r="F23" s="304"/>
      <c r="G23" s="305"/>
      <c r="H23" s="411"/>
    </row>
    <row r="24" spans="1:10" s="294" customFormat="1" ht="33.75" customHeight="1" x14ac:dyDescent="0.3">
      <c r="A24" s="108" t="s">
        <v>21</v>
      </c>
      <c r="B24" s="306" t="s">
        <v>564</v>
      </c>
      <c r="C24" s="307">
        <f t="shared" ref="C24:H24" si="2">C17+C22</f>
        <v>0</v>
      </c>
      <c r="D24" s="307">
        <f t="shared" si="2"/>
        <v>0</v>
      </c>
      <c r="E24" s="307">
        <f t="shared" si="2"/>
        <v>550000</v>
      </c>
      <c r="F24" s="307">
        <f t="shared" si="2"/>
        <v>550000</v>
      </c>
      <c r="G24" s="307">
        <f t="shared" si="2"/>
        <v>550000</v>
      </c>
      <c r="H24" s="307">
        <f t="shared" si="2"/>
        <v>550000</v>
      </c>
      <c r="J24" s="297"/>
    </row>
    <row r="28" spans="1:10" x14ac:dyDescent="0.25">
      <c r="E28" s="298"/>
      <c r="F28" s="298"/>
    </row>
  </sheetData>
  <mergeCells count="10">
    <mergeCell ref="B1:H1"/>
    <mergeCell ref="A7:H7"/>
    <mergeCell ref="B3:H3"/>
    <mergeCell ref="B4:H4"/>
    <mergeCell ref="G10:H10"/>
    <mergeCell ref="A9:A10"/>
    <mergeCell ref="B9:B10"/>
    <mergeCell ref="C9:H9"/>
    <mergeCell ref="C10:D10"/>
    <mergeCell ref="E10:F10"/>
  </mergeCells>
  <phoneticPr fontId="5" type="noConversion"/>
  <printOptions horizontalCentered="1"/>
  <pageMargins left="0.74803149606299213" right="0.74803149606299213" top="0.19685039370078741" bottom="0.19685039370078741" header="0.51181102362204722" footer="0.51181102362204722"/>
  <pageSetup paperSize="9" scale="7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zoomScaleNormal="100" zoomScaleSheetLayoutView="100" workbookViewId="0">
      <selection activeCell="B11" sqref="B11"/>
    </sheetView>
  </sheetViews>
  <sheetFormatPr defaultRowHeight="13.2" x14ac:dyDescent="0.25"/>
  <cols>
    <col min="1" max="1" width="5" style="483" customWidth="1"/>
    <col min="2" max="2" width="86.6640625" style="483" customWidth="1"/>
    <col min="3" max="3" width="15.6640625" style="483" customWidth="1"/>
    <col min="4" max="4" width="16.44140625" style="491" customWidth="1"/>
    <col min="5" max="5" width="14.33203125" style="491" customWidth="1"/>
    <col min="6" max="16384" width="8.88671875" style="477"/>
  </cols>
  <sheetData>
    <row r="1" spans="1:5" x14ac:dyDescent="0.25">
      <c r="A1" s="739" t="s">
        <v>758</v>
      </c>
      <c r="B1" s="739"/>
      <c r="C1" s="739"/>
      <c r="D1" s="476"/>
      <c r="E1" s="476"/>
    </row>
    <row r="2" spans="1:5" x14ac:dyDescent="0.25">
      <c r="A2" s="478"/>
      <c r="B2" s="475"/>
      <c r="C2" s="475"/>
      <c r="D2" s="479"/>
      <c r="E2" s="479"/>
    </row>
    <row r="3" spans="1:5" ht="39" customHeight="1" x14ac:dyDescent="0.25">
      <c r="A3" s="740" t="s">
        <v>765</v>
      </c>
      <c r="B3" s="740"/>
      <c r="C3" s="740"/>
      <c r="D3" s="480"/>
      <c r="E3" s="480"/>
    </row>
    <row r="4" spans="1:5" ht="17.399999999999999" customHeight="1" x14ac:dyDescent="0.25">
      <c r="A4" s="741" t="s">
        <v>99</v>
      </c>
      <c r="B4" s="741"/>
      <c r="C4" s="741"/>
      <c r="D4" s="482"/>
      <c r="E4" s="482"/>
    </row>
    <row r="5" spans="1:5" x14ac:dyDescent="0.25">
      <c r="B5" s="481"/>
      <c r="C5" s="481"/>
      <c r="D5" s="484"/>
      <c r="E5" s="484"/>
    </row>
    <row r="6" spans="1:5" ht="15.6" x14ac:dyDescent="0.3">
      <c r="A6" s="478"/>
      <c r="B6" s="485"/>
      <c r="C6" s="485"/>
      <c r="D6" s="486"/>
      <c r="E6" s="487"/>
    </row>
    <row r="7" spans="1:5" ht="15.6" x14ac:dyDescent="0.25">
      <c r="A7" s="488"/>
      <c r="B7" s="488"/>
      <c r="C7" s="489" t="s">
        <v>569</v>
      </c>
      <c r="D7" s="490"/>
    </row>
    <row r="8" spans="1:5" ht="37.950000000000003" customHeight="1" x14ac:dyDescent="0.25">
      <c r="A8" s="492"/>
      <c r="B8" s="493" t="s">
        <v>552</v>
      </c>
      <c r="C8" s="494" t="s">
        <v>759</v>
      </c>
      <c r="D8" s="477"/>
      <c r="E8" s="477"/>
    </row>
    <row r="9" spans="1:5" x14ac:dyDescent="0.25">
      <c r="A9" s="492" t="s">
        <v>0</v>
      </c>
      <c r="B9" s="495" t="s">
        <v>760</v>
      </c>
      <c r="C9" s="496"/>
      <c r="D9" s="477"/>
      <c r="E9" s="477"/>
    </row>
    <row r="10" spans="1:5" x14ac:dyDescent="0.25">
      <c r="A10" s="492" t="s">
        <v>6</v>
      </c>
      <c r="B10" s="497" t="s">
        <v>768</v>
      </c>
      <c r="C10" s="496">
        <v>32593969</v>
      </c>
      <c r="D10" s="477"/>
      <c r="E10" s="477"/>
    </row>
    <row r="11" spans="1:5" x14ac:dyDescent="0.25">
      <c r="A11" s="492" t="s">
        <v>14</v>
      </c>
      <c r="B11" s="497" t="s">
        <v>767</v>
      </c>
      <c r="C11" s="496">
        <v>952775</v>
      </c>
      <c r="D11" s="477"/>
      <c r="E11" s="477"/>
    </row>
    <row r="12" spans="1:5" x14ac:dyDescent="0.25">
      <c r="A12" s="492" t="s">
        <v>17</v>
      </c>
      <c r="B12" s="497" t="s">
        <v>516</v>
      </c>
      <c r="C12" s="496">
        <v>0</v>
      </c>
      <c r="D12" s="477"/>
      <c r="E12" s="477"/>
    </row>
    <row r="13" spans="1:5" ht="13.8" thickBot="1" x14ac:dyDescent="0.3">
      <c r="A13" s="492" t="s">
        <v>34</v>
      </c>
      <c r="B13" s="498" t="s">
        <v>516</v>
      </c>
      <c r="C13" s="499">
        <v>0</v>
      </c>
      <c r="D13" s="477"/>
      <c r="E13" s="477"/>
    </row>
    <row r="14" spans="1:5" ht="16.95" customHeight="1" x14ac:dyDescent="0.25">
      <c r="A14" s="492" t="s">
        <v>36</v>
      </c>
      <c r="B14" s="500" t="s">
        <v>761</v>
      </c>
      <c r="C14" s="501">
        <f>SUM(C10:C13)</f>
        <v>33546744</v>
      </c>
      <c r="D14" s="477"/>
      <c r="E14" s="477"/>
    </row>
    <row r="15" spans="1:5" x14ac:dyDescent="0.25">
      <c r="A15" s="492"/>
      <c r="B15" s="500"/>
      <c r="C15" s="501"/>
      <c r="D15" s="477"/>
      <c r="E15" s="477"/>
    </row>
    <row r="16" spans="1:5" x14ac:dyDescent="0.25">
      <c r="A16" s="492" t="s">
        <v>31</v>
      </c>
      <c r="B16" s="495" t="s">
        <v>762</v>
      </c>
      <c r="C16" s="496"/>
      <c r="D16" s="477"/>
      <c r="E16" s="477"/>
    </row>
    <row r="17" spans="1:5" x14ac:dyDescent="0.25">
      <c r="A17" s="492" t="s">
        <v>18</v>
      </c>
      <c r="B17" s="497" t="s">
        <v>516</v>
      </c>
      <c r="C17" s="496">
        <v>0</v>
      </c>
      <c r="D17" s="477"/>
      <c r="E17" s="477"/>
    </row>
    <row r="18" spans="1:5" ht="13.8" thickBot="1" x14ac:dyDescent="0.3">
      <c r="A18" s="492" t="s">
        <v>19</v>
      </c>
      <c r="B18" s="498" t="s">
        <v>516</v>
      </c>
      <c r="C18" s="499">
        <v>0</v>
      </c>
      <c r="D18" s="477"/>
      <c r="E18" s="477"/>
    </row>
    <row r="19" spans="1:5" ht="16.95" customHeight="1" x14ac:dyDescent="0.25">
      <c r="A19" s="492" t="s">
        <v>20</v>
      </c>
      <c r="B19" s="501" t="s">
        <v>763</v>
      </c>
      <c r="C19" s="501">
        <f>SUM(C17:C18)</f>
        <v>0</v>
      </c>
      <c r="D19" s="477"/>
      <c r="E19" s="477"/>
    </row>
    <row r="20" spans="1:5" x14ac:dyDescent="0.25">
      <c r="A20" s="492"/>
      <c r="B20" s="501"/>
      <c r="C20" s="501"/>
      <c r="D20" s="477"/>
      <c r="E20" s="477"/>
    </row>
    <row r="21" spans="1:5" ht="27.6" customHeight="1" x14ac:dyDescent="0.25">
      <c r="A21" s="492" t="s">
        <v>21</v>
      </c>
      <c r="B21" s="502" t="s">
        <v>764</v>
      </c>
      <c r="C21" s="503">
        <f>C14+C19</f>
        <v>33546744</v>
      </c>
      <c r="D21" s="477"/>
      <c r="E21" s="477"/>
    </row>
    <row r="25" spans="1:5" x14ac:dyDescent="0.25">
      <c r="D25" s="504"/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54"/>
  <sheetViews>
    <sheetView view="pageBreakPreview" zoomScaleNormal="100" zoomScaleSheetLayoutView="100" workbookViewId="0">
      <pane xSplit="3" ySplit="12" topLeftCell="R125" activePane="bottomRight" state="frozen"/>
      <selection pane="topRight" activeCell="D1" sqref="D1"/>
      <selection pane="bottomLeft" activeCell="A13" sqref="A13"/>
      <selection pane="bottomRight" activeCell="AM135" activeCellId="1" sqref="AM130 AM135"/>
    </sheetView>
  </sheetViews>
  <sheetFormatPr defaultColWidth="9.109375" defaultRowHeight="13.2" x14ac:dyDescent="0.25"/>
  <cols>
    <col min="1" max="1" width="7" style="126" customWidth="1"/>
    <col min="2" max="2" width="9.109375" style="126"/>
    <col min="3" max="3" width="59.33203125" style="127" customWidth="1"/>
    <col min="4" max="51" width="13.6640625" style="127" customWidth="1"/>
    <col min="52" max="16384" width="9.109375" style="127"/>
  </cols>
  <sheetData>
    <row r="1" spans="1:51" x14ac:dyDescent="0.25">
      <c r="A1" s="214" t="s">
        <v>545</v>
      </c>
      <c r="B1" s="214"/>
      <c r="C1" s="214"/>
    </row>
    <row r="2" spans="1:51" ht="18" x14ac:dyDescent="0.25">
      <c r="A2" s="125" t="s">
        <v>796</v>
      </c>
      <c r="B2" s="127"/>
    </row>
    <row r="3" spans="1:51" ht="18" x14ac:dyDescent="0.25">
      <c r="A3" s="125"/>
      <c r="B3" s="127"/>
    </row>
    <row r="5" spans="1:51" ht="15.6" x14ac:dyDescent="0.25">
      <c r="A5" s="129" t="s">
        <v>167</v>
      </c>
      <c r="B5" s="129"/>
      <c r="C5" s="129"/>
    </row>
    <row r="6" spans="1:51" s="152" customFormat="1" ht="13.8" x14ac:dyDescent="0.25">
      <c r="A6" s="130"/>
      <c r="B6" s="781"/>
      <c r="C6" s="781"/>
      <c r="D6" s="754" t="s">
        <v>481</v>
      </c>
      <c r="E6" s="755"/>
      <c r="F6" s="754" t="s">
        <v>169</v>
      </c>
      <c r="G6" s="755"/>
      <c r="H6" s="754" t="s">
        <v>170</v>
      </c>
      <c r="I6" s="755"/>
      <c r="J6" s="754" t="s">
        <v>171</v>
      </c>
      <c r="K6" s="755"/>
      <c r="L6" s="754" t="s">
        <v>605</v>
      </c>
      <c r="M6" s="755"/>
      <c r="N6" s="754" t="s">
        <v>172</v>
      </c>
      <c r="O6" s="755"/>
      <c r="P6" s="754" t="s">
        <v>664</v>
      </c>
      <c r="Q6" s="755"/>
      <c r="R6" s="754" t="s">
        <v>173</v>
      </c>
      <c r="S6" s="755"/>
      <c r="T6" s="754" t="s">
        <v>649</v>
      </c>
      <c r="U6" s="755"/>
      <c r="V6" s="754" t="s">
        <v>174</v>
      </c>
      <c r="W6" s="755"/>
      <c r="X6" s="754" t="s">
        <v>175</v>
      </c>
      <c r="Y6" s="755"/>
      <c r="Z6" s="754" t="s">
        <v>176</v>
      </c>
      <c r="AA6" s="755"/>
      <c r="AB6" s="754" t="s">
        <v>177</v>
      </c>
      <c r="AC6" s="755"/>
      <c r="AD6" s="754" t="s">
        <v>659</v>
      </c>
      <c r="AE6" s="755"/>
      <c r="AF6" s="754" t="s">
        <v>591</v>
      </c>
      <c r="AG6" s="755"/>
      <c r="AH6" s="754" t="s">
        <v>178</v>
      </c>
      <c r="AI6" s="755"/>
      <c r="AJ6" s="754" t="s">
        <v>727</v>
      </c>
      <c r="AK6" s="755"/>
      <c r="AL6" s="754" t="s">
        <v>179</v>
      </c>
      <c r="AM6" s="755"/>
      <c r="AN6" s="754" t="s">
        <v>168</v>
      </c>
      <c r="AO6" s="755"/>
      <c r="AP6" s="754" t="s">
        <v>652</v>
      </c>
      <c r="AQ6" s="755"/>
      <c r="AR6" s="754" t="s">
        <v>647</v>
      </c>
      <c r="AS6" s="755"/>
      <c r="AT6" s="754" t="s">
        <v>180</v>
      </c>
      <c r="AU6" s="755"/>
      <c r="AV6" s="754" t="s">
        <v>181</v>
      </c>
      <c r="AW6" s="755"/>
      <c r="AX6" s="418"/>
      <c r="AY6" s="419"/>
    </row>
    <row r="7" spans="1:51" s="152" customFormat="1" ht="13.8" x14ac:dyDescent="0.25">
      <c r="A7" s="130"/>
      <c r="B7" s="778" t="s">
        <v>183</v>
      </c>
      <c r="C7" s="779"/>
      <c r="D7" s="760" t="s">
        <v>482</v>
      </c>
      <c r="E7" s="761"/>
      <c r="F7" s="752" t="s">
        <v>186</v>
      </c>
      <c r="G7" s="753"/>
      <c r="H7" s="752" t="s">
        <v>187</v>
      </c>
      <c r="I7" s="753"/>
      <c r="J7" s="752" t="s">
        <v>188</v>
      </c>
      <c r="K7" s="753"/>
      <c r="L7" s="752" t="s">
        <v>189</v>
      </c>
      <c r="M7" s="753"/>
      <c r="N7" s="752" t="s">
        <v>190</v>
      </c>
      <c r="O7" s="753"/>
      <c r="P7" s="752" t="s">
        <v>665</v>
      </c>
      <c r="Q7" s="753"/>
      <c r="R7" s="752" t="s">
        <v>191</v>
      </c>
      <c r="S7" s="753"/>
      <c r="T7" s="752" t="s">
        <v>650</v>
      </c>
      <c r="U7" s="753"/>
      <c r="V7" s="752" t="s">
        <v>192</v>
      </c>
      <c r="W7" s="753"/>
      <c r="X7" s="752" t="s">
        <v>193</v>
      </c>
      <c r="Y7" s="753"/>
      <c r="Z7" s="752" t="s">
        <v>193</v>
      </c>
      <c r="AA7" s="753"/>
      <c r="AB7" s="752" t="s">
        <v>194</v>
      </c>
      <c r="AC7" s="753"/>
      <c r="AD7" s="752" t="s">
        <v>660</v>
      </c>
      <c r="AE7" s="753"/>
      <c r="AF7" s="752" t="s">
        <v>195</v>
      </c>
      <c r="AG7" s="753"/>
      <c r="AH7" s="752" t="s">
        <v>196</v>
      </c>
      <c r="AI7" s="753"/>
      <c r="AJ7" s="752" t="s">
        <v>728</v>
      </c>
      <c r="AK7" s="753"/>
      <c r="AL7" s="752" t="s">
        <v>197</v>
      </c>
      <c r="AM7" s="753"/>
      <c r="AN7" s="760" t="s">
        <v>582</v>
      </c>
      <c r="AO7" s="761"/>
      <c r="AP7" s="760" t="s">
        <v>655</v>
      </c>
      <c r="AQ7" s="761"/>
      <c r="AR7" s="752" t="s">
        <v>648</v>
      </c>
      <c r="AS7" s="753"/>
      <c r="AT7" s="752" t="s">
        <v>198</v>
      </c>
      <c r="AU7" s="753"/>
      <c r="AV7" s="760" t="s">
        <v>199</v>
      </c>
      <c r="AW7" s="761"/>
      <c r="AX7" s="414"/>
      <c r="AY7" s="415"/>
    </row>
    <row r="8" spans="1:51" s="152" customFormat="1" ht="13.8" x14ac:dyDescent="0.25">
      <c r="A8" s="130"/>
      <c r="B8" s="762"/>
      <c r="C8" s="763"/>
      <c r="D8" s="762" t="s">
        <v>483</v>
      </c>
      <c r="E8" s="763"/>
      <c r="F8" s="742" t="s">
        <v>203</v>
      </c>
      <c r="G8" s="743"/>
      <c r="H8" s="742" t="s">
        <v>204</v>
      </c>
      <c r="I8" s="743"/>
      <c r="J8" s="742" t="s">
        <v>205</v>
      </c>
      <c r="K8" s="743"/>
      <c r="L8" s="742" t="s">
        <v>206</v>
      </c>
      <c r="M8" s="743"/>
      <c r="N8" s="742" t="s">
        <v>207</v>
      </c>
      <c r="O8" s="743"/>
      <c r="P8" s="742" t="s">
        <v>666</v>
      </c>
      <c r="Q8" s="743"/>
      <c r="R8" s="742"/>
      <c r="S8" s="743"/>
      <c r="T8" s="742" t="s">
        <v>208</v>
      </c>
      <c r="U8" s="743"/>
      <c r="V8" s="742" t="s">
        <v>208</v>
      </c>
      <c r="W8" s="743"/>
      <c r="X8" s="742" t="s">
        <v>209</v>
      </c>
      <c r="Y8" s="743"/>
      <c r="Z8" s="742" t="s">
        <v>210</v>
      </c>
      <c r="AA8" s="743"/>
      <c r="AB8" s="742" t="s">
        <v>210</v>
      </c>
      <c r="AC8" s="743"/>
      <c r="AD8" s="742" t="s">
        <v>661</v>
      </c>
      <c r="AE8" s="743"/>
      <c r="AF8" s="742"/>
      <c r="AG8" s="743"/>
      <c r="AH8" s="742" t="s">
        <v>211</v>
      </c>
      <c r="AI8" s="743"/>
      <c r="AJ8" s="742" t="s">
        <v>729</v>
      </c>
      <c r="AK8" s="743"/>
      <c r="AL8" s="742" t="s">
        <v>212</v>
      </c>
      <c r="AM8" s="743"/>
      <c r="AN8" s="762" t="s">
        <v>221</v>
      </c>
      <c r="AO8" s="763"/>
      <c r="AP8" s="762" t="s">
        <v>656</v>
      </c>
      <c r="AQ8" s="763"/>
      <c r="AR8" s="742" t="s">
        <v>224</v>
      </c>
      <c r="AS8" s="743"/>
      <c r="AT8" s="742" t="s">
        <v>213</v>
      </c>
      <c r="AU8" s="743"/>
      <c r="AV8" s="762" t="s">
        <v>486</v>
      </c>
      <c r="AW8" s="763"/>
      <c r="AX8" s="416"/>
      <c r="AY8" s="417"/>
    </row>
    <row r="9" spans="1:51" ht="15" customHeight="1" x14ac:dyDescent="0.25">
      <c r="A9" s="766" t="s">
        <v>214</v>
      </c>
      <c r="B9" s="775" t="s">
        <v>215</v>
      </c>
      <c r="C9" s="131"/>
      <c r="D9" s="744"/>
      <c r="E9" s="745"/>
      <c r="F9" s="744"/>
      <c r="G9" s="745"/>
      <c r="H9" s="744"/>
      <c r="I9" s="745"/>
      <c r="J9" s="744">
        <v>680002</v>
      </c>
      <c r="K9" s="745"/>
      <c r="L9" s="744"/>
      <c r="M9" s="745"/>
      <c r="N9" s="744"/>
      <c r="O9" s="745"/>
      <c r="P9" s="773"/>
      <c r="Q9" s="774"/>
      <c r="R9" s="744"/>
      <c r="S9" s="745"/>
      <c r="T9" s="744"/>
      <c r="U9" s="745"/>
      <c r="V9" s="744"/>
      <c r="W9" s="745"/>
      <c r="X9" s="744"/>
      <c r="Y9" s="745"/>
      <c r="Z9" s="744"/>
      <c r="AA9" s="745"/>
      <c r="AB9" s="771"/>
      <c r="AC9" s="772"/>
      <c r="AD9" s="744"/>
      <c r="AE9" s="745"/>
      <c r="AF9" s="744">
        <v>910501</v>
      </c>
      <c r="AG9" s="745"/>
      <c r="AH9" s="744"/>
      <c r="AI9" s="745"/>
      <c r="AJ9" s="744"/>
      <c r="AK9" s="745"/>
      <c r="AL9" s="744"/>
      <c r="AM9" s="745"/>
      <c r="AN9" s="764"/>
      <c r="AO9" s="765"/>
      <c r="AP9" s="744"/>
      <c r="AQ9" s="745"/>
      <c r="AR9" s="744"/>
      <c r="AS9" s="745"/>
      <c r="AT9" s="744"/>
      <c r="AU9" s="745"/>
      <c r="AV9" s="744"/>
      <c r="AW9" s="745"/>
      <c r="AX9" s="758" t="s">
        <v>644</v>
      </c>
      <c r="AY9" s="759"/>
    </row>
    <row r="10" spans="1:51" s="146" customFormat="1" x14ac:dyDescent="0.25">
      <c r="A10" s="767"/>
      <c r="B10" s="776"/>
      <c r="C10" s="133" t="s">
        <v>1</v>
      </c>
      <c r="D10" s="746" t="s">
        <v>484</v>
      </c>
      <c r="E10" s="747"/>
      <c r="F10" s="746" t="s">
        <v>186</v>
      </c>
      <c r="G10" s="747"/>
      <c r="H10" s="746" t="s">
        <v>187</v>
      </c>
      <c r="I10" s="747"/>
      <c r="J10" s="746" t="s">
        <v>218</v>
      </c>
      <c r="K10" s="747"/>
      <c r="L10" s="746" t="s">
        <v>645</v>
      </c>
      <c r="M10" s="747"/>
      <c r="N10" s="746" t="s">
        <v>190</v>
      </c>
      <c r="O10" s="747"/>
      <c r="P10" s="746" t="s">
        <v>667</v>
      </c>
      <c r="Q10" s="747"/>
      <c r="R10" s="746" t="s">
        <v>191</v>
      </c>
      <c r="S10" s="747"/>
      <c r="T10" s="746" t="s">
        <v>650</v>
      </c>
      <c r="U10" s="747"/>
      <c r="V10" s="746" t="s">
        <v>219</v>
      </c>
      <c r="W10" s="747"/>
      <c r="X10" s="746" t="s">
        <v>193</v>
      </c>
      <c r="Y10" s="747"/>
      <c r="Z10" s="746" t="s">
        <v>193</v>
      </c>
      <c r="AA10" s="747"/>
      <c r="AB10" s="746" t="s">
        <v>194</v>
      </c>
      <c r="AC10" s="747"/>
      <c r="AD10" s="746" t="s">
        <v>662</v>
      </c>
      <c r="AE10" s="747"/>
      <c r="AF10" s="746" t="s">
        <v>646</v>
      </c>
      <c r="AG10" s="747"/>
      <c r="AH10" s="746" t="s">
        <v>196</v>
      </c>
      <c r="AI10" s="747"/>
      <c r="AJ10" s="746" t="s">
        <v>730</v>
      </c>
      <c r="AK10" s="747"/>
      <c r="AL10" s="746" t="s">
        <v>197</v>
      </c>
      <c r="AM10" s="747"/>
      <c r="AN10" s="746" t="s">
        <v>583</v>
      </c>
      <c r="AO10" s="747"/>
      <c r="AP10" s="746" t="s">
        <v>657</v>
      </c>
      <c r="AQ10" s="747"/>
      <c r="AR10" s="746" t="s">
        <v>648</v>
      </c>
      <c r="AS10" s="747"/>
      <c r="AT10" s="746" t="s">
        <v>198</v>
      </c>
      <c r="AU10" s="747"/>
      <c r="AV10" s="746" t="s">
        <v>199</v>
      </c>
      <c r="AW10" s="747"/>
      <c r="AX10" s="756" t="s">
        <v>67</v>
      </c>
      <c r="AY10" s="757"/>
    </row>
    <row r="11" spans="1:51" s="146" customFormat="1" x14ac:dyDescent="0.25">
      <c r="A11" s="767"/>
      <c r="B11" s="776"/>
      <c r="C11" s="134"/>
      <c r="D11" s="748"/>
      <c r="E11" s="749"/>
      <c r="F11" s="748" t="s">
        <v>203</v>
      </c>
      <c r="G11" s="749"/>
      <c r="H11" s="748"/>
      <c r="I11" s="749"/>
      <c r="J11" s="748" t="s">
        <v>222</v>
      </c>
      <c r="K11" s="749"/>
      <c r="L11" s="748" t="s">
        <v>223</v>
      </c>
      <c r="M11" s="749"/>
      <c r="N11" s="748" t="s">
        <v>207</v>
      </c>
      <c r="O11" s="749"/>
      <c r="P11" s="748" t="s">
        <v>756</v>
      </c>
      <c r="Q11" s="749"/>
      <c r="R11" s="748"/>
      <c r="S11" s="749"/>
      <c r="T11" s="748" t="s">
        <v>208</v>
      </c>
      <c r="U11" s="749"/>
      <c r="V11" s="748" t="s">
        <v>208</v>
      </c>
      <c r="W11" s="749"/>
      <c r="X11" s="748" t="s">
        <v>209</v>
      </c>
      <c r="Y11" s="749"/>
      <c r="Z11" s="748" t="s">
        <v>210</v>
      </c>
      <c r="AA11" s="749"/>
      <c r="AB11" s="748" t="s">
        <v>210</v>
      </c>
      <c r="AC11" s="749"/>
      <c r="AD11" s="748" t="s">
        <v>663</v>
      </c>
      <c r="AE11" s="749"/>
      <c r="AF11" s="748"/>
      <c r="AG11" s="749"/>
      <c r="AH11" s="748" t="s">
        <v>211</v>
      </c>
      <c r="AI11" s="749"/>
      <c r="AJ11" s="748" t="s">
        <v>211</v>
      </c>
      <c r="AK11" s="749"/>
      <c r="AL11" s="748" t="s">
        <v>212</v>
      </c>
      <c r="AM11" s="749"/>
      <c r="AN11" s="748" t="s">
        <v>225</v>
      </c>
      <c r="AO11" s="749"/>
      <c r="AP11" s="748" t="s">
        <v>658</v>
      </c>
      <c r="AQ11" s="749"/>
      <c r="AR11" s="748" t="s">
        <v>224</v>
      </c>
      <c r="AS11" s="749"/>
      <c r="AT11" s="748" t="s">
        <v>213</v>
      </c>
      <c r="AU11" s="749"/>
      <c r="AV11" s="748" t="s">
        <v>486</v>
      </c>
      <c r="AW11" s="749"/>
      <c r="AX11" s="748" t="s">
        <v>226</v>
      </c>
      <c r="AY11" s="749"/>
    </row>
    <row r="12" spans="1:51" s="146" customFormat="1" ht="24" customHeight="1" x14ac:dyDescent="0.25">
      <c r="A12" s="768"/>
      <c r="B12" s="777"/>
      <c r="C12" s="134"/>
      <c r="D12" s="389" t="s">
        <v>625</v>
      </c>
      <c r="E12" s="389" t="s">
        <v>626</v>
      </c>
      <c r="F12" s="389" t="s">
        <v>625</v>
      </c>
      <c r="G12" s="389" t="s">
        <v>626</v>
      </c>
      <c r="H12" s="389" t="s">
        <v>625</v>
      </c>
      <c r="I12" s="389" t="s">
        <v>626</v>
      </c>
      <c r="J12" s="389" t="s">
        <v>625</v>
      </c>
      <c r="K12" s="389" t="s">
        <v>626</v>
      </c>
      <c r="L12" s="389" t="s">
        <v>625</v>
      </c>
      <c r="M12" s="389" t="s">
        <v>626</v>
      </c>
      <c r="N12" s="389" t="s">
        <v>625</v>
      </c>
      <c r="O12" s="389" t="s">
        <v>626</v>
      </c>
      <c r="P12" s="389" t="s">
        <v>625</v>
      </c>
      <c r="Q12" s="389" t="s">
        <v>626</v>
      </c>
      <c r="R12" s="389" t="s">
        <v>625</v>
      </c>
      <c r="S12" s="389" t="s">
        <v>626</v>
      </c>
      <c r="T12" s="389" t="s">
        <v>625</v>
      </c>
      <c r="U12" s="389" t="s">
        <v>626</v>
      </c>
      <c r="V12" s="389" t="s">
        <v>625</v>
      </c>
      <c r="W12" s="389" t="s">
        <v>626</v>
      </c>
      <c r="X12" s="389" t="s">
        <v>625</v>
      </c>
      <c r="Y12" s="389" t="s">
        <v>626</v>
      </c>
      <c r="Z12" s="389" t="s">
        <v>625</v>
      </c>
      <c r="AA12" s="389" t="s">
        <v>626</v>
      </c>
      <c r="AB12" s="389" t="s">
        <v>625</v>
      </c>
      <c r="AC12" s="389" t="s">
        <v>626</v>
      </c>
      <c r="AD12" s="389" t="s">
        <v>625</v>
      </c>
      <c r="AE12" s="389" t="s">
        <v>626</v>
      </c>
      <c r="AF12" s="389" t="s">
        <v>625</v>
      </c>
      <c r="AG12" s="389" t="s">
        <v>626</v>
      </c>
      <c r="AH12" s="389" t="s">
        <v>625</v>
      </c>
      <c r="AI12" s="389" t="s">
        <v>626</v>
      </c>
      <c r="AJ12" s="389" t="s">
        <v>625</v>
      </c>
      <c r="AK12" s="389" t="s">
        <v>626</v>
      </c>
      <c r="AL12" s="389" t="s">
        <v>625</v>
      </c>
      <c r="AM12" s="389" t="s">
        <v>626</v>
      </c>
      <c r="AN12" s="389" t="s">
        <v>625</v>
      </c>
      <c r="AO12" s="389" t="s">
        <v>626</v>
      </c>
      <c r="AP12" s="389" t="s">
        <v>625</v>
      </c>
      <c r="AQ12" s="389" t="s">
        <v>626</v>
      </c>
      <c r="AR12" s="389" t="s">
        <v>625</v>
      </c>
      <c r="AS12" s="389" t="s">
        <v>626</v>
      </c>
      <c r="AT12" s="389" t="s">
        <v>625</v>
      </c>
      <c r="AU12" s="389" t="s">
        <v>626</v>
      </c>
      <c r="AV12" s="389" t="s">
        <v>625</v>
      </c>
      <c r="AW12" s="389" t="s">
        <v>626</v>
      </c>
      <c r="AX12" s="389" t="s">
        <v>625</v>
      </c>
      <c r="AY12" s="389" t="s">
        <v>626</v>
      </c>
    </row>
    <row r="13" spans="1:51" x14ac:dyDescent="0.25">
      <c r="A13" s="143" t="s">
        <v>0</v>
      </c>
      <c r="B13" s="132" t="s">
        <v>227</v>
      </c>
      <c r="C13" s="145" t="s">
        <v>228</v>
      </c>
      <c r="D13" s="96"/>
      <c r="E13" s="96"/>
      <c r="F13" s="96">
        <f>6411467+512400</f>
        <v>6923867</v>
      </c>
      <c r="G13" s="96">
        <f>6411467+512400</f>
        <v>6923867</v>
      </c>
      <c r="H13" s="96">
        <v>1063911</v>
      </c>
      <c r="I13" s="96">
        <v>1063911</v>
      </c>
      <c r="J13" s="96"/>
      <c r="K13" s="96"/>
      <c r="L13" s="96"/>
      <c r="M13" s="96"/>
      <c r="N13" s="96">
        <v>910270</v>
      </c>
      <c r="O13" s="96">
        <v>910270</v>
      </c>
      <c r="P13" s="96"/>
      <c r="Q13" s="96"/>
      <c r="R13" s="96">
        <v>3648000</v>
      </c>
      <c r="S13" s="96">
        <v>3648000</v>
      </c>
      <c r="T13" s="96">
        <v>3545640</v>
      </c>
      <c r="U13" s="96">
        <v>3545640</v>
      </c>
      <c r="V13" s="96">
        <f>2550+5000000</f>
        <v>5002550</v>
      </c>
      <c r="W13" s="96">
        <f>2550+5000000</f>
        <v>5002550</v>
      </c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8"/>
      <c r="AX13" s="98">
        <f>D13+F13+H13+J13+L13+N13+P13+R13+T13+V13+X13+Z13+AB13+AD13+AF13+AH13+AL13+AN13+AP13+AR13+AT13+AV13</f>
        <v>21094238</v>
      </c>
      <c r="AY13" s="98">
        <f>E13+G13+I13+K13+M13+O13+Q13+S13+U13+W13+Y13+AA13+AC13+AE13+AG13+AI13+AM13+AO13+AQ13+AS13+AU13+AW13</f>
        <v>21094238</v>
      </c>
    </row>
    <row r="14" spans="1:51" x14ac:dyDescent="0.25">
      <c r="A14" s="143" t="s">
        <v>6</v>
      </c>
      <c r="B14" s="132" t="s">
        <v>229</v>
      </c>
      <c r="C14" s="145" t="s">
        <v>230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>
        <v>21078850</v>
      </c>
      <c r="AM14" s="96">
        <f>21613400+1660800</f>
        <v>23274200</v>
      </c>
      <c r="AN14" s="96"/>
      <c r="AO14" s="96"/>
      <c r="AP14" s="96"/>
      <c r="AQ14" s="96"/>
      <c r="AR14" s="96"/>
      <c r="AS14" s="96"/>
      <c r="AT14" s="96"/>
      <c r="AU14" s="96"/>
      <c r="AV14" s="96"/>
      <c r="AW14" s="98"/>
      <c r="AX14" s="98">
        <f t="shared" ref="AX14:AX19" si="0">D14+F14+H14+J14+L14+N14+P14+R14+T14+V14+X14+Z14+AB14+AD14+AF14+AH14+AL14+AN14+AP14+AR14+AT14+AV14</f>
        <v>21078850</v>
      </c>
      <c r="AY14" s="98">
        <f t="shared" ref="AY14:AY59" si="1">E14+G14+I14+K14+M14+O14+Q14+S14+U14+W14+Y14+AA14+AC14+AE14+AG14+AI14+AM14+AO14+AQ14+AS14+AU14+AW14</f>
        <v>23274200</v>
      </c>
    </row>
    <row r="15" spans="1:51" x14ac:dyDescent="0.25">
      <c r="A15" s="143" t="s">
        <v>14</v>
      </c>
      <c r="B15" s="132" t="s">
        <v>231</v>
      </c>
      <c r="C15" s="145" t="s">
        <v>232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>
        <f>9768000+9127999+303240</f>
        <v>19199239</v>
      </c>
      <c r="AO15" s="96">
        <f>8316000+10562050+642400+289560</f>
        <v>19810010</v>
      </c>
      <c r="AP15" s="96"/>
      <c r="AQ15" s="96"/>
      <c r="AR15" s="96"/>
      <c r="AS15" s="96">
        <f>3895833+209917+14300*6*1.175+14300*5*1.155+88003</f>
        <v>4377150.5</v>
      </c>
      <c r="AT15" s="96">
        <v>5106876</v>
      </c>
      <c r="AU15" s="96">
        <f>5106876</f>
        <v>5106876</v>
      </c>
      <c r="AV15" s="96"/>
      <c r="AW15" s="98"/>
      <c r="AX15" s="98">
        <f t="shared" si="0"/>
        <v>24306115</v>
      </c>
      <c r="AY15" s="98">
        <f t="shared" si="1"/>
        <v>29294036.5</v>
      </c>
    </row>
    <row r="16" spans="1:51" x14ac:dyDescent="0.25">
      <c r="A16" s="143" t="s">
        <v>17</v>
      </c>
      <c r="B16" s="132" t="s">
        <v>233</v>
      </c>
      <c r="C16" s="145" t="s">
        <v>234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>
        <v>1800000</v>
      </c>
      <c r="AG16" s="96">
        <f>1800000+312610</f>
        <v>2112610</v>
      </c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8"/>
      <c r="AX16" s="98">
        <f t="shared" si="0"/>
        <v>1800000</v>
      </c>
      <c r="AY16" s="98">
        <f t="shared" si="1"/>
        <v>2112610</v>
      </c>
    </row>
    <row r="17" spans="1:51" x14ac:dyDescent="0.25">
      <c r="A17" s="143" t="s">
        <v>34</v>
      </c>
      <c r="B17" s="132" t="s">
        <v>235</v>
      </c>
      <c r="C17" s="145" t="s">
        <v>236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8"/>
      <c r="AX17" s="98">
        <f t="shared" si="0"/>
        <v>0</v>
      </c>
      <c r="AY17" s="98">
        <f t="shared" si="1"/>
        <v>0</v>
      </c>
    </row>
    <row r="18" spans="1:51" x14ac:dyDescent="0.25">
      <c r="A18" s="143" t="s">
        <v>36</v>
      </c>
      <c r="B18" s="132" t="s">
        <v>237</v>
      </c>
      <c r="C18" s="145" t="s">
        <v>238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8">
        <v>1188830</v>
      </c>
      <c r="AX18" s="98">
        <f t="shared" si="0"/>
        <v>0</v>
      </c>
      <c r="AY18" s="98">
        <f t="shared" si="1"/>
        <v>1188830</v>
      </c>
    </row>
    <row r="19" spans="1:51" s="153" customFormat="1" x14ac:dyDescent="0.25">
      <c r="A19" s="132" t="s">
        <v>31</v>
      </c>
      <c r="B19" s="135" t="s">
        <v>239</v>
      </c>
      <c r="C19" s="136" t="s">
        <v>240</v>
      </c>
      <c r="D19" s="97">
        <f>SUM(D13:D18)</f>
        <v>0</v>
      </c>
      <c r="E19" s="97">
        <f t="shared" ref="E19:AC19" si="2">SUM(E13:E18)</f>
        <v>0</v>
      </c>
      <c r="F19" s="97">
        <f t="shared" si="2"/>
        <v>6923867</v>
      </c>
      <c r="G19" s="97">
        <f t="shared" si="2"/>
        <v>6923867</v>
      </c>
      <c r="H19" s="97">
        <f t="shared" si="2"/>
        <v>1063911</v>
      </c>
      <c r="I19" s="97">
        <f t="shared" si="2"/>
        <v>1063911</v>
      </c>
      <c r="J19" s="97">
        <f t="shared" si="2"/>
        <v>0</v>
      </c>
      <c r="K19" s="97">
        <f t="shared" si="2"/>
        <v>0</v>
      </c>
      <c r="L19" s="97">
        <f t="shared" si="2"/>
        <v>0</v>
      </c>
      <c r="M19" s="97">
        <f t="shared" si="2"/>
        <v>0</v>
      </c>
      <c r="N19" s="97">
        <f t="shared" si="2"/>
        <v>910270</v>
      </c>
      <c r="O19" s="97">
        <f t="shared" si="2"/>
        <v>910270</v>
      </c>
      <c r="P19" s="97">
        <f>SUM(P13:P18)</f>
        <v>0</v>
      </c>
      <c r="Q19" s="97">
        <f>SUM(Q13:Q18)</f>
        <v>0</v>
      </c>
      <c r="R19" s="97">
        <f t="shared" si="2"/>
        <v>3648000</v>
      </c>
      <c r="S19" s="97">
        <f t="shared" si="2"/>
        <v>3648000</v>
      </c>
      <c r="T19" s="97">
        <f>SUM(T13:T18)</f>
        <v>3545640</v>
      </c>
      <c r="U19" s="97">
        <f>SUM(U13:U18)</f>
        <v>3545640</v>
      </c>
      <c r="V19" s="97">
        <f t="shared" si="2"/>
        <v>5002550</v>
      </c>
      <c r="W19" s="97">
        <f t="shared" si="2"/>
        <v>5002550</v>
      </c>
      <c r="X19" s="97">
        <f t="shared" si="2"/>
        <v>0</v>
      </c>
      <c r="Y19" s="97">
        <f t="shared" si="2"/>
        <v>0</v>
      </c>
      <c r="Z19" s="97">
        <f t="shared" si="2"/>
        <v>0</v>
      </c>
      <c r="AA19" s="97">
        <f t="shared" si="2"/>
        <v>0</v>
      </c>
      <c r="AB19" s="97">
        <f t="shared" si="2"/>
        <v>0</v>
      </c>
      <c r="AC19" s="97">
        <f t="shared" si="2"/>
        <v>0</v>
      </c>
      <c r="AD19" s="97">
        <f>SUM(AD13:AD18)</f>
        <v>0</v>
      </c>
      <c r="AE19" s="97">
        <f>SUM(AE13:AE18)</f>
        <v>0</v>
      </c>
      <c r="AF19" s="97">
        <f t="shared" ref="AF19:AW19" si="3">SUM(AF13:AF18)</f>
        <v>1800000</v>
      </c>
      <c r="AG19" s="97">
        <f t="shared" si="3"/>
        <v>2112610</v>
      </c>
      <c r="AH19" s="97">
        <f t="shared" si="3"/>
        <v>0</v>
      </c>
      <c r="AI19" s="97">
        <f t="shared" si="3"/>
        <v>0</v>
      </c>
      <c r="AJ19" s="97">
        <f>SUM(AJ13:AJ18)</f>
        <v>0</v>
      </c>
      <c r="AK19" s="97">
        <f>SUM(AK13:AK18)</f>
        <v>0</v>
      </c>
      <c r="AL19" s="97">
        <f t="shared" si="3"/>
        <v>21078850</v>
      </c>
      <c r="AM19" s="97">
        <f t="shared" si="3"/>
        <v>23274200</v>
      </c>
      <c r="AN19" s="97">
        <f t="shared" si="3"/>
        <v>19199239</v>
      </c>
      <c r="AO19" s="97">
        <f t="shared" si="3"/>
        <v>19810010</v>
      </c>
      <c r="AP19" s="97">
        <f>SUM(AP13:AP18)</f>
        <v>0</v>
      </c>
      <c r="AQ19" s="97">
        <f>SUM(AQ13:AQ18)</f>
        <v>0</v>
      </c>
      <c r="AR19" s="97">
        <f>SUM(AR13:AR18)</f>
        <v>0</v>
      </c>
      <c r="AS19" s="97">
        <f>SUM(AS13:AS18)</f>
        <v>4377150.5</v>
      </c>
      <c r="AT19" s="97">
        <f t="shared" si="3"/>
        <v>5106876</v>
      </c>
      <c r="AU19" s="97">
        <f t="shared" si="3"/>
        <v>5106876</v>
      </c>
      <c r="AV19" s="97">
        <f t="shared" si="3"/>
        <v>0</v>
      </c>
      <c r="AW19" s="97">
        <f t="shared" si="3"/>
        <v>1188830</v>
      </c>
      <c r="AX19" s="459">
        <f t="shared" si="0"/>
        <v>68279203</v>
      </c>
      <c r="AY19" s="459">
        <f t="shared" si="1"/>
        <v>76963914.5</v>
      </c>
    </row>
    <row r="20" spans="1:51" x14ac:dyDescent="0.25">
      <c r="A20" s="143" t="s">
        <v>18</v>
      </c>
      <c r="B20" s="132" t="s">
        <v>241</v>
      </c>
      <c r="C20" s="145" t="s">
        <v>242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8"/>
      <c r="AX20" s="98">
        <f t="shared" ref="AX20:AX57" si="4">D20+F20+H20+J20+L20+N20+P20+R20+T20+V20+X20+Z20+AB20+AD20+AF20+AH20+AL20+AN20+AP20+AR20+AT20+AV20</f>
        <v>0</v>
      </c>
      <c r="AY20" s="98">
        <f t="shared" si="1"/>
        <v>0</v>
      </c>
    </row>
    <row r="21" spans="1:51" x14ac:dyDescent="0.25">
      <c r="A21" s="143" t="s">
        <v>19</v>
      </c>
      <c r="B21" s="132" t="s">
        <v>243</v>
      </c>
      <c r="C21" s="145" t="s">
        <v>244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8"/>
      <c r="AX21" s="98">
        <f t="shared" si="4"/>
        <v>0</v>
      </c>
      <c r="AY21" s="98">
        <f t="shared" si="1"/>
        <v>0</v>
      </c>
    </row>
    <row r="22" spans="1:51" x14ac:dyDescent="0.25">
      <c r="A22" s="143" t="s">
        <v>20</v>
      </c>
      <c r="B22" s="132" t="s">
        <v>245</v>
      </c>
      <c r="C22" s="145" t="s">
        <v>246</v>
      </c>
      <c r="D22" s="96"/>
      <c r="E22" s="96"/>
      <c r="F22" s="96"/>
      <c r="G22" s="96"/>
      <c r="H22" s="96"/>
      <c r="I22" s="96"/>
      <c r="J22" s="96"/>
      <c r="K22" s="96"/>
      <c r="L22" s="96">
        <v>16664046</v>
      </c>
      <c r="M22" s="96">
        <v>15184912</v>
      </c>
      <c r="N22" s="96"/>
      <c r="O22" s="96"/>
      <c r="P22" s="96"/>
      <c r="Q22" s="96"/>
      <c r="R22" s="96"/>
      <c r="S22" s="96"/>
      <c r="T22" s="96"/>
      <c r="U22" s="96"/>
      <c r="V22" s="96"/>
      <c r="W22" s="96">
        <f>90956+46489</f>
        <v>137445</v>
      </c>
      <c r="X22" s="96"/>
      <c r="Y22" s="96"/>
      <c r="Z22" s="96"/>
      <c r="AA22" s="96"/>
      <c r="AB22" s="96"/>
      <c r="AC22" s="96"/>
      <c r="AD22" s="96">
        <f>6800*12</f>
        <v>81600</v>
      </c>
      <c r="AE22" s="96">
        <v>86400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>
        <v>4003111</v>
      </c>
      <c r="AS22" s="96">
        <v>0</v>
      </c>
      <c r="AT22" s="96"/>
      <c r="AU22" s="96"/>
      <c r="AV22" s="96"/>
      <c r="AW22" s="98"/>
      <c r="AX22" s="98">
        <f t="shared" si="4"/>
        <v>20748757</v>
      </c>
      <c r="AY22" s="98">
        <f t="shared" si="1"/>
        <v>15408757</v>
      </c>
    </row>
    <row r="23" spans="1:51" s="153" customFormat="1" x14ac:dyDescent="0.25">
      <c r="A23" s="132" t="s">
        <v>21</v>
      </c>
      <c r="B23" s="135" t="s">
        <v>247</v>
      </c>
      <c r="C23" s="136" t="s">
        <v>248</v>
      </c>
      <c r="D23" s="97">
        <f>SUM(D20:D22)+D19</f>
        <v>0</v>
      </c>
      <c r="E23" s="97">
        <f t="shared" ref="E23:AC23" si="5">SUM(E20:E22)+E19</f>
        <v>0</v>
      </c>
      <c r="F23" s="97">
        <f t="shared" si="5"/>
        <v>6923867</v>
      </c>
      <c r="G23" s="97">
        <f t="shared" si="5"/>
        <v>6923867</v>
      </c>
      <c r="H23" s="97">
        <f t="shared" si="5"/>
        <v>1063911</v>
      </c>
      <c r="I23" s="97">
        <f t="shared" si="5"/>
        <v>1063911</v>
      </c>
      <c r="J23" s="97">
        <f t="shared" si="5"/>
        <v>0</v>
      </c>
      <c r="K23" s="97">
        <f t="shared" si="5"/>
        <v>0</v>
      </c>
      <c r="L23" s="97">
        <f t="shared" si="5"/>
        <v>16664046</v>
      </c>
      <c r="M23" s="97">
        <f t="shared" si="5"/>
        <v>15184912</v>
      </c>
      <c r="N23" s="97">
        <f t="shared" si="5"/>
        <v>910270</v>
      </c>
      <c r="O23" s="97">
        <f t="shared" si="5"/>
        <v>910270</v>
      </c>
      <c r="P23" s="97">
        <f>SUM(P20:P22)+P19</f>
        <v>0</v>
      </c>
      <c r="Q23" s="97">
        <f>SUM(Q20:Q22)+Q19</f>
        <v>0</v>
      </c>
      <c r="R23" s="97">
        <f t="shared" si="5"/>
        <v>3648000</v>
      </c>
      <c r="S23" s="97">
        <f t="shared" si="5"/>
        <v>3648000</v>
      </c>
      <c r="T23" s="97">
        <f>SUM(T20:T22)+T19</f>
        <v>3545640</v>
      </c>
      <c r="U23" s="97">
        <f>SUM(U20:U22)+U19</f>
        <v>3545640</v>
      </c>
      <c r="V23" s="97">
        <f t="shared" si="5"/>
        <v>5002550</v>
      </c>
      <c r="W23" s="97">
        <f t="shared" si="5"/>
        <v>5139995</v>
      </c>
      <c r="X23" s="97">
        <f t="shared" si="5"/>
        <v>0</v>
      </c>
      <c r="Y23" s="97">
        <f t="shared" si="5"/>
        <v>0</v>
      </c>
      <c r="Z23" s="97">
        <f t="shared" si="5"/>
        <v>0</v>
      </c>
      <c r="AA23" s="97">
        <f t="shared" si="5"/>
        <v>0</v>
      </c>
      <c r="AB23" s="97">
        <f t="shared" si="5"/>
        <v>0</v>
      </c>
      <c r="AC23" s="97">
        <f t="shared" si="5"/>
        <v>0</v>
      </c>
      <c r="AD23" s="97">
        <f>SUM(AD20:AD22)+AD19</f>
        <v>81600</v>
      </c>
      <c r="AE23" s="97">
        <f>SUM(AE20:AE22)+AE19</f>
        <v>86400</v>
      </c>
      <c r="AF23" s="97">
        <f t="shared" ref="AF23:AW23" si="6">SUM(AF20:AF22)+AF19</f>
        <v>1800000</v>
      </c>
      <c r="AG23" s="97">
        <f t="shared" si="6"/>
        <v>2112610</v>
      </c>
      <c r="AH23" s="97">
        <f t="shared" si="6"/>
        <v>0</v>
      </c>
      <c r="AI23" s="97">
        <f t="shared" si="6"/>
        <v>0</v>
      </c>
      <c r="AJ23" s="97">
        <f>SUM(AJ20:AJ22)+AJ19</f>
        <v>0</v>
      </c>
      <c r="AK23" s="97">
        <f>SUM(AK20:AK22)+AK19</f>
        <v>0</v>
      </c>
      <c r="AL23" s="97">
        <f t="shared" si="6"/>
        <v>21078850</v>
      </c>
      <c r="AM23" s="97">
        <f t="shared" si="6"/>
        <v>23274200</v>
      </c>
      <c r="AN23" s="97">
        <f t="shared" si="6"/>
        <v>19199239</v>
      </c>
      <c r="AO23" s="97">
        <f t="shared" si="6"/>
        <v>19810010</v>
      </c>
      <c r="AP23" s="97">
        <f>SUM(AP20:AP22)+AP19</f>
        <v>0</v>
      </c>
      <c r="AQ23" s="97">
        <f>SUM(AQ20:AQ22)+AQ19</f>
        <v>0</v>
      </c>
      <c r="AR23" s="97">
        <f>SUM(AR20:AR22)+AR19</f>
        <v>4003111</v>
      </c>
      <c r="AS23" s="97">
        <f>SUM(AS20:AS22)+AS19</f>
        <v>4377150.5</v>
      </c>
      <c r="AT23" s="97">
        <f t="shared" si="6"/>
        <v>5106876</v>
      </c>
      <c r="AU23" s="97">
        <f t="shared" si="6"/>
        <v>5106876</v>
      </c>
      <c r="AV23" s="97">
        <f t="shared" si="6"/>
        <v>0</v>
      </c>
      <c r="AW23" s="97">
        <f t="shared" si="6"/>
        <v>1188830</v>
      </c>
      <c r="AX23" s="459">
        <f t="shared" si="4"/>
        <v>89027960</v>
      </c>
      <c r="AY23" s="459">
        <f t="shared" si="1"/>
        <v>92372671.5</v>
      </c>
    </row>
    <row r="24" spans="1:51" x14ac:dyDescent="0.25">
      <c r="A24" s="143" t="s">
        <v>32</v>
      </c>
      <c r="B24" s="132" t="s">
        <v>249</v>
      </c>
      <c r="C24" s="145" t="s">
        <v>250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8"/>
      <c r="AX24" s="98">
        <f t="shared" si="4"/>
        <v>0</v>
      </c>
      <c r="AY24" s="98">
        <f t="shared" si="1"/>
        <v>0</v>
      </c>
    </row>
    <row r="25" spans="1:51" x14ac:dyDescent="0.25">
      <c r="A25" s="143" t="s">
        <v>22</v>
      </c>
      <c r="B25" s="132" t="s">
        <v>251</v>
      </c>
      <c r="C25" s="145" t="s">
        <v>252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8"/>
      <c r="AX25" s="98">
        <f t="shared" si="4"/>
        <v>0</v>
      </c>
      <c r="AY25" s="98">
        <f t="shared" si="1"/>
        <v>0</v>
      </c>
    </row>
    <row r="26" spans="1:51" x14ac:dyDescent="0.25">
      <c r="A26" s="143" t="s">
        <v>24</v>
      </c>
      <c r="B26" s="132" t="s">
        <v>253</v>
      </c>
      <c r="C26" s="145" t="s">
        <v>254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8"/>
      <c r="AX26" s="98">
        <f t="shared" si="4"/>
        <v>0</v>
      </c>
      <c r="AY26" s="98">
        <f t="shared" si="1"/>
        <v>0</v>
      </c>
    </row>
    <row r="27" spans="1:51" x14ac:dyDescent="0.25">
      <c r="A27" s="143" t="s">
        <v>40</v>
      </c>
      <c r="B27" s="132" t="s">
        <v>255</v>
      </c>
      <c r="C27" s="145" t="s">
        <v>256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>
        <f>32593969+952775</f>
        <v>33546744</v>
      </c>
      <c r="R27" s="96"/>
      <c r="S27" s="96"/>
      <c r="T27" s="96"/>
      <c r="U27" s="96"/>
      <c r="V27" s="96"/>
      <c r="W27" s="549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8"/>
      <c r="AX27" s="98">
        <f t="shared" si="4"/>
        <v>0</v>
      </c>
      <c r="AY27" s="98">
        <f t="shared" si="1"/>
        <v>33546744</v>
      </c>
    </row>
    <row r="28" spans="1:51" s="153" customFormat="1" x14ac:dyDescent="0.25">
      <c r="A28" s="132" t="s">
        <v>41</v>
      </c>
      <c r="B28" s="135" t="s">
        <v>257</v>
      </c>
      <c r="C28" s="136" t="s">
        <v>258</v>
      </c>
      <c r="D28" s="97">
        <f>SUM(D24:D27)</f>
        <v>0</v>
      </c>
      <c r="E28" s="97">
        <f t="shared" ref="E28:AC28" si="7">SUM(E24:E27)</f>
        <v>0</v>
      </c>
      <c r="F28" s="97">
        <f t="shared" si="7"/>
        <v>0</v>
      </c>
      <c r="G28" s="97">
        <f t="shared" si="7"/>
        <v>0</v>
      </c>
      <c r="H28" s="97">
        <f t="shared" si="7"/>
        <v>0</v>
      </c>
      <c r="I28" s="97">
        <f t="shared" si="7"/>
        <v>0</v>
      </c>
      <c r="J28" s="97">
        <f t="shared" si="7"/>
        <v>0</v>
      </c>
      <c r="K28" s="97">
        <f t="shared" si="7"/>
        <v>0</v>
      </c>
      <c r="L28" s="97">
        <f t="shared" si="7"/>
        <v>0</v>
      </c>
      <c r="M28" s="97">
        <f t="shared" si="7"/>
        <v>0</v>
      </c>
      <c r="N28" s="97">
        <f t="shared" si="7"/>
        <v>0</v>
      </c>
      <c r="O28" s="97">
        <f t="shared" si="7"/>
        <v>0</v>
      </c>
      <c r="P28" s="97">
        <f>SUM(P24:P27)</f>
        <v>0</v>
      </c>
      <c r="Q28" s="97">
        <f>SUM(Q24:Q27)</f>
        <v>33546744</v>
      </c>
      <c r="R28" s="97">
        <f t="shared" si="7"/>
        <v>0</v>
      </c>
      <c r="S28" s="97">
        <f t="shared" si="7"/>
        <v>0</v>
      </c>
      <c r="T28" s="97">
        <f>SUM(T24:T27)</f>
        <v>0</v>
      </c>
      <c r="U28" s="97">
        <f>SUM(U24:U27)</f>
        <v>0</v>
      </c>
      <c r="V28" s="97">
        <f t="shared" si="7"/>
        <v>0</v>
      </c>
      <c r="W28" s="97">
        <f t="shared" si="7"/>
        <v>0</v>
      </c>
      <c r="X28" s="97">
        <f t="shared" si="7"/>
        <v>0</v>
      </c>
      <c r="Y28" s="97">
        <f t="shared" si="7"/>
        <v>0</v>
      </c>
      <c r="Z28" s="97">
        <f t="shared" si="7"/>
        <v>0</v>
      </c>
      <c r="AA28" s="97">
        <f t="shared" si="7"/>
        <v>0</v>
      </c>
      <c r="AB28" s="97">
        <f t="shared" si="7"/>
        <v>0</v>
      </c>
      <c r="AC28" s="97">
        <f t="shared" si="7"/>
        <v>0</v>
      </c>
      <c r="AD28" s="97">
        <f>SUM(AD24:AD27)</f>
        <v>0</v>
      </c>
      <c r="AE28" s="97">
        <f>SUM(AE24:AE27)</f>
        <v>0</v>
      </c>
      <c r="AF28" s="97">
        <f t="shared" ref="AF28:AW28" si="8">SUM(AF24:AF27)</f>
        <v>0</v>
      </c>
      <c r="AG28" s="97">
        <f t="shared" si="8"/>
        <v>0</v>
      </c>
      <c r="AH28" s="97">
        <f t="shared" si="8"/>
        <v>0</v>
      </c>
      <c r="AI28" s="97">
        <f t="shared" si="8"/>
        <v>0</v>
      </c>
      <c r="AJ28" s="97">
        <f>SUM(AJ24:AJ27)</f>
        <v>0</v>
      </c>
      <c r="AK28" s="97">
        <f>SUM(AK24:AK27)</f>
        <v>0</v>
      </c>
      <c r="AL28" s="97">
        <f t="shared" si="8"/>
        <v>0</v>
      </c>
      <c r="AM28" s="97">
        <f t="shared" si="8"/>
        <v>0</v>
      </c>
      <c r="AN28" s="97">
        <f t="shared" si="8"/>
        <v>0</v>
      </c>
      <c r="AO28" s="97">
        <f t="shared" si="8"/>
        <v>0</v>
      </c>
      <c r="AP28" s="97">
        <f>SUM(AP24:AP27)</f>
        <v>0</v>
      </c>
      <c r="AQ28" s="97">
        <f>SUM(AQ24:AQ27)</f>
        <v>0</v>
      </c>
      <c r="AR28" s="97">
        <f>SUM(AR24:AR27)</f>
        <v>0</v>
      </c>
      <c r="AS28" s="97">
        <f>SUM(AS24:AS27)</f>
        <v>0</v>
      </c>
      <c r="AT28" s="97">
        <f t="shared" si="8"/>
        <v>0</v>
      </c>
      <c r="AU28" s="97">
        <f t="shared" si="8"/>
        <v>0</v>
      </c>
      <c r="AV28" s="97">
        <f t="shared" si="8"/>
        <v>0</v>
      </c>
      <c r="AW28" s="97">
        <f t="shared" si="8"/>
        <v>0</v>
      </c>
      <c r="AX28" s="459">
        <f t="shared" si="4"/>
        <v>0</v>
      </c>
      <c r="AY28" s="459">
        <f t="shared" si="1"/>
        <v>33546744</v>
      </c>
    </row>
    <row r="29" spans="1:51" x14ac:dyDescent="0.25">
      <c r="A29" s="143" t="s">
        <v>42</v>
      </c>
      <c r="B29" s="132" t="s">
        <v>259</v>
      </c>
      <c r="C29" s="137" t="s">
        <v>97</v>
      </c>
      <c r="D29" s="96">
        <v>1200000</v>
      </c>
      <c r="E29" s="96">
        <v>1273991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8"/>
      <c r="AX29" s="98">
        <f t="shared" si="4"/>
        <v>1200000</v>
      </c>
      <c r="AY29" s="98">
        <f t="shared" si="1"/>
        <v>1273991</v>
      </c>
    </row>
    <row r="30" spans="1:51" x14ac:dyDescent="0.25">
      <c r="A30" s="143" t="s">
        <v>43</v>
      </c>
      <c r="B30" s="132" t="s">
        <v>260</v>
      </c>
      <c r="C30" s="137" t="s">
        <v>261</v>
      </c>
      <c r="D30" s="96">
        <v>6000000</v>
      </c>
      <c r="E30" s="96">
        <v>10000000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8"/>
      <c r="AX30" s="98">
        <f t="shared" si="4"/>
        <v>6000000</v>
      </c>
      <c r="AY30" s="98">
        <f t="shared" si="1"/>
        <v>10000000</v>
      </c>
    </row>
    <row r="31" spans="1:51" x14ac:dyDescent="0.25">
      <c r="A31" s="143" t="s">
        <v>44</v>
      </c>
      <c r="B31" s="132" t="s">
        <v>262</v>
      </c>
      <c r="C31" s="137" t="s">
        <v>263</v>
      </c>
      <c r="D31" s="96">
        <v>2000000</v>
      </c>
      <c r="E31" s="96">
        <v>0</v>
      </c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8"/>
      <c r="AX31" s="98">
        <f t="shared" si="4"/>
        <v>2000000</v>
      </c>
      <c r="AY31" s="98">
        <f t="shared" si="1"/>
        <v>0</v>
      </c>
    </row>
    <row r="32" spans="1:51" x14ac:dyDescent="0.25">
      <c r="A32" s="143" t="s">
        <v>45</v>
      </c>
      <c r="B32" s="132" t="s">
        <v>264</v>
      </c>
      <c r="C32" s="137" t="s">
        <v>72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8"/>
      <c r="AX32" s="98">
        <f t="shared" si="4"/>
        <v>0</v>
      </c>
      <c r="AY32" s="98">
        <f t="shared" si="1"/>
        <v>0</v>
      </c>
    </row>
    <row r="33" spans="1:51" x14ac:dyDescent="0.25">
      <c r="A33" s="143" t="s">
        <v>46</v>
      </c>
      <c r="B33" s="132" t="s">
        <v>264</v>
      </c>
      <c r="C33" s="137" t="s">
        <v>265</v>
      </c>
      <c r="D33" s="96">
        <v>50000</v>
      </c>
      <c r="E33" s="96">
        <v>90000</v>
      </c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8"/>
      <c r="AX33" s="98">
        <f t="shared" si="4"/>
        <v>50000</v>
      </c>
      <c r="AY33" s="98">
        <f t="shared" si="1"/>
        <v>90000</v>
      </c>
    </row>
    <row r="34" spans="1:51" s="153" customFormat="1" x14ac:dyDescent="0.25">
      <c r="A34" s="132" t="s">
        <v>47</v>
      </c>
      <c r="B34" s="135" t="s">
        <v>266</v>
      </c>
      <c r="C34" s="138" t="s">
        <v>8</v>
      </c>
      <c r="D34" s="97">
        <f>SUM(D29:D33)</f>
        <v>9250000</v>
      </c>
      <c r="E34" s="97">
        <f t="shared" ref="E34:AC34" si="9">SUM(E29:E33)</f>
        <v>11363991</v>
      </c>
      <c r="F34" s="97">
        <f t="shared" si="9"/>
        <v>0</v>
      </c>
      <c r="G34" s="97">
        <f t="shared" si="9"/>
        <v>0</v>
      </c>
      <c r="H34" s="97">
        <f t="shared" si="9"/>
        <v>0</v>
      </c>
      <c r="I34" s="97">
        <f t="shared" si="9"/>
        <v>0</v>
      </c>
      <c r="J34" s="97">
        <f t="shared" si="9"/>
        <v>0</v>
      </c>
      <c r="K34" s="97">
        <f t="shared" si="9"/>
        <v>0</v>
      </c>
      <c r="L34" s="97">
        <f t="shared" si="9"/>
        <v>0</v>
      </c>
      <c r="M34" s="97">
        <f t="shared" si="9"/>
        <v>0</v>
      </c>
      <c r="N34" s="97">
        <f t="shared" si="9"/>
        <v>0</v>
      </c>
      <c r="O34" s="97">
        <f t="shared" si="9"/>
        <v>0</v>
      </c>
      <c r="P34" s="97">
        <f>SUM(P29:P33)</f>
        <v>0</v>
      </c>
      <c r="Q34" s="97">
        <f>SUM(Q29:Q33)</f>
        <v>0</v>
      </c>
      <c r="R34" s="97">
        <f t="shared" si="9"/>
        <v>0</v>
      </c>
      <c r="S34" s="97">
        <f t="shared" si="9"/>
        <v>0</v>
      </c>
      <c r="T34" s="97">
        <f>SUM(T29:T33)</f>
        <v>0</v>
      </c>
      <c r="U34" s="97">
        <f>SUM(U29:U33)</f>
        <v>0</v>
      </c>
      <c r="V34" s="97">
        <f t="shared" si="9"/>
        <v>0</v>
      </c>
      <c r="W34" s="97">
        <f t="shared" si="9"/>
        <v>0</v>
      </c>
      <c r="X34" s="97">
        <f t="shared" si="9"/>
        <v>0</v>
      </c>
      <c r="Y34" s="97">
        <f t="shared" si="9"/>
        <v>0</v>
      </c>
      <c r="Z34" s="97">
        <f t="shared" si="9"/>
        <v>0</v>
      </c>
      <c r="AA34" s="97">
        <f t="shared" si="9"/>
        <v>0</v>
      </c>
      <c r="AB34" s="97">
        <f t="shared" si="9"/>
        <v>0</v>
      </c>
      <c r="AC34" s="97">
        <f t="shared" si="9"/>
        <v>0</v>
      </c>
      <c r="AD34" s="97">
        <f>SUM(AD29:AD33)</f>
        <v>0</v>
      </c>
      <c r="AE34" s="97">
        <f>SUM(AE29:AE33)</f>
        <v>0</v>
      </c>
      <c r="AF34" s="97">
        <f t="shared" ref="AF34:AW34" si="10">SUM(AF29:AF33)</f>
        <v>0</v>
      </c>
      <c r="AG34" s="97">
        <f t="shared" si="10"/>
        <v>0</v>
      </c>
      <c r="AH34" s="97">
        <f t="shared" si="10"/>
        <v>0</v>
      </c>
      <c r="AI34" s="97">
        <f t="shared" si="10"/>
        <v>0</v>
      </c>
      <c r="AJ34" s="97">
        <f>SUM(AJ29:AJ33)</f>
        <v>0</v>
      </c>
      <c r="AK34" s="97">
        <f>SUM(AK29:AK33)</f>
        <v>0</v>
      </c>
      <c r="AL34" s="97">
        <f t="shared" si="10"/>
        <v>0</v>
      </c>
      <c r="AM34" s="97">
        <f t="shared" si="10"/>
        <v>0</v>
      </c>
      <c r="AN34" s="97">
        <f t="shared" si="10"/>
        <v>0</v>
      </c>
      <c r="AO34" s="97">
        <f t="shared" si="10"/>
        <v>0</v>
      </c>
      <c r="AP34" s="97">
        <f>SUM(AP29:AP33)</f>
        <v>0</v>
      </c>
      <c r="AQ34" s="97">
        <f>SUM(AQ29:AQ33)</f>
        <v>0</v>
      </c>
      <c r="AR34" s="97">
        <f>SUM(AR29:AR33)</f>
        <v>0</v>
      </c>
      <c r="AS34" s="97">
        <f>SUM(AS29:AS33)</f>
        <v>0</v>
      </c>
      <c r="AT34" s="97">
        <f t="shared" si="10"/>
        <v>0</v>
      </c>
      <c r="AU34" s="97">
        <f t="shared" si="10"/>
        <v>0</v>
      </c>
      <c r="AV34" s="97">
        <f t="shared" si="10"/>
        <v>0</v>
      </c>
      <c r="AW34" s="97">
        <f t="shared" si="10"/>
        <v>0</v>
      </c>
      <c r="AX34" s="459">
        <f t="shared" si="4"/>
        <v>9250000</v>
      </c>
      <c r="AY34" s="459">
        <f t="shared" si="1"/>
        <v>11363991</v>
      </c>
    </row>
    <row r="35" spans="1:51" x14ac:dyDescent="0.25">
      <c r="A35" s="143" t="s">
        <v>48</v>
      </c>
      <c r="B35" s="132" t="s">
        <v>267</v>
      </c>
      <c r="C35" s="145" t="s">
        <v>268</v>
      </c>
      <c r="D35" s="96"/>
      <c r="E35" s="96"/>
      <c r="F35" s="96"/>
      <c r="G35" s="96"/>
      <c r="H35" s="96"/>
      <c r="I35" s="96"/>
      <c r="J35" s="96"/>
      <c r="K35" s="96"/>
      <c r="L35" s="96">
        <v>725000</v>
      </c>
      <c r="M35" s="96">
        <v>400000</v>
      </c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8"/>
      <c r="AX35" s="98">
        <f t="shared" si="4"/>
        <v>725000</v>
      </c>
      <c r="AY35" s="98">
        <f t="shared" si="1"/>
        <v>400000</v>
      </c>
    </row>
    <row r="36" spans="1:51" x14ac:dyDescent="0.25">
      <c r="A36" s="143" t="s">
        <v>51</v>
      </c>
      <c r="B36" s="132" t="s">
        <v>269</v>
      </c>
      <c r="C36" s="137" t="s">
        <v>270</v>
      </c>
      <c r="D36" s="96"/>
      <c r="E36" s="96"/>
      <c r="F36" s="96"/>
      <c r="G36" s="96">
        <v>26893</v>
      </c>
      <c r="H36" s="96"/>
      <c r="I36" s="96">
        <v>40000</v>
      </c>
      <c r="J36" s="96"/>
      <c r="K36" s="96">
        <v>60000</v>
      </c>
      <c r="L36" s="96"/>
      <c r="M36" s="96"/>
      <c r="N36" s="96"/>
      <c r="O36" s="96"/>
      <c r="P36" s="96"/>
      <c r="Q36" s="96"/>
      <c r="R36" s="96"/>
      <c r="S36" s="96"/>
      <c r="T36" s="96"/>
      <c r="U36" s="96">
        <v>25000</v>
      </c>
      <c r="V36" s="96"/>
      <c r="W36" s="96">
        <v>100000</v>
      </c>
      <c r="X36" s="96"/>
      <c r="Y36" s="96"/>
      <c r="Z36" s="96"/>
      <c r="AA36" s="96"/>
      <c r="AB36" s="96"/>
      <c r="AC36" s="96"/>
      <c r="AD36" s="96"/>
      <c r="AE36" s="96"/>
      <c r="AF36" s="96">
        <v>200000</v>
      </c>
      <c r="AG36" s="96">
        <v>400000</v>
      </c>
      <c r="AH36" s="96"/>
      <c r="AI36" s="96"/>
      <c r="AJ36" s="96"/>
      <c r="AK36" s="96"/>
      <c r="AL36" s="96"/>
      <c r="AM36" s="96"/>
      <c r="AN36" s="96"/>
      <c r="AO36" s="96"/>
      <c r="AP36" s="96"/>
      <c r="AQ36" s="96">
        <v>500000</v>
      </c>
      <c r="AR36" s="96"/>
      <c r="AS36" s="96"/>
      <c r="AT36" s="96"/>
      <c r="AU36" s="96"/>
      <c r="AV36" s="96"/>
      <c r="AW36" s="98"/>
      <c r="AX36" s="98">
        <f t="shared" si="4"/>
        <v>200000</v>
      </c>
      <c r="AY36" s="98">
        <f t="shared" si="1"/>
        <v>1151893</v>
      </c>
    </row>
    <row r="37" spans="1:51" x14ac:dyDescent="0.25">
      <c r="A37" s="143" t="s">
        <v>53</v>
      </c>
      <c r="B37" s="132" t="s">
        <v>271</v>
      </c>
      <c r="C37" s="137" t="s">
        <v>272</v>
      </c>
      <c r="D37" s="96"/>
      <c r="E37" s="96"/>
      <c r="F37" s="144"/>
      <c r="G37" s="144"/>
      <c r="H37" s="96"/>
      <c r="I37" s="96"/>
      <c r="J37" s="96"/>
      <c r="K37" s="96">
        <v>60000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>
        <v>560000</v>
      </c>
      <c r="W37" s="96">
        <v>1600000</v>
      </c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>
        <v>100000</v>
      </c>
      <c r="AR37" s="96"/>
      <c r="AS37" s="96"/>
      <c r="AT37" s="96"/>
      <c r="AU37" s="96"/>
      <c r="AV37" s="96"/>
      <c r="AW37" s="98"/>
      <c r="AX37" s="98">
        <f t="shared" si="4"/>
        <v>560000</v>
      </c>
      <c r="AY37" s="98">
        <f t="shared" si="1"/>
        <v>1760000</v>
      </c>
    </row>
    <row r="38" spans="1:51" x14ac:dyDescent="0.25">
      <c r="A38" s="143" t="s">
        <v>55</v>
      </c>
      <c r="B38" s="132" t="s">
        <v>273</v>
      </c>
      <c r="C38" s="137" t="s">
        <v>274</v>
      </c>
      <c r="D38" s="96"/>
      <c r="E38" s="96"/>
      <c r="F38" s="96"/>
      <c r="G38" s="96"/>
      <c r="H38" s="96">
        <v>100000</v>
      </c>
      <c r="I38" s="96">
        <v>150000</v>
      </c>
      <c r="J38" s="96">
        <v>1000000</v>
      </c>
      <c r="K38" s="96">
        <v>2800000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>
        <v>900000</v>
      </c>
      <c r="W38" s="96">
        <v>580000</v>
      </c>
      <c r="X38" s="96"/>
      <c r="Y38" s="96"/>
      <c r="Z38" s="96"/>
      <c r="AA38" s="96"/>
      <c r="AB38" s="96"/>
      <c r="AC38" s="96"/>
      <c r="AD38" s="96"/>
      <c r="AE38" s="96"/>
      <c r="AF38" s="96">
        <v>200000</v>
      </c>
      <c r="AG38" s="96">
        <v>100000</v>
      </c>
      <c r="AH38" s="96"/>
      <c r="AI38" s="96"/>
      <c r="AJ38" s="96"/>
      <c r="AK38" s="96"/>
      <c r="AL38" s="96"/>
      <c r="AM38" s="96"/>
      <c r="AN38" s="96"/>
      <c r="AO38" s="96"/>
      <c r="AP38" s="96">
        <v>480000</v>
      </c>
      <c r="AQ38" s="96">
        <v>150000</v>
      </c>
      <c r="AR38" s="96"/>
      <c r="AS38" s="96"/>
      <c r="AT38" s="96"/>
      <c r="AU38" s="96"/>
      <c r="AV38" s="96"/>
      <c r="AW38" s="98"/>
      <c r="AX38" s="98">
        <f t="shared" si="4"/>
        <v>2680000</v>
      </c>
      <c r="AY38" s="98">
        <f t="shared" si="1"/>
        <v>3780000</v>
      </c>
    </row>
    <row r="39" spans="1:51" x14ac:dyDescent="0.25">
      <c r="A39" s="143" t="s">
        <v>57</v>
      </c>
      <c r="B39" s="132" t="s">
        <v>275</v>
      </c>
      <c r="C39" s="137" t="s">
        <v>276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8"/>
      <c r="AX39" s="98">
        <f t="shared" si="4"/>
        <v>0</v>
      </c>
      <c r="AY39" s="98">
        <f t="shared" si="1"/>
        <v>0</v>
      </c>
    </row>
    <row r="40" spans="1:51" x14ac:dyDescent="0.25">
      <c r="A40" s="143" t="s">
        <v>58</v>
      </c>
      <c r="B40" s="132" t="s">
        <v>277</v>
      </c>
      <c r="C40" s="137" t="s">
        <v>278</v>
      </c>
      <c r="D40" s="96"/>
      <c r="E40" s="96"/>
      <c r="F40" s="96"/>
      <c r="G40" s="96">
        <f>(G35+G36+G37)*0.27</f>
        <v>7261.1100000000006</v>
      </c>
      <c r="H40" s="96"/>
      <c r="I40" s="96">
        <f>(I35+I36+I37)*0.27</f>
        <v>10800</v>
      </c>
      <c r="J40" s="96"/>
      <c r="K40" s="96">
        <f>(K35+K36+K37)*0.27</f>
        <v>32400.000000000004</v>
      </c>
      <c r="L40" s="96"/>
      <c r="M40" s="96">
        <f>190000+9989</f>
        <v>199989</v>
      </c>
      <c r="N40" s="96"/>
      <c r="O40" s="96"/>
      <c r="P40" s="96"/>
      <c r="Q40" s="96"/>
      <c r="R40" s="96"/>
      <c r="S40" s="96"/>
      <c r="T40" s="96">
        <f>(T35+T36)*0.27</f>
        <v>0</v>
      </c>
      <c r="U40" s="96">
        <f>(U35+U36)*0.27</f>
        <v>6750</v>
      </c>
      <c r="V40" s="96">
        <f>(V35+V36+V37)*0.27</f>
        <v>151200</v>
      </c>
      <c r="W40" s="96">
        <f>(W35+W36+W37)*0.27</f>
        <v>459000.00000000006</v>
      </c>
      <c r="X40" s="96"/>
      <c r="Y40" s="96"/>
      <c r="Z40" s="96"/>
      <c r="AA40" s="96"/>
      <c r="AB40" s="96"/>
      <c r="AC40" s="96"/>
      <c r="AD40" s="96"/>
      <c r="AE40" s="96"/>
      <c r="AF40" s="96"/>
      <c r="AG40" s="96">
        <f>AG36*0.27</f>
        <v>108000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>
        <f>AQ37*0.27</f>
        <v>27000</v>
      </c>
      <c r="AR40" s="96"/>
      <c r="AS40" s="96"/>
      <c r="AT40" s="96"/>
      <c r="AU40" s="96"/>
      <c r="AV40" s="96"/>
      <c r="AW40" s="98"/>
      <c r="AX40" s="98">
        <f t="shared" si="4"/>
        <v>151200</v>
      </c>
      <c r="AY40" s="98">
        <f t="shared" si="1"/>
        <v>851200.1100000001</v>
      </c>
    </row>
    <row r="41" spans="1:51" x14ac:dyDescent="0.25">
      <c r="A41" s="143" t="s">
        <v>59</v>
      </c>
      <c r="B41" s="132" t="s">
        <v>279</v>
      </c>
      <c r="C41" s="137" t="s">
        <v>280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8"/>
      <c r="AX41" s="98">
        <f t="shared" si="4"/>
        <v>0</v>
      </c>
      <c r="AY41" s="98">
        <f t="shared" si="1"/>
        <v>0</v>
      </c>
    </row>
    <row r="42" spans="1:51" x14ac:dyDescent="0.25">
      <c r="A42" s="143" t="s">
        <v>60</v>
      </c>
      <c r="B42" s="132" t="s">
        <v>281</v>
      </c>
      <c r="C42" s="137" t="s">
        <v>282</v>
      </c>
      <c r="D42" s="96"/>
      <c r="E42" s="96"/>
      <c r="F42" s="96">
        <v>500</v>
      </c>
      <c r="G42" s="96">
        <v>500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8"/>
      <c r="AX42" s="98">
        <f t="shared" si="4"/>
        <v>500</v>
      </c>
      <c r="AY42" s="98">
        <f t="shared" si="1"/>
        <v>500</v>
      </c>
    </row>
    <row r="43" spans="1:51" x14ac:dyDescent="0.25">
      <c r="A43" s="143" t="s">
        <v>66</v>
      </c>
      <c r="B43" s="132" t="s">
        <v>283</v>
      </c>
      <c r="C43" s="137" t="s">
        <v>731</v>
      </c>
      <c r="D43" s="96"/>
      <c r="E43" s="96"/>
      <c r="F43" s="96"/>
      <c r="G43" s="96">
        <v>44238</v>
      </c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>
        <v>16544</v>
      </c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>
        <v>39218</v>
      </c>
      <c r="AN43" s="96"/>
      <c r="AO43" s="96"/>
      <c r="AP43" s="96"/>
      <c r="AQ43" s="96"/>
      <c r="AR43" s="96"/>
      <c r="AS43" s="96"/>
      <c r="AT43" s="96"/>
      <c r="AU43" s="96"/>
      <c r="AV43" s="96"/>
      <c r="AW43" s="98"/>
      <c r="AX43" s="98">
        <f t="shared" si="4"/>
        <v>0</v>
      </c>
      <c r="AY43" s="98">
        <f t="shared" si="1"/>
        <v>100000</v>
      </c>
    </row>
    <row r="44" spans="1:51" x14ac:dyDescent="0.25">
      <c r="A44" s="143" t="s">
        <v>78</v>
      </c>
      <c r="B44" s="132" t="s">
        <v>285</v>
      </c>
      <c r="C44" s="137" t="s">
        <v>286</v>
      </c>
      <c r="D44" s="96"/>
      <c r="E44" s="96"/>
      <c r="F44" s="96"/>
      <c r="G44" s="96">
        <v>5450</v>
      </c>
      <c r="H44" s="96"/>
      <c r="I44" s="96"/>
      <c r="J44" s="96"/>
      <c r="K44" s="96"/>
      <c r="L44" s="96">
        <v>50</v>
      </c>
      <c r="M44" s="96">
        <v>50</v>
      </c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8"/>
      <c r="AX44" s="98">
        <f t="shared" si="4"/>
        <v>50</v>
      </c>
      <c r="AY44" s="98">
        <f t="shared" si="1"/>
        <v>5500</v>
      </c>
    </row>
    <row r="45" spans="1:51" s="153" customFormat="1" x14ac:dyDescent="0.25">
      <c r="A45" s="132" t="s">
        <v>79</v>
      </c>
      <c r="B45" s="135" t="s">
        <v>287</v>
      </c>
      <c r="C45" s="138" t="s">
        <v>2</v>
      </c>
      <c r="D45" s="97">
        <f>SUM(D35:D44)</f>
        <v>0</v>
      </c>
      <c r="E45" s="97">
        <f t="shared" ref="E45:AC45" si="11">SUM(E35:E44)</f>
        <v>0</v>
      </c>
      <c r="F45" s="97">
        <f t="shared" si="11"/>
        <v>500</v>
      </c>
      <c r="G45" s="97">
        <f t="shared" si="11"/>
        <v>84342.11</v>
      </c>
      <c r="H45" s="97">
        <f t="shared" si="11"/>
        <v>100000</v>
      </c>
      <c r="I45" s="97">
        <f t="shared" si="11"/>
        <v>200800</v>
      </c>
      <c r="J45" s="97">
        <f t="shared" si="11"/>
        <v>1000000</v>
      </c>
      <c r="K45" s="97">
        <f t="shared" si="11"/>
        <v>2952400</v>
      </c>
      <c r="L45" s="97">
        <f t="shared" si="11"/>
        <v>725050</v>
      </c>
      <c r="M45" s="97">
        <f t="shared" si="11"/>
        <v>600039</v>
      </c>
      <c r="N45" s="97">
        <f t="shared" si="11"/>
        <v>0</v>
      </c>
      <c r="O45" s="97">
        <f t="shared" si="11"/>
        <v>0</v>
      </c>
      <c r="P45" s="97">
        <f>SUM(P35:P44)</f>
        <v>0</v>
      </c>
      <c r="Q45" s="97">
        <f>SUM(Q35:Q44)</f>
        <v>0</v>
      </c>
      <c r="R45" s="97">
        <f t="shared" si="11"/>
        <v>0</v>
      </c>
      <c r="S45" s="97">
        <f t="shared" si="11"/>
        <v>0</v>
      </c>
      <c r="T45" s="97">
        <f>SUM(T35:T44)</f>
        <v>0</v>
      </c>
      <c r="U45" s="97">
        <f>SUM(U35:U44)</f>
        <v>31750</v>
      </c>
      <c r="V45" s="97">
        <f t="shared" si="11"/>
        <v>1611200</v>
      </c>
      <c r="W45" s="97">
        <f t="shared" si="11"/>
        <v>2755544</v>
      </c>
      <c r="X45" s="97">
        <f t="shared" si="11"/>
        <v>0</v>
      </c>
      <c r="Y45" s="97">
        <f t="shared" si="11"/>
        <v>0</v>
      </c>
      <c r="Z45" s="97">
        <f t="shared" si="11"/>
        <v>0</v>
      </c>
      <c r="AA45" s="97">
        <f t="shared" si="11"/>
        <v>0</v>
      </c>
      <c r="AB45" s="97">
        <f t="shared" si="11"/>
        <v>0</v>
      </c>
      <c r="AC45" s="97">
        <f t="shared" si="11"/>
        <v>0</v>
      </c>
      <c r="AD45" s="97">
        <f>SUM(AD35:AD44)</f>
        <v>0</v>
      </c>
      <c r="AE45" s="97">
        <f>SUM(AE35:AE44)</f>
        <v>0</v>
      </c>
      <c r="AF45" s="97">
        <f t="shared" ref="AF45:AW45" si="12">SUM(AF35:AF44)</f>
        <v>400000</v>
      </c>
      <c r="AG45" s="97">
        <f t="shared" si="12"/>
        <v>608000</v>
      </c>
      <c r="AH45" s="97">
        <f t="shared" si="12"/>
        <v>0</v>
      </c>
      <c r="AI45" s="97">
        <f t="shared" si="12"/>
        <v>0</v>
      </c>
      <c r="AJ45" s="97">
        <f>SUM(AJ35:AJ44)</f>
        <v>0</v>
      </c>
      <c r="AK45" s="97">
        <f>SUM(AK35:AK44)</f>
        <v>0</v>
      </c>
      <c r="AL45" s="97">
        <f t="shared" si="12"/>
        <v>0</v>
      </c>
      <c r="AM45" s="97">
        <f t="shared" si="12"/>
        <v>39218</v>
      </c>
      <c r="AN45" s="97">
        <f t="shared" si="12"/>
        <v>0</v>
      </c>
      <c r="AO45" s="97">
        <f t="shared" si="12"/>
        <v>0</v>
      </c>
      <c r="AP45" s="97">
        <f>SUM(AP35:AP44)</f>
        <v>480000</v>
      </c>
      <c r="AQ45" s="97">
        <f>SUM(AQ35:AQ44)</f>
        <v>777000</v>
      </c>
      <c r="AR45" s="97">
        <f>SUM(AR35:AR44)</f>
        <v>0</v>
      </c>
      <c r="AS45" s="97">
        <f>SUM(AS35:AS44)</f>
        <v>0</v>
      </c>
      <c r="AT45" s="97">
        <f t="shared" si="12"/>
        <v>0</v>
      </c>
      <c r="AU45" s="97">
        <f t="shared" si="12"/>
        <v>0</v>
      </c>
      <c r="AV45" s="97">
        <f t="shared" si="12"/>
        <v>0</v>
      </c>
      <c r="AW45" s="97">
        <f t="shared" si="12"/>
        <v>0</v>
      </c>
      <c r="AX45" s="459">
        <f t="shared" si="4"/>
        <v>4316750</v>
      </c>
      <c r="AY45" s="459">
        <f t="shared" si="1"/>
        <v>8049093.1099999994</v>
      </c>
    </row>
    <row r="46" spans="1:51" x14ac:dyDescent="0.25">
      <c r="A46" s="143" t="s">
        <v>80</v>
      </c>
      <c r="B46" s="132" t="s">
        <v>288</v>
      </c>
      <c r="C46" s="137" t="s">
        <v>289</v>
      </c>
      <c r="D46" s="96"/>
      <c r="E46" s="96"/>
      <c r="F46" s="96"/>
      <c r="G46" s="96"/>
      <c r="H46" s="96"/>
      <c r="I46" s="96"/>
      <c r="J46" s="96"/>
      <c r="K46" s="96">
        <v>3600000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8"/>
      <c r="AX46" s="98">
        <f t="shared" si="4"/>
        <v>0</v>
      </c>
      <c r="AY46" s="98">
        <f t="shared" si="1"/>
        <v>3600000</v>
      </c>
    </row>
    <row r="47" spans="1:51" x14ac:dyDescent="0.25">
      <c r="A47" s="143" t="s">
        <v>81</v>
      </c>
      <c r="B47" s="132" t="s">
        <v>290</v>
      </c>
      <c r="C47" s="137" t="s">
        <v>291</v>
      </c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>
        <v>250000</v>
      </c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8"/>
      <c r="AX47" s="98">
        <f t="shared" si="4"/>
        <v>0</v>
      </c>
      <c r="AY47" s="98">
        <f t="shared" si="1"/>
        <v>250000</v>
      </c>
    </row>
    <row r="48" spans="1:51" s="153" customFormat="1" x14ac:dyDescent="0.25">
      <c r="A48" s="132" t="s">
        <v>82</v>
      </c>
      <c r="B48" s="135" t="s">
        <v>292</v>
      </c>
      <c r="C48" s="136" t="s">
        <v>3</v>
      </c>
      <c r="D48" s="97">
        <f>SUM(D46:D47)</f>
        <v>0</v>
      </c>
      <c r="E48" s="97">
        <f t="shared" ref="E48:AC48" si="13">SUM(E46:E47)</f>
        <v>0</v>
      </c>
      <c r="F48" s="97">
        <f t="shared" si="13"/>
        <v>0</v>
      </c>
      <c r="G48" s="97">
        <f t="shared" si="13"/>
        <v>0</v>
      </c>
      <c r="H48" s="97">
        <f t="shared" si="13"/>
        <v>0</v>
      </c>
      <c r="I48" s="97">
        <f t="shared" si="13"/>
        <v>0</v>
      </c>
      <c r="J48" s="97">
        <f t="shared" si="13"/>
        <v>0</v>
      </c>
      <c r="K48" s="97">
        <f t="shared" si="13"/>
        <v>3600000</v>
      </c>
      <c r="L48" s="97">
        <f t="shared" si="13"/>
        <v>0</v>
      </c>
      <c r="M48" s="97">
        <f t="shared" si="13"/>
        <v>0</v>
      </c>
      <c r="N48" s="97">
        <f t="shared" si="13"/>
        <v>0</v>
      </c>
      <c r="O48" s="97">
        <f t="shared" si="13"/>
        <v>0</v>
      </c>
      <c r="P48" s="97">
        <f>SUM(P46:P47)</f>
        <v>0</v>
      </c>
      <c r="Q48" s="97">
        <f>SUM(Q46:Q47)</f>
        <v>0</v>
      </c>
      <c r="R48" s="97">
        <f t="shared" si="13"/>
        <v>0</v>
      </c>
      <c r="S48" s="97">
        <f t="shared" si="13"/>
        <v>0</v>
      </c>
      <c r="T48" s="97">
        <f>SUM(T46:T47)</f>
        <v>0</v>
      </c>
      <c r="U48" s="97">
        <f>SUM(U46:U47)</f>
        <v>0</v>
      </c>
      <c r="V48" s="97">
        <f t="shared" si="13"/>
        <v>0</v>
      </c>
      <c r="W48" s="97">
        <f t="shared" si="13"/>
        <v>250000</v>
      </c>
      <c r="X48" s="97">
        <f t="shared" si="13"/>
        <v>0</v>
      </c>
      <c r="Y48" s="97">
        <f t="shared" si="13"/>
        <v>0</v>
      </c>
      <c r="Z48" s="97">
        <f t="shared" si="13"/>
        <v>0</v>
      </c>
      <c r="AA48" s="97">
        <f t="shared" si="13"/>
        <v>0</v>
      </c>
      <c r="AB48" s="97">
        <f t="shared" si="13"/>
        <v>0</v>
      </c>
      <c r="AC48" s="97">
        <f t="shared" si="13"/>
        <v>0</v>
      </c>
      <c r="AD48" s="97">
        <f>SUM(AD46:AD47)</f>
        <v>0</v>
      </c>
      <c r="AE48" s="97">
        <f>SUM(AE46:AE47)</f>
        <v>0</v>
      </c>
      <c r="AF48" s="97">
        <f t="shared" ref="AF48:AW48" si="14">SUM(AF46:AF47)</f>
        <v>0</v>
      </c>
      <c r="AG48" s="97">
        <f t="shared" si="14"/>
        <v>0</v>
      </c>
      <c r="AH48" s="97">
        <f t="shared" si="14"/>
        <v>0</v>
      </c>
      <c r="AI48" s="97">
        <f t="shared" si="14"/>
        <v>0</v>
      </c>
      <c r="AJ48" s="97">
        <f>SUM(AJ46:AJ47)</f>
        <v>0</v>
      </c>
      <c r="AK48" s="97">
        <f>SUM(AK46:AK47)</f>
        <v>0</v>
      </c>
      <c r="AL48" s="97">
        <f t="shared" si="14"/>
        <v>0</v>
      </c>
      <c r="AM48" s="97">
        <f t="shared" si="14"/>
        <v>0</v>
      </c>
      <c r="AN48" s="97">
        <f t="shared" si="14"/>
        <v>0</v>
      </c>
      <c r="AO48" s="97">
        <f t="shared" si="14"/>
        <v>0</v>
      </c>
      <c r="AP48" s="97">
        <f>SUM(AP46:AP47)</f>
        <v>0</v>
      </c>
      <c r="AQ48" s="97">
        <f>SUM(AQ46:AQ47)</f>
        <v>0</v>
      </c>
      <c r="AR48" s="97">
        <f>SUM(AR46:AR47)</f>
        <v>0</v>
      </c>
      <c r="AS48" s="97">
        <f>SUM(AS46:AS47)</f>
        <v>0</v>
      </c>
      <c r="AT48" s="97">
        <f t="shared" si="14"/>
        <v>0</v>
      </c>
      <c r="AU48" s="97">
        <f t="shared" si="14"/>
        <v>0</v>
      </c>
      <c r="AV48" s="97">
        <f t="shared" si="14"/>
        <v>0</v>
      </c>
      <c r="AW48" s="97">
        <f t="shared" si="14"/>
        <v>0</v>
      </c>
      <c r="AX48" s="459">
        <f t="shared" si="4"/>
        <v>0</v>
      </c>
      <c r="AY48" s="459">
        <f t="shared" si="1"/>
        <v>3850000</v>
      </c>
    </row>
    <row r="49" spans="1:51" x14ac:dyDescent="0.25">
      <c r="A49" s="143" t="s">
        <v>83</v>
      </c>
      <c r="B49" s="132" t="s">
        <v>293</v>
      </c>
      <c r="C49" s="137" t="s">
        <v>294</v>
      </c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>
        <v>70000</v>
      </c>
      <c r="AU49" s="96">
        <v>70000</v>
      </c>
      <c r="AV49" s="96"/>
      <c r="AW49" s="98"/>
      <c r="AX49" s="98">
        <f t="shared" si="4"/>
        <v>70000</v>
      </c>
      <c r="AY49" s="98">
        <f t="shared" si="1"/>
        <v>70000</v>
      </c>
    </row>
    <row r="50" spans="1:51" x14ac:dyDescent="0.25">
      <c r="A50" s="143" t="s">
        <v>84</v>
      </c>
      <c r="B50" s="132" t="s">
        <v>295</v>
      </c>
      <c r="C50" s="137" t="s">
        <v>296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>
        <v>34000</v>
      </c>
      <c r="X50" s="96"/>
      <c r="Y50" s="96"/>
      <c r="Z50" s="96"/>
      <c r="AA50" s="96"/>
      <c r="AB50" s="96"/>
      <c r="AC50" s="96"/>
      <c r="AD50" s="96"/>
      <c r="AE50" s="96"/>
      <c r="AF50" s="96"/>
      <c r="AG50" s="96">
        <v>616000</v>
      </c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8"/>
      <c r="AX50" s="98">
        <f t="shared" si="4"/>
        <v>0</v>
      </c>
      <c r="AY50" s="98">
        <f t="shared" si="1"/>
        <v>650000</v>
      </c>
    </row>
    <row r="51" spans="1:51" s="153" customFormat="1" x14ac:dyDescent="0.25">
      <c r="A51" s="132" t="s">
        <v>85</v>
      </c>
      <c r="B51" s="135" t="s">
        <v>297</v>
      </c>
      <c r="C51" s="138" t="s">
        <v>298</v>
      </c>
      <c r="D51" s="97">
        <f>SUM(D49:D50)</f>
        <v>0</v>
      </c>
      <c r="E51" s="97">
        <f t="shared" ref="E51:AC51" si="15">SUM(E49:E50)</f>
        <v>0</v>
      </c>
      <c r="F51" s="97">
        <f t="shared" si="15"/>
        <v>0</v>
      </c>
      <c r="G51" s="97">
        <f t="shared" si="15"/>
        <v>0</v>
      </c>
      <c r="H51" s="97">
        <f t="shared" si="15"/>
        <v>0</v>
      </c>
      <c r="I51" s="97">
        <f t="shared" si="15"/>
        <v>0</v>
      </c>
      <c r="J51" s="97">
        <f t="shared" si="15"/>
        <v>0</v>
      </c>
      <c r="K51" s="97">
        <f t="shared" si="15"/>
        <v>0</v>
      </c>
      <c r="L51" s="97">
        <f t="shared" si="15"/>
        <v>0</v>
      </c>
      <c r="M51" s="97">
        <f t="shared" si="15"/>
        <v>0</v>
      </c>
      <c r="N51" s="97">
        <f t="shared" si="15"/>
        <v>0</v>
      </c>
      <c r="O51" s="97">
        <f t="shared" si="15"/>
        <v>0</v>
      </c>
      <c r="P51" s="97">
        <f>SUM(P49:P50)</f>
        <v>0</v>
      </c>
      <c r="Q51" s="97">
        <f>SUM(Q49:Q50)</f>
        <v>0</v>
      </c>
      <c r="R51" s="97">
        <f t="shared" si="15"/>
        <v>0</v>
      </c>
      <c r="S51" s="97">
        <f t="shared" si="15"/>
        <v>0</v>
      </c>
      <c r="T51" s="97">
        <f>SUM(T49:T50)</f>
        <v>0</v>
      </c>
      <c r="U51" s="97">
        <f>SUM(U49:U50)</f>
        <v>0</v>
      </c>
      <c r="V51" s="97">
        <f t="shared" si="15"/>
        <v>0</v>
      </c>
      <c r="W51" s="97">
        <f t="shared" si="15"/>
        <v>34000</v>
      </c>
      <c r="X51" s="97">
        <f t="shared" si="15"/>
        <v>0</v>
      </c>
      <c r="Y51" s="97">
        <f t="shared" si="15"/>
        <v>0</v>
      </c>
      <c r="Z51" s="97">
        <f t="shared" si="15"/>
        <v>0</v>
      </c>
      <c r="AA51" s="97">
        <f t="shared" si="15"/>
        <v>0</v>
      </c>
      <c r="AB51" s="97">
        <f t="shared" si="15"/>
        <v>0</v>
      </c>
      <c r="AC51" s="97">
        <f t="shared" si="15"/>
        <v>0</v>
      </c>
      <c r="AD51" s="97">
        <f>SUM(AD49:AD50)</f>
        <v>0</v>
      </c>
      <c r="AE51" s="97">
        <f>SUM(AE49:AE50)</f>
        <v>0</v>
      </c>
      <c r="AF51" s="97">
        <f t="shared" ref="AF51:AW51" si="16">SUM(AF49:AF50)</f>
        <v>0</v>
      </c>
      <c r="AG51" s="97">
        <f t="shared" si="16"/>
        <v>616000</v>
      </c>
      <c r="AH51" s="97">
        <f t="shared" si="16"/>
        <v>0</v>
      </c>
      <c r="AI51" s="97">
        <f t="shared" si="16"/>
        <v>0</v>
      </c>
      <c r="AJ51" s="97">
        <f>SUM(AJ49:AJ50)</f>
        <v>0</v>
      </c>
      <c r="AK51" s="97">
        <f>SUM(AK49:AK50)</f>
        <v>0</v>
      </c>
      <c r="AL51" s="97">
        <f t="shared" si="16"/>
        <v>0</v>
      </c>
      <c r="AM51" s="97">
        <f t="shared" si="16"/>
        <v>0</v>
      </c>
      <c r="AN51" s="97">
        <f t="shared" si="16"/>
        <v>0</v>
      </c>
      <c r="AO51" s="97">
        <f t="shared" si="16"/>
        <v>0</v>
      </c>
      <c r="AP51" s="97">
        <f>SUM(AP49:AP50)</f>
        <v>0</v>
      </c>
      <c r="AQ51" s="97">
        <f>SUM(AQ49:AQ50)</f>
        <v>0</v>
      </c>
      <c r="AR51" s="97">
        <f>SUM(AR49:AR50)</f>
        <v>0</v>
      </c>
      <c r="AS51" s="97">
        <f>SUM(AS49:AS50)</f>
        <v>0</v>
      </c>
      <c r="AT51" s="97">
        <f t="shared" si="16"/>
        <v>70000</v>
      </c>
      <c r="AU51" s="97">
        <f t="shared" si="16"/>
        <v>70000</v>
      </c>
      <c r="AV51" s="97">
        <f t="shared" si="16"/>
        <v>0</v>
      </c>
      <c r="AW51" s="97">
        <f t="shared" si="16"/>
        <v>0</v>
      </c>
      <c r="AX51" s="459">
        <f t="shared" si="4"/>
        <v>70000</v>
      </c>
      <c r="AY51" s="459">
        <f t="shared" si="1"/>
        <v>720000</v>
      </c>
    </row>
    <row r="52" spans="1:51" x14ac:dyDescent="0.25">
      <c r="A52" s="143" t="s">
        <v>86</v>
      </c>
      <c r="B52" s="132" t="s">
        <v>299</v>
      </c>
      <c r="C52" s="137" t="s">
        <v>300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8"/>
      <c r="AX52" s="98">
        <f t="shared" si="4"/>
        <v>0</v>
      </c>
      <c r="AY52" s="98">
        <f t="shared" si="1"/>
        <v>0</v>
      </c>
    </row>
    <row r="53" spans="1:51" x14ac:dyDescent="0.25">
      <c r="A53" s="143" t="s">
        <v>87</v>
      </c>
      <c r="B53" s="132" t="s">
        <v>301</v>
      </c>
      <c r="C53" s="137" t="s">
        <v>302</v>
      </c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8"/>
      <c r="AX53" s="98">
        <f t="shared" si="4"/>
        <v>0</v>
      </c>
      <c r="AY53" s="98">
        <f t="shared" si="1"/>
        <v>0</v>
      </c>
    </row>
    <row r="54" spans="1:51" s="153" customFormat="1" x14ac:dyDescent="0.25">
      <c r="A54" s="132" t="s">
        <v>88</v>
      </c>
      <c r="B54" s="135" t="s">
        <v>303</v>
      </c>
      <c r="C54" s="138" t="s">
        <v>304</v>
      </c>
      <c r="D54" s="97">
        <f>SUM(D52:D53)</f>
        <v>0</v>
      </c>
      <c r="E54" s="97">
        <f t="shared" ref="E54:AC54" si="17">SUM(E52:E53)</f>
        <v>0</v>
      </c>
      <c r="F54" s="97">
        <f t="shared" si="17"/>
        <v>0</v>
      </c>
      <c r="G54" s="97">
        <f t="shared" si="17"/>
        <v>0</v>
      </c>
      <c r="H54" s="97">
        <f t="shared" si="17"/>
        <v>0</v>
      </c>
      <c r="I54" s="97">
        <f t="shared" si="17"/>
        <v>0</v>
      </c>
      <c r="J54" s="97">
        <f t="shared" si="17"/>
        <v>0</v>
      </c>
      <c r="K54" s="97">
        <f t="shared" si="17"/>
        <v>0</v>
      </c>
      <c r="L54" s="97">
        <f t="shared" si="17"/>
        <v>0</v>
      </c>
      <c r="M54" s="97">
        <f t="shared" si="17"/>
        <v>0</v>
      </c>
      <c r="N54" s="97">
        <f t="shared" si="17"/>
        <v>0</v>
      </c>
      <c r="O54" s="97">
        <f t="shared" si="17"/>
        <v>0</v>
      </c>
      <c r="P54" s="97">
        <f>SUM(P52:P53)</f>
        <v>0</v>
      </c>
      <c r="Q54" s="97">
        <f>SUM(Q52:Q53)</f>
        <v>0</v>
      </c>
      <c r="R54" s="97">
        <f t="shared" si="17"/>
        <v>0</v>
      </c>
      <c r="S54" s="97">
        <f t="shared" si="17"/>
        <v>0</v>
      </c>
      <c r="T54" s="97">
        <f>SUM(T52:T53)</f>
        <v>0</v>
      </c>
      <c r="U54" s="97">
        <f>SUM(U52:U53)</f>
        <v>0</v>
      </c>
      <c r="V54" s="97">
        <f t="shared" si="17"/>
        <v>0</v>
      </c>
      <c r="W54" s="97">
        <f t="shared" si="17"/>
        <v>0</v>
      </c>
      <c r="X54" s="97">
        <f t="shared" si="17"/>
        <v>0</v>
      </c>
      <c r="Y54" s="97">
        <f t="shared" si="17"/>
        <v>0</v>
      </c>
      <c r="Z54" s="97">
        <f t="shared" si="17"/>
        <v>0</v>
      </c>
      <c r="AA54" s="97">
        <f t="shared" si="17"/>
        <v>0</v>
      </c>
      <c r="AB54" s="97">
        <f t="shared" si="17"/>
        <v>0</v>
      </c>
      <c r="AC54" s="97">
        <f t="shared" si="17"/>
        <v>0</v>
      </c>
      <c r="AD54" s="97">
        <f>SUM(AD52:AD53)</f>
        <v>0</v>
      </c>
      <c r="AE54" s="97">
        <f>SUM(AE52:AE53)</f>
        <v>0</v>
      </c>
      <c r="AF54" s="97">
        <f t="shared" ref="AF54:AW54" si="18">SUM(AF52:AF53)</f>
        <v>0</v>
      </c>
      <c r="AG54" s="97">
        <f t="shared" si="18"/>
        <v>0</v>
      </c>
      <c r="AH54" s="97">
        <f t="shared" si="18"/>
        <v>0</v>
      </c>
      <c r="AI54" s="97">
        <f t="shared" si="18"/>
        <v>0</v>
      </c>
      <c r="AJ54" s="97">
        <f>SUM(AJ52:AJ53)</f>
        <v>0</v>
      </c>
      <c r="AK54" s="97">
        <f>SUM(AK52:AK53)</f>
        <v>0</v>
      </c>
      <c r="AL54" s="97">
        <f t="shared" si="18"/>
        <v>0</v>
      </c>
      <c r="AM54" s="97">
        <f t="shared" si="18"/>
        <v>0</v>
      </c>
      <c r="AN54" s="97">
        <f t="shared" si="18"/>
        <v>0</v>
      </c>
      <c r="AO54" s="97">
        <f t="shared" si="18"/>
        <v>0</v>
      </c>
      <c r="AP54" s="97">
        <f>SUM(AP52:AP53)</f>
        <v>0</v>
      </c>
      <c r="AQ54" s="97">
        <f>SUM(AQ52:AQ53)</f>
        <v>0</v>
      </c>
      <c r="AR54" s="97">
        <f>SUM(AR52:AR53)</f>
        <v>0</v>
      </c>
      <c r="AS54" s="97">
        <f>SUM(AS52:AS53)</f>
        <v>0</v>
      </c>
      <c r="AT54" s="97">
        <f t="shared" si="18"/>
        <v>0</v>
      </c>
      <c r="AU54" s="97">
        <f t="shared" si="18"/>
        <v>0</v>
      </c>
      <c r="AV54" s="97">
        <f t="shared" si="18"/>
        <v>0</v>
      </c>
      <c r="AW54" s="97">
        <f t="shared" si="18"/>
        <v>0</v>
      </c>
      <c r="AX54" s="459">
        <f t="shared" si="4"/>
        <v>0</v>
      </c>
      <c r="AY54" s="459">
        <f t="shared" si="1"/>
        <v>0</v>
      </c>
    </row>
    <row r="55" spans="1:51" s="146" customFormat="1" x14ac:dyDescent="0.25">
      <c r="A55" s="143" t="s">
        <v>135</v>
      </c>
      <c r="B55" s="132" t="s">
        <v>305</v>
      </c>
      <c r="C55" s="137" t="s">
        <v>306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8"/>
      <c r="AX55" s="98">
        <f t="shared" si="4"/>
        <v>0</v>
      </c>
      <c r="AY55" s="98">
        <f t="shared" si="1"/>
        <v>0</v>
      </c>
    </row>
    <row r="56" spans="1:51" s="146" customFormat="1" x14ac:dyDescent="0.25">
      <c r="A56" s="143" t="s">
        <v>136</v>
      </c>
      <c r="B56" s="132" t="s">
        <v>307</v>
      </c>
      <c r="C56" s="137" t="s">
        <v>308</v>
      </c>
      <c r="D56" s="96"/>
      <c r="E56" s="96"/>
      <c r="F56" s="96">
        <v>12283901</v>
      </c>
      <c r="G56" s="96">
        <v>11268295</v>
      </c>
      <c r="H56" s="96"/>
      <c r="I56" s="96"/>
      <c r="J56" s="96"/>
      <c r="K56" s="96"/>
      <c r="L56" s="96">
        <v>400180</v>
      </c>
      <c r="M56" s="96">
        <v>400180</v>
      </c>
      <c r="N56" s="96"/>
      <c r="O56" s="96"/>
      <c r="P56" s="96">
        <v>19959228</v>
      </c>
      <c r="Q56" s="96">
        <v>19959228</v>
      </c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>
        <v>8923413</v>
      </c>
      <c r="AO56" s="96">
        <v>8923413</v>
      </c>
      <c r="AP56" s="96"/>
      <c r="AQ56" s="96"/>
      <c r="AR56" s="96"/>
      <c r="AS56" s="96"/>
      <c r="AT56" s="96"/>
      <c r="AU56" s="96"/>
      <c r="AV56" s="96">
        <v>2731169</v>
      </c>
      <c r="AW56" s="96">
        <v>2731169</v>
      </c>
      <c r="AX56" s="98">
        <f t="shared" si="4"/>
        <v>44297891</v>
      </c>
      <c r="AY56" s="98">
        <f t="shared" si="1"/>
        <v>43282285</v>
      </c>
    </row>
    <row r="57" spans="1:51" s="146" customFormat="1" x14ac:dyDescent="0.25">
      <c r="A57" s="143" t="s">
        <v>89</v>
      </c>
      <c r="B57" s="132" t="s">
        <v>800</v>
      </c>
      <c r="C57" s="137" t="s">
        <v>801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>
        <v>3214395</v>
      </c>
      <c r="AX57" s="98">
        <f t="shared" si="4"/>
        <v>0</v>
      </c>
      <c r="AY57" s="98">
        <f t="shared" si="1"/>
        <v>3214395</v>
      </c>
    </row>
    <row r="58" spans="1:51" s="153" customFormat="1" x14ac:dyDescent="0.25">
      <c r="A58" s="143" t="s">
        <v>90</v>
      </c>
      <c r="B58" s="135" t="s">
        <v>309</v>
      </c>
      <c r="C58" s="138" t="s">
        <v>310</v>
      </c>
      <c r="D58" s="97">
        <f t="shared" ref="D58:AV58" si="19">SUM(D55:D57)</f>
        <v>0</v>
      </c>
      <c r="E58" s="97">
        <f t="shared" si="19"/>
        <v>0</v>
      </c>
      <c r="F58" s="97">
        <f t="shared" si="19"/>
        <v>12283901</v>
      </c>
      <c r="G58" s="97">
        <f t="shared" si="19"/>
        <v>11268295</v>
      </c>
      <c r="H58" s="97">
        <f t="shared" si="19"/>
        <v>0</v>
      </c>
      <c r="I58" s="97">
        <f t="shared" si="19"/>
        <v>0</v>
      </c>
      <c r="J58" s="97">
        <f t="shared" si="19"/>
        <v>0</v>
      </c>
      <c r="K58" s="97">
        <f t="shared" si="19"/>
        <v>0</v>
      </c>
      <c r="L58" s="97">
        <f t="shared" si="19"/>
        <v>400180</v>
      </c>
      <c r="M58" s="97">
        <f t="shared" si="19"/>
        <v>400180</v>
      </c>
      <c r="N58" s="97">
        <f t="shared" si="19"/>
        <v>0</v>
      </c>
      <c r="O58" s="97">
        <f t="shared" si="19"/>
        <v>0</v>
      </c>
      <c r="P58" s="97">
        <f t="shared" si="19"/>
        <v>19959228</v>
      </c>
      <c r="Q58" s="97">
        <f t="shared" si="19"/>
        <v>19959228</v>
      </c>
      <c r="R58" s="97">
        <f t="shared" si="19"/>
        <v>0</v>
      </c>
      <c r="S58" s="97">
        <f t="shared" si="19"/>
        <v>0</v>
      </c>
      <c r="T58" s="97">
        <f t="shared" si="19"/>
        <v>0</v>
      </c>
      <c r="U58" s="97">
        <f t="shared" si="19"/>
        <v>0</v>
      </c>
      <c r="V58" s="97">
        <f t="shared" si="19"/>
        <v>0</v>
      </c>
      <c r="W58" s="97">
        <f t="shared" si="19"/>
        <v>0</v>
      </c>
      <c r="X58" s="97">
        <f t="shared" si="19"/>
        <v>0</v>
      </c>
      <c r="Y58" s="97">
        <f t="shared" si="19"/>
        <v>0</v>
      </c>
      <c r="Z58" s="97">
        <f t="shared" si="19"/>
        <v>0</v>
      </c>
      <c r="AA58" s="97">
        <f t="shared" si="19"/>
        <v>0</v>
      </c>
      <c r="AB58" s="97">
        <f t="shared" si="19"/>
        <v>0</v>
      </c>
      <c r="AC58" s="97">
        <f t="shared" si="19"/>
        <v>0</v>
      </c>
      <c r="AD58" s="97">
        <f t="shared" si="19"/>
        <v>0</v>
      </c>
      <c r="AE58" s="97">
        <f t="shared" si="19"/>
        <v>0</v>
      </c>
      <c r="AF58" s="97">
        <f t="shared" si="19"/>
        <v>0</v>
      </c>
      <c r="AG58" s="97">
        <f t="shared" si="19"/>
        <v>0</v>
      </c>
      <c r="AH58" s="97">
        <f t="shared" si="19"/>
        <v>0</v>
      </c>
      <c r="AI58" s="97">
        <f t="shared" si="19"/>
        <v>0</v>
      </c>
      <c r="AJ58" s="97">
        <f t="shared" si="19"/>
        <v>0</v>
      </c>
      <c r="AK58" s="97">
        <f t="shared" si="19"/>
        <v>0</v>
      </c>
      <c r="AL58" s="97">
        <f t="shared" si="19"/>
        <v>0</v>
      </c>
      <c r="AM58" s="97">
        <f t="shared" si="19"/>
        <v>0</v>
      </c>
      <c r="AN58" s="97">
        <f t="shared" si="19"/>
        <v>8923413</v>
      </c>
      <c r="AO58" s="97">
        <f t="shared" si="19"/>
        <v>8923413</v>
      </c>
      <c r="AP58" s="97">
        <f t="shared" si="19"/>
        <v>0</v>
      </c>
      <c r="AQ58" s="97">
        <f t="shared" si="19"/>
        <v>0</v>
      </c>
      <c r="AR58" s="97">
        <f t="shared" si="19"/>
        <v>0</v>
      </c>
      <c r="AS58" s="97">
        <f t="shared" si="19"/>
        <v>0</v>
      </c>
      <c r="AT58" s="97">
        <f t="shared" si="19"/>
        <v>0</v>
      </c>
      <c r="AU58" s="97">
        <f t="shared" si="19"/>
        <v>0</v>
      </c>
      <c r="AV58" s="97">
        <f t="shared" si="19"/>
        <v>2731169</v>
      </c>
      <c r="AW58" s="97">
        <f>SUM(AW55:AW57)</f>
        <v>5945564</v>
      </c>
      <c r="AX58" s="459">
        <f>D58+F58+H58+J58+L58+N58+P58+R58+T58+V58+X58+Z58+AB58+AD58+AF58+AH58+AL58+AN58+AP58+AR58+AT58+AV58</f>
        <v>44297891</v>
      </c>
      <c r="AY58" s="459">
        <f>E58+G58+I58+K58+M58+O58+Q58+S58+U58+W58+Y58+AA58+AC58+AE58+AG58+AI58+AM58+AO58+AQ58+AS58+AU58+AW58</f>
        <v>46496680</v>
      </c>
    </row>
    <row r="59" spans="1:51" s="153" customFormat="1" ht="24.75" customHeight="1" x14ac:dyDescent="0.25">
      <c r="A59" s="107"/>
      <c r="B59" s="784" t="s">
        <v>311</v>
      </c>
      <c r="C59" s="785"/>
      <c r="D59" s="97">
        <f>D23+D28+D34+D45+D48+D51+D54+D58</f>
        <v>9250000</v>
      </c>
      <c r="E59" s="97">
        <f t="shared" ref="E59:AC59" si="20">E23+E28+E34+E45+E48+E51+E54+E58</f>
        <v>11363991</v>
      </c>
      <c r="F59" s="97">
        <f t="shared" si="20"/>
        <v>19208268</v>
      </c>
      <c r="G59" s="97">
        <f t="shared" si="20"/>
        <v>18276504.109999999</v>
      </c>
      <c r="H59" s="97">
        <f t="shared" si="20"/>
        <v>1163911</v>
      </c>
      <c r="I59" s="97">
        <f t="shared" si="20"/>
        <v>1264711</v>
      </c>
      <c r="J59" s="97">
        <f t="shared" si="20"/>
        <v>1000000</v>
      </c>
      <c r="K59" s="97">
        <f t="shared" si="20"/>
        <v>6552400</v>
      </c>
      <c r="L59" s="97">
        <f t="shared" si="20"/>
        <v>17789276</v>
      </c>
      <c r="M59" s="97">
        <f t="shared" si="20"/>
        <v>16185131</v>
      </c>
      <c r="N59" s="97">
        <f t="shared" si="20"/>
        <v>910270</v>
      </c>
      <c r="O59" s="97">
        <f t="shared" si="20"/>
        <v>910270</v>
      </c>
      <c r="P59" s="97">
        <f>P23+P28+P34+P45+P48+P51+P54+P58</f>
        <v>19959228</v>
      </c>
      <c r="Q59" s="97">
        <f>Q23+Q28+Q34+Q45+Q48+Q51+Q54+Q58</f>
        <v>53505972</v>
      </c>
      <c r="R59" s="97">
        <f t="shared" si="20"/>
        <v>3648000</v>
      </c>
      <c r="S59" s="97">
        <f t="shared" si="20"/>
        <v>3648000</v>
      </c>
      <c r="T59" s="97">
        <f>T23+T28+T34+T45+T48+T51+T54+T58</f>
        <v>3545640</v>
      </c>
      <c r="U59" s="97">
        <f>U23+U28+U34+U45+U48+U51+U54+U58</f>
        <v>3577390</v>
      </c>
      <c r="V59" s="97">
        <f t="shared" si="20"/>
        <v>6613750</v>
      </c>
      <c r="W59" s="97">
        <f t="shared" si="20"/>
        <v>8179539</v>
      </c>
      <c r="X59" s="97">
        <f t="shared" si="20"/>
        <v>0</v>
      </c>
      <c r="Y59" s="97">
        <f t="shared" si="20"/>
        <v>0</v>
      </c>
      <c r="Z59" s="97">
        <f t="shared" si="20"/>
        <v>0</v>
      </c>
      <c r="AA59" s="97">
        <f t="shared" si="20"/>
        <v>0</v>
      </c>
      <c r="AB59" s="97">
        <f t="shared" si="20"/>
        <v>0</v>
      </c>
      <c r="AC59" s="97">
        <f t="shared" si="20"/>
        <v>0</v>
      </c>
      <c r="AD59" s="97">
        <f>AD23+AD28+AD34+AD45+AD48+AD51+AD54+AD58</f>
        <v>81600</v>
      </c>
      <c r="AE59" s="97">
        <f>AE23+AE28+AE34+AE45+AE48+AE51+AE54+AE58</f>
        <v>86400</v>
      </c>
      <c r="AF59" s="97">
        <f t="shared" ref="AF59:AW59" si="21">AF23+AF28+AF34+AF45+AF48+AF51+AF54+AF58</f>
        <v>2200000</v>
      </c>
      <c r="AG59" s="97">
        <f t="shared" si="21"/>
        <v>3336610</v>
      </c>
      <c r="AH59" s="97">
        <f t="shared" si="21"/>
        <v>0</v>
      </c>
      <c r="AI59" s="97">
        <f t="shared" si="21"/>
        <v>0</v>
      </c>
      <c r="AJ59" s="97">
        <f>AJ23+AJ28+AJ34+AJ45+AJ48+AJ51+AJ54+AJ58</f>
        <v>0</v>
      </c>
      <c r="AK59" s="97">
        <f>AK23+AK28+AK34+AK45+AK48+AK51+AK54+AK58</f>
        <v>0</v>
      </c>
      <c r="AL59" s="97">
        <f t="shared" si="21"/>
        <v>21078850</v>
      </c>
      <c r="AM59" s="97">
        <f t="shared" si="21"/>
        <v>23313418</v>
      </c>
      <c r="AN59" s="97">
        <f t="shared" si="21"/>
        <v>28122652</v>
      </c>
      <c r="AO59" s="97">
        <f t="shared" si="21"/>
        <v>28733423</v>
      </c>
      <c r="AP59" s="97">
        <f>AP23+AP28+AP34+AP45+AP48+AP51+AP54+AP58</f>
        <v>480000</v>
      </c>
      <c r="AQ59" s="97">
        <f>AQ23+AQ28+AQ34+AQ45+AQ48+AQ51+AQ54+AQ58</f>
        <v>777000</v>
      </c>
      <c r="AR59" s="97">
        <f>AR23+AR28+AR34+AR45+AR48+AR51+AR54+AR58</f>
        <v>4003111</v>
      </c>
      <c r="AS59" s="97">
        <f>AS23+AS28+AS34+AS45+AS48+AS51+AS54+AS58</f>
        <v>4377150.5</v>
      </c>
      <c r="AT59" s="97">
        <f t="shared" si="21"/>
        <v>5176876</v>
      </c>
      <c r="AU59" s="97">
        <f t="shared" si="21"/>
        <v>5176876</v>
      </c>
      <c r="AV59" s="97">
        <f t="shared" si="21"/>
        <v>2731169</v>
      </c>
      <c r="AW59" s="97">
        <f t="shared" si="21"/>
        <v>7134394</v>
      </c>
      <c r="AX59" s="459">
        <f>D59+F59+H59+J59+L59+N59+P59+R59+T59+V59+X59+Z59+AB59+AD59+AF59+AH59+AL59+AN59+AP59+AR59+AT59+AV59</f>
        <v>146962601</v>
      </c>
      <c r="AY59" s="459">
        <f t="shared" si="1"/>
        <v>196399179.61000001</v>
      </c>
    </row>
    <row r="60" spans="1:51" x14ac:dyDescent="0.25">
      <c r="B60" s="139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</row>
    <row r="61" spans="1:51" ht="13.5" customHeight="1" x14ac:dyDescent="0.25">
      <c r="A61" s="129" t="s">
        <v>312</v>
      </c>
      <c r="B61" s="129"/>
      <c r="C61" s="129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</row>
    <row r="62" spans="1:51" s="154" customFormat="1" ht="14.25" customHeight="1" x14ac:dyDescent="0.25">
      <c r="A62" s="141"/>
      <c r="B62" s="780"/>
      <c r="C62" s="780"/>
      <c r="D62" s="754" t="s">
        <v>481</v>
      </c>
      <c r="E62" s="755"/>
      <c r="F62" s="750" t="s">
        <v>169</v>
      </c>
      <c r="G62" s="751"/>
      <c r="H62" s="750" t="s">
        <v>170</v>
      </c>
      <c r="I62" s="751"/>
      <c r="J62" s="750" t="s">
        <v>171</v>
      </c>
      <c r="K62" s="751"/>
      <c r="L62" s="750" t="s">
        <v>605</v>
      </c>
      <c r="M62" s="751"/>
      <c r="N62" s="750" t="s">
        <v>172</v>
      </c>
      <c r="O62" s="751"/>
      <c r="P62" s="750" t="s">
        <v>664</v>
      </c>
      <c r="Q62" s="751"/>
      <c r="R62" s="750" t="s">
        <v>173</v>
      </c>
      <c r="S62" s="751"/>
      <c r="T62" s="750" t="s">
        <v>649</v>
      </c>
      <c r="U62" s="751"/>
      <c r="V62" s="750" t="s">
        <v>174</v>
      </c>
      <c r="W62" s="751"/>
      <c r="X62" s="750" t="s">
        <v>175</v>
      </c>
      <c r="Y62" s="751"/>
      <c r="Z62" s="750" t="s">
        <v>176</v>
      </c>
      <c r="AA62" s="751"/>
      <c r="AB62" s="750" t="s">
        <v>177</v>
      </c>
      <c r="AC62" s="751"/>
      <c r="AD62" s="750" t="s">
        <v>659</v>
      </c>
      <c r="AE62" s="751"/>
      <c r="AF62" s="750" t="s">
        <v>591</v>
      </c>
      <c r="AG62" s="751"/>
      <c r="AH62" s="750" t="s">
        <v>178</v>
      </c>
      <c r="AI62" s="751"/>
      <c r="AJ62" s="750" t="s">
        <v>727</v>
      </c>
      <c r="AK62" s="751"/>
      <c r="AL62" s="750" t="s">
        <v>179</v>
      </c>
      <c r="AM62" s="751"/>
      <c r="AN62" s="754" t="s">
        <v>168</v>
      </c>
      <c r="AO62" s="755"/>
      <c r="AP62" s="750" t="s">
        <v>652</v>
      </c>
      <c r="AQ62" s="751"/>
      <c r="AR62" s="750" t="s">
        <v>647</v>
      </c>
      <c r="AS62" s="751"/>
      <c r="AT62" s="750" t="s">
        <v>180</v>
      </c>
      <c r="AU62" s="751"/>
      <c r="AV62" s="754" t="s">
        <v>181</v>
      </c>
      <c r="AW62" s="755"/>
      <c r="AX62" s="418"/>
      <c r="AY62" s="419"/>
    </row>
    <row r="63" spans="1:51" s="152" customFormat="1" ht="14.25" customHeight="1" x14ac:dyDescent="0.25">
      <c r="A63" s="130"/>
      <c r="B63" s="782" t="s">
        <v>183</v>
      </c>
      <c r="C63" s="783"/>
      <c r="D63" s="760" t="s">
        <v>482</v>
      </c>
      <c r="E63" s="761"/>
      <c r="F63" s="752" t="s">
        <v>186</v>
      </c>
      <c r="G63" s="753"/>
      <c r="H63" s="752" t="s">
        <v>187</v>
      </c>
      <c r="I63" s="753"/>
      <c r="J63" s="752" t="s">
        <v>188</v>
      </c>
      <c r="K63" s="753"/>
      <c r="L63" s="752" t="s">
        <v>189</v>
      </c>
      <c r="M63" s="753"/>
      <c r="N63" s="752" t="s">
        <v>190</v>
      </c>
      <c r="O63" s="753"/>
      <c r="P63" s="752" t="s">
        <v>665</v>
      </c>
      <c r="Q63" s="753"/>
      <c r="R63" s="752" t="s">
        <v>191</v>
      </c>
      <c r="S63" s="753"/>
      <c r="T63" s="752" t="s">
        <v>651</v>
      </c>
      <c r="U63" s="753"/>
      <c r="V63" s="752" t="s">
        <v>192</v>
      </c>
      <c r="W63" s="753"/>
      <c r="X63" s="752" t="s">
        <v>193</v>
      </c>
      <c r="Y63" s="753"/>
      <c r="Z63" s="752" t="s">
        <v>193</v>
      </c>
      <c r="AA63" s="753"/>
      <c r="AB63" s="752" t="s">
        <v>194</v>
      </c>
      <c r="AC63" s="753"/>
      <c r="AD63" s="752" t="s">
        <v>660</v>
      </c>
      <c r="AE63" s="753"/>
      <c r="AF63" s="752" t="s">
        <v>195</v>
      </c>
      <c r="AG63" s="753"/>
      <c r="AH63" s="752" t="s">
        <v>196</v>
      </c>
      <c r="AI63" s="753"/>
      <c r="AJ63" s="752" t="s">
        <v>728</v>
      </c>
      <c r="AK63" s="753"/>
      <c r="AL63" s="752" t="s">
        <v>197</v>
      </c>
      <c r="AM63" s="753"/>
      <c r="AN63" s="760" t="s">
        <v>582</v>
      </c>
      <c r="AO63" s="761"/>
      <c r="AP63" s="752" t="s">
        <v>655</v>
      </c>
      <c r="AQ63" s="753"/>
      <c r="AR63" s="752" t="s">
        <v>648</v>
      </c>
      <c r="AS63" s="753"/>
      <c r="AT63" s="752" t="s">
        <v>198</v>
      </c>
      <c r="AU63" s="753"/>
      <c r="AV63" s="760" t="s">
        <v>199</v>
      </c>
      <c r="AW63" s="761"/>
      <c r="AX63" s="414"/>
      <c r="AY63" s="415"/>
    </row>
    <row r="64" spans="1:51" s="152" customFormat="1" ht="14.25" customHeight="1" x14ac:dyDescent="0.25">
      <c r="A64" s="130"/>
      <c r="B64" s="742"/>
      <c r="C64" s="743"/>
      <c r="D64" s="762" t="s">
        <v>483</v>
      </c>
      <c r="E64" s="763"/>
      <c r="F64" s="742" t="s">
        <v>203</v>
      </c>
      <c r="G64" s="743"/>
      <c r="H64" s="742" t="s">
        <v>204</v>
      </c>
      <c r="I64" s="743"/>
      <c r="J64" s="742" t="s">
        <v>205</v>
      </c>
      <c r="K64" s="743"/>
      <c r="L64" s="742" t="s">
        <v>206</v>
      </c>
      <c r="M64" s="743"/>
      <c r="N64" s="742" t="s">
        <v>207</v>
      </c>
      <c r="O64" s="743"/>
      <c r="P64" s="742" t="s">
        <v>666</v>
      </c>
      <c r="Q64" s="743"/>
      <c r="R64" s="742"/>
      <c r="S64" s="743"/>
      <c r="T64" s="742" t="s">
        <v>208</v>
      </c>
      <c r="U64" s="743"/>
      <c r="V64" s="742" t="s">
        <v>208</v>
      </c>
      <c r="W64" s="743"/>
      <c r="X64" s="742" t="s">
        <v>209</v>
      </c>
      <c r="Y64" s="743"/>
      <c r="Z64" s="742" t="s">
        <v>210</v>
      </c>
      <c r="AA64" s="743"/>
      <c r="AB64" s="742" t="s">
        <v>210</v>
      </c>
      <c r="AC64" s="743"/>
      <c r="AD64" s="742" t="s">
        <v>661</v>
      </c>
      <c r="AE64" s="743"/>
      <c r="AF64" s="742"/>
      <c r="AG64" s="743"/>
      <c r="AH64" s="742" t="s">
        <v>211</v>
      </c>
      <c r="AI64" s="743"/>
      <c r="AJ64" s="742" t="s">
        <v>729</v>
      </c>
      <c r="AK64" s="743"/>
      <c r="AL64" s="742" t="s">
        <v>212</v>
      </c>
      <c r="AM64" s="743"/>
      <c r="AN64" s="762" t="s">
        <v>221</v>
      </c>
      <c r="AO64" s="763"/>
      <c r="AP64" s="742" t="s">
        <v>656</v>
      </c>
      <c r="AQ64" s="743"/>
      <c r="AR64" s="742" t="s">
        <v>224</v>
      </c>
      <c r="AS64" s="743"/>
      <c r="AT64" s="742" t="s">
        <v>213</v>
      </c>
      <c r="AU64" s="743"/>
      <c r="AV64" s="762" t="s">
        <v>486</v>
      </c>
      <c r="AW64" s="763"/>
      <c r="AX64" s="416"/>
      <c r="AY64" s="417"/>
    </row>
    <row r="65" spans="1:51" ht="15" customHeight="1" x14ac:dyDescent="0.25">
      <c r="A65" s="766" t="s">
        <v>214</v>
      </c>
      <c r="B65" s="766" t="s">
        <v>215</v>
      </c>
      <c r="C65" s="142"/>
      <c r="D65" s="744"/>
      <c r="E65" s="745"/>
      <c r="F65" s="744"/>
      <c r="G65" s="745"/>
      <c r="H65" s="744"/>
      <c r="I65" s="745"/>
      <c r="J65" s="744">
        <v>680002</v>
      </c>
      <c r="K65" s="745"/>
      <c r="L65" s="744"/>
      <c r="M65" s="745"/>
      <c r="N65" s="744"/>
      <c r="O65" s="745"/>
      <c r="P65" s="773"/>
      <c r="Q65" s="774"/>
      <c r="R65" s="744"/>
      <c r="S65" s="745"/>
      <c r="T65" s="744"/>
      <c r="U65" s="745"/>
      <c r="V65" s="744"/>
      <c r="W65" s="745"/>
      <c r="X65" s="744"/>
      <c r="Y65" s="745"/>
      <c r="Z65" s="744"/>
      <c r="AA65" s="745"/>
      <c r="AB65" s="771"/>
      <c r="AC65" s="772"/>
      <c r="AD65" s="744"/>
      <c r="AE65" s="745"/>
      <c r="AF65" s="744">
        <v>910501</v>
      </c>
      <c r="AG65" s="745"/>
      <c r="AH65" s="744"/>
      <c r="AI65" s="745"/>
      <c r="AJ65" s="744"/>
      <c r="AK65" s="745"/>
      <c r="AL65" s="744"/>
      <c r="AM65" s="745"/>
      <c r="AN65" s="764"/>
      <c r="AO65" s="765"/>
      <c r="AP65" s="744"/>
      <c r="AQ65" s="745"/>
      <c r="AR65" s="744"/>
      <c r="AS65" s="745"/>
      <c r="AT65" s="744"/>
      <c r="AU65" s="745"/>
      <c r="AV65" s="744"/>
      <c r="AW65" s="745"/>
      <c r="AX65" s="758" t="s">
        <v>644</v>
      </c>
      <c r="AY65" s="759"/>
    </row>
    <row r="66" spans="1:51" s="146" customFormat="1" ht="15.75" customHeight="1" x14ac:dyDescent="0.25">
      <c r="A66" s="767"/>
      <c r="B66" s="767"/>
      <c r="C66" s="133" t="s">
        <v>1</v>
      </c>
      <c r="D66" s="746" t="s">
        <v>484</v>
      </c>
      <c r="E66" s="747"/>
      <c r="F66" s="746" t="s">
        <v>186</v>
      </c>
      <c r="G66" s="747"/>
      <c r="H66" s="746" t="s">
        <v>187</v>
      </c>
      <c r="I66" s="747"/>
      <c r="J66" s="746" t="s">
        <v>218</v>
      </c>
      <c r="K66" s="747"/>
      <c r="L66" s="746" t="s">
        <v>645</v>
      </c>
      <c r="M66" s="747"/>
      <c r="N66" s="746" t="s">
        <v>190</v>
      </c>
      <c r="O66" s="747"/>
      <c r="P66" s="746" t="s">
        <v>667</v>
      </c>
      <c r="Q66" s="747"/>
      <c r="R66" s="746" t="s">
        <v>191</v>
      </c>
      <c r="S66" s="747"/>
      <c r="T66" s="746" t="s">
        <v>651</v>
      </c>
      <c r="U66" s="747"/>
      <c r="V66" s="746" t="s">
        <v>219</v>
      </c>
      <c r="W66" s="747"/>
      <c r="X66" s="746" t="s">
        <v>193</v>
      </c>
      <c r="Y66" s="747"/>
      <c r="Z66" s="746" t="s">
        <v>193</v>
      </c>
      <c r="AA66" s="747"/>
      <c r="AB66" s="746" t="s">
        <v>194</v>
      </c>
      <c r="AC66" s="747"/>
      <c r="AD66" s="746" t="s">
        <v>662</v>
      </c>
      <c r="AE66" s="747"/>
      <c r="AF66" s="746" t="s">
        <v>646</v>
      </c>
      <c r="AG66" s="747"/>
      <c r="AH66" s="746" t="s">
        <v>196</v>
      </c>
      <c r="AI66" s="747"/>
      <c r="AJ66" s="746" t="s">
        <v>730</v>
      </c>
      <c r="AK66" s="747"/>
      <c r="AL66" s="746" t="s">
        <v>197</v>
      </c>
      <c r="AM66" s="747"/>
      <c r="AN66" s="746" t="s">
        <v>583</v>
      </c>
      <c r="AO66" s="747"/>
      <c r="AP66" s="746" t="s">
        <v>657</v>
      </c>
      <c r="AQ66" s="747"/>
      <c r="AR66" s="746" t="s">
        <v>648</v>
      </c>
      <c r="AS66" s="747"/>
      <c r="AT66" s="746" t="s">
        <v>198</v>
      </c>
      <c r="AU66" s="747"/>
      <c r="AV66" s="746" t="s">
        <v>199</v>
      </c>
      <c r="AW66" s="747"/>
      <c r="AX66" s="756" t="s">
        <v>67</v>
      </c>
      <c r="AY66" s="757"/>
    </row>
    <row r="67" spans="1:51" s="146" customFormat="1" x14ac:dyDescent="0.25">
      <c r="A67" s="767"/>
      <c r="B67" s="767"/>
      <c r="C67" s="769"/>
      <c r="D67" s="748"/>
      <c r="E67" s="749"/>
      <c r="F67" s="748" t="s">
        <v>203</v>
      </c>
      <c r="G67" s="749"/>
      <c r="H67" s="748"/>
      <c r="I67" s="749"/>
      <c r="J67" s="748" t="s">
        <v>222</v>
      </c>
      <c r="K67" s="749"/>
      <c r="L67" s="748" t="s">
        <v>223</v>
      </c>
      <c r="M67" s="749"/>
      <c r="N67" s="748" t="s">
        <v>207</v>
      </c>
      <c r="O67" s="749"/>
      <c r="P67" s="748" t="s">
        <v>757</v>
      </c>
      <c r="Q67" s="749"/>
      <c r="R67" s="748"/>
      <c r="S67" s="749"/>
      <c r="T67" s="748" t="s">
        <v>208</v>
      </c>
      <c r="U67" s="749"/>
      <c r="V67" s="748" t="s">
        <v>208</v>
      </c>
      <c r="W67" s="749"/>
      <c r="X67" s="748" t="s">
        <v>209</v>
      </c>
      <c r="Y67" s="749"/>
      <c r="Z67" s="748" t="s">
        <v>210</v>
      </c>
      <c r="AA67" s="749"/>
      <c r="AB67" s="748" t="s">
        <v>210</v>
      </c>
      <c r="AC67" s="749"/>
      <c r="AD67" s="748" t="s">
        <v>663</v>
      </c>
      <c r="AE67" s="749"/>
      <c r="AF67" s="748"/>
      <c r="AG67" s="749"/>
      <c r="AH67" s="748" t="s">
        <v>211</v>
      </c>
      <c r="AI67" s="749"/>
      <c r="AJ67" s="748" t="s">
        <v>211</v>
      </c>
      <c r="AK67" s="749"/>
      <c r="AL67" s="748" t="s">
        <v>212</v>
      </c>
      <c r="AM67" s="749"/>
      <c r="AN67" s="748" t="s">
        <v>225</v>
      </c>
      <c r="AO67" s="749"/>
      <c r="AP67" s="748" t="s">
        <v>658</v>
      </c>
      <c r="AQ67" s="749"/>
      <c r="AR67" s="748" t="s">
        <v>224</v>
      </c>
      <c r="AS67" s="749"/>
      <c r="AT67" s="748" t="s">
        <v>213</v>
      </c>
      <c r="AU67" s="749"/>
      <c r="AV67" s="748" t="s">
        <v>486</v>
      </c>
      <c r="AW67" s="749"/>
      <c r="AX67" s="748" t="s">
        <v>226</v>
      </c>
      <c r="AY67" s="749"/>
    </row>
    <row r="68" spans="1:51" s="146" customFormat="1" ht="25.5" customHeight="1" x14ac:dyDescent="0.25">
      <c r="A68" s="768"/>
      <c r="B68" s="768"/>
      <c r="C68" s="770"/>
      <c r="D68" s="389" t="s">
        <v>625</v>
      </c>
      <c r="E68" s="389" t="s">
        <v>626</v>
      </c>
      <c r="F68" s="389" t="s">
        <v>625</v>
      </c>
      <c r="G68" s="389" t="s">
        <v>626</v>
      </c>
      <c r="H68" s="389" t="s">
        <v>625</v>
      </c>
      <c r="I68" s="389" t="s">
        <v>626</v>
      </c>
      <c r="J68" s="389" t="s">
        <v>625</v>
      </c>
      <c r="K68" s="389" t="s">
        <v>626</v>
      </c>
      <c r="L68" s="389" t="s">
        <v>625</v>
      </c>
      <c r="M68" s="389" t="s">
        <v>626</v>
      </c>
      <c r="N68" s="389" t="s">
        <v>625</v>
      </c>
      <c r="O68" s="389" t="s">
        <v>626</v>
      </c>
      <c r="P68" s="389" t="s">
        <v>625</v>
      </c>
      <c r="Q68" s="389" t="s">
        <v>626</v>
      </c>
      <c r="R68" s="389" t="s">
        <v>625</v>
      </c>
      <c r="S68" s="389" t="s">
        <v>626</v>
      </c>
      <c r="T68" s="389" t="s">
        <v>625</v>
      </c>
      <c r="U68" s="389" t="s">
        <v>626</v>
      </c>
      <c r="V68" s="389" t="s">
        <v>625</v>
      </c>
      <c r="W68" s="389" t="s">
        <v>626</v>
      </c>
      <c r="X68" s="389" t="s">
        <v>625</v>
      </c>
      <c r="Y68" s="389" t="s">
        <v>626</v>
      </c>
      <c r="Z68" s="389" t="s">
        <v>625</v>
      </c>
      <c r="AA68" s="389" t="s">
        <v>626</v>
      </c>
      <c r="AB68" s="389" t="s">
        <v>625</v>
      </c>
      <c r="AC68" s="389" t="s">
        <v>626</v>
      </c>
      <c r="AD68" s="389" t="s">
        <v>625</v>
      </c>
      <c r="AE68" s="389" t="s">
        <v>626</v>
      </c>
      <c r="AF68" s="389" t="s">
        <v>625</v>
      </c>
      <c r="AG68" s="389" t="s">
        <v>626</v>
      </c>
      <c r="AH68" s="389" t="s">
        <v>625</v>
      </c>
      <c r="AI68" s="389" t="s">
        <v>626</v>
      </c>
      <c r="AJ68" s="389" t="s">
        <v>625</v>
      </c>
      <c r="AK68" s="389" t="s">
        <v>626</v>
      </c>
      <c r="AL68" s="389" t="s">
        <v>625</v>
      </c>
      <c r="AM68" s="389" t="s">
        <v>626</v>
      </c>
      <c r="AN68" s="389" t="s">
        <v>625</v>
      </c>
      <c r="AO68" s="389" t="s">
        <v>626</v>
      </c>
      <c r="AP68" s="389" t="s">
        <v>625</v>
      </c>
      <c r="AQ68" s="389" t="s">
        <v>626</v>
      </c>
      <c r="AR68" s="389" t="s">
        <v>625</v>
      </c>
      <c r="AS68" s="389" t="s">
        <v>626</v>
      </c>
      <c r="AT68" s="389" t="s">
        <v>625</v>
      </c>
      <c r="AU68" s="389" t="s">
        <v>626</v>
      </c>
      <c r="AV68" s="389" t="s">
        <v>625</v>
      </c>
      <c r="AW68" s="389" t="s">
        <v>626</v>
      </c>
      <c r="AX68" s="389" t="s">
        <v>625</v>
      </c>
      <c r="AY68" s="389" t="s">
        <v>626</v>
      </c>
    </row>
    <row r="69" spans="1:51" ht="14.25" customHeight="1" x14ac:dyDescent="0.25">
      <c r="A69" s="143" t="s">
        <v>0</v>
      </c>
      <c r="B69" s="143" t="s">
        <v>313</v>
      </c>
      <c r="C69" s="144" t="s">
        <v>314</v>
      </c>
      <c r="D69" s="99"/>
      <c r="E69" s="99"/>
      <c r="F69" s="99"/>
      <c r="G69" s="99"/>
      <c r="H69" s="99"/>
      <c r="I69" s="99"/>
      <c r="J69" s="99"/>
      <c r="K69" s="99"/>
      <c r="L69" s="99">
        <v>13395660</v>
      </c>
      <c r="M69" s="99">
        <v>12706792</v>
      </c>
      <c r="N69" s="99"/>
      <c r="O69" s="99"/>
      <c r="P69" s="99"/>
      <c r="Q69" s="99"/>
      <c r="R69" s="99"/>
      <c r="S69" s="99"/>
      <c r="T69" s="99">
        <f>218700+228700*11</f>
        <v>2734400</v>
      </c>
      <c r="U69" s="99">
        <v>1820000</v>
      </c>
      <c r="V69" s="99"/>
      <c r="W69" s="99">
        <v>121013</v>
      </c>
      <c r="X69" s="99"/>
      <c r="Y69" s="99"/>
      <c r="Z69" s="99"/>
      <c r="AA69" s="99"/>
      <c r="AB69" s="99"/>
      <c r="AC69" s="99"/>
      <c r="AD69" s="99"/>
      <c r="AE69" s="99"/>
      <c r="AF69" s="99">
        <f>195000+210600*11</f>
        <v>2511600</v>
      </c>
      <c r="AG69" s="99">
        <f>195000+210600*11</f>
        <v>2511600</v>
      </c>
      <c r="AH69" s="99"/>
      <c r="AI69" s="99"/>
      <c r="AJ69" s="99"/>
      <c r="AK69" s="99"/>
      <c r="AL69" s="99"/>
      <c r="AM69" s="99">
        <v>700000</v>
      </c>
      <c r="AN69" s="99"/>
      <c r="AO69" s="99">
        <v>460000</v>
      </c>
      <c r="AP69" s="99"/>
      <c r="AQ69" s="99"/>
      <c r="AR69" s="99">
        <f>225600*11+14300*11</f>
        <v>2638900</v>
      </c>
      <c r="AS69" s="99">
        <f>225600*10+14300*10+85000</f>
        <v>2484000</v>
      </c>
      <c r="AT69" s="99"/>
      <c r="AU69" s="99"/>
      <c r="AV69" s="99"/>
      <c r="AW69" s="101"/>
      <c r="AX69" s="421">
        <f>D69+F69+H69+J69+L69+N69+P69+R69+T69+V69+X69+Z69+AB69+AD69+AF69+AH69+AL69+AN69+AP69+AR69+AT69+AV69</f>
        <v>21280560</v>
      </c>
      <c r="AY69" s="421">
        <f>E69+G69+I69+K69+M69+O69+Q69+S69+U69+W69+Y69+AA69+AC69+AE69+AG69+AI69+AM69+AO69+AQ69+AS69+AU69+AW69</f>
        <v>20803405</v>
      </c>
    </row>
    <row r="70" spans="1:51" ht="14.25" customHeight="1" x14ac:dyDescent="0.25">
      <c r="A70" s="143" t="s">
        <v>6</v>
      </c>
      <c r="B70" s="143" t="s">
        <v>603</v>
      </c>
      <c r="C70" s="144" t="s">
        <v>604</v>
      </c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101"/>
      <c r="AX70" s="421">
        <f t="shared" ref="AX70:AX133" si="22">D70+F70+H70+J70+L70+N70+P70+R70+T70+V70+X70+Z70+AB70+AD70+AF70+AH70+AL70+AN70+AP70+AR70+AT70+AV70</f>
        <v>0</v>
      </c>
      <c r="AY70" s="421">
        <f t="shared" ref="AY70:AY132" si="23">E70+G70+I70+K70+M70+O70+Q70+S70+U70+W70+Y70+AA70+AC70+AE70+AG70+AI70+AM70+AO70+AQ70+AS70+AU70+AW70</f>
        <v>0</v>
      </c>
    </row>
    <row r="71" spans="1:51" ht="14.25" customHeight="1" x14ac:dyDescent="0.25">
      <c r="A71" s="143" t="s">
        <v>14</v>
      </c>
      <c r="B71" s="143" t="s">
        <v>315</v>
      </c>
      <c r="C71" s="144" t="s">
        <v>316</v>
      </c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101"/>
      <c r="AX71" s="421">
        <f t="shared" si="22"/>
        <v>0</v>
      </c>
      <c r="AY71" s="421">
        <f t="shared" si="23"/>
        <v>0</v>
      </c>
    </row>
    <row r="72" spans="1:51" ht="14.25" customHeight="1" x14ac:dyDescent="0.25">
      <c r="A72" s="143" t="s">
        <v>17</v>
      </c>
      <c r="B72" s="143" t="s">
        <v>317</v>
      </c>
      <c r="C72" s="144" t="s">
        <v>318</v>
      </c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101"/>
      <c r="AX72" s="421">
        <f t="shared" si="22"/>
        <v>0</v>
      </c>
      <c r="AY72" s="421">
        <f t="shared" si="23"/>
        <v>0</v>
      </c>
    </row>
    <row r="73" spans="1:51" ht="14.25" customHeight="1" x14ac:dyDescent="0.25">
      <c r="A73" s="143" t="s">
        <v>34</v>
      </c>
      <c r="B73" s="143" t="s">
        <v>319</v>
      </c>
      <c r="C73" s="144" t="s">
        <v>585</v>
      </c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101"/>
      <c r="AX73" s="421">
        <f t="shared" si="22"/>
        <v>0</v>
      </c>
      <c r="AY73" s="421">
        <f t="shared" si="23"/>
        <v>0</v>
      </c>
    </row>
    <row r="74" spans="1:51" ht="14.25" customHeight="1" x14ac:dyDescent="0.25">
      <c r="A74" s="143" t="s">
        <v>36</v>
      </c>
      <c r="B74" s="143" t="s">
        <v>320</v>
      </c>
      <c r="C74" s="144" t="s">
        <v>321</v>
      </c>
      <c r="D74" s="99"/>
      <c r="E74" s="99"/>
      <c r="F74" s="99"/>
      <c r="G74" s="99"/>
      <c r="H74" s="99"/>
      <c r="I74" s="99"/>
      <c r="J74" s="99"/>
      <c r="K74" s="99"/>
      <c r="L74" s="99"/>
      <c r="M74" s="99">
        <v>50000</v>
      </c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101"/>
      <c r="AX74" s="421">
        <f t="shared" si="22"/>
        <v>0</v>
      </c>
      <c r="AY74" s="421">
        <f t="shared" si="23"/>
        <v>50000</v>
      </c>
    </row>
    <row r="75" spans="1:51" ht="14.25" customHeight="1" x14ac:dyDescent="0.25">
      <c r="A75" s="143" t="s">
        <v>31</v>
      </c>
      <c r="B75" s="143" t="s">
        <v>322</v>
      </c>
      <c r="C75" s="144" t="s">
        <v>323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101"/>
      <c r="AX75" s="421">
        <f t="shared" si="22"/>
        <v>0</v>
      </c>
      <c r="AY75" s="421">
        <f t="shared" si="23"/>
        <v>0</v>
      </c>
    </row>
    <row r="76" spans="1:51" ht="14.25" customHeight="1" x14ac:dyDescent="0.25">
      <c r="A76" s="143" t="s">
        <v>18</v>
      </c>
      <c r="B76" s="143" t="s">
        <v>324</v>
      </c>
      <c r="C76" s="144" t="s">
        <v>703</v>
      </c>
      <c r="D76" s="99"/>
      <c r="E76" s="99"/>
      <c r="F76" s="99"/>
      <c r="G76" s="99"/>
      <c r="H76" s="99"/>
      <c r="I76" s="99"/>
      <c r="J76" s="99"/>
      <c r="K76" s="99"/>
      <c r="L76" s="99">
        <v>150000</v>
      </c>
      <c r="M76" s="99">
        <v>260000</v>
      </c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>
        <v>44374</v>
      </c>
      <c r="AT76" s="99"/>
      <c r="AU76" s="99"/>
      <c r="AV76" s="99"/>
      <c r="AW76" s="101"/>
      <c r="AX76" s="421">
        <f t="shared" si="22"/>
        <v>150000</v>
      </c>
      <c r="AY76" s="421">
        <f t="shared" si="23"/>
        <v>304374</v>
      </c>
    </row>
    <row r="77" spans="1:51" ht="14.25" customHeight="1" x14ac:dyDescent="0.25">
      <c r="A77" s="143" t="s">
        <v>19</v>
      </c>
      <c r="B77" s="135" t="s">
        <v>461</v>
      </c>
      <c r="C77" s="136" t="s">
        <v>462</v>
      </c>
      <c r="D77" s="97">
        <f>SUM(D69:D76)</f>
        <v>0</v>
      </c>
      <c r="E77" s="97">
        <f t="shared" ref="E77:AC77" si="24">SUM(E69:E76)</f>
        <v>0</v>
      </c>
      <c r="F77" s="97">
        <f t="shared" si="24"/>
        <v>0</v>
      </c>
      <c r="G77" s="97">
        <f t="shared" si="24"/>
        <v>0</v>
      </c>
      <c r="H77" s="97">
        <f t="shared" si="24"/>
        <v>0</v>
      </c>
      <c r="I77" s="97">
        <f t="shared" si="24"/>
        <v>0</v>
      </c>
      <c r="J77" s="97">
        <f t="shared" si="24"/>
        <v>0</v>
      </c>
      <c r="K77" s="97">
        <f t="shared" si="24"/>
        <v>0</v>
      </c>
      <c r="L77" s="97">
        <f t="shared" si="24"/>
        <v>13545660</v>
      </c>
      <c r="M77" s="97">
        <f t="shared" si="24"/>
        <v>13016792</v>
      </c>
      <c r="N77" s="97">
        <f t="shared" si="24"/>
        <v>0</v>
      </c>
      <c r="O77" s="97">
        <f t="shared" si="24"/>
        <v>0</v>
      </c>
      <c r="P77" s="97">
        <f>SUM(P69:P76)</f>
        <v>0</v>
      </c>
      <c r="Q77" s="97">
        <f>SUM(Q69:Q76)</f>
        <v>0</v>
      </c>
      <c r="R77" s="97">
        <f t="shared" si="24"/>
        <v>0</v>
      </c>
      <c r="S77" s="97">
        <f t="shared" si="24"/>
        <v>0</v>
      </c>
      <c r="T77" s="97">
        <f>SUM(T69:T76)</f>
        <v>2734400</v>
      </c>
      <c r="U77" s="97">
        <f>SUM(U69:U76)</f>
        <v>1820000</v>
      </c>
      <c r="V77" s="97">
        <f t="shared" si="24"/>
        <v>0</v>
      </c>
      <c r="W77" s="97">
        <f t="shared" si="24"/>
        <v>121013</v>
      </c>
      <c r="X77" s="97">
        <f t="shared" si="24"/>
        <v>0</v>
      </c>
      <c r="Y77" s="97">
        <f t="shared" si="24"/>
        <v>0</v>
      </c>
      <c r="Z77" s="97">
        <f t="shared" si="24"/>
        <v>0</v>
      </c>
      <c r="AA77" s="97">
        <f t="shared" si="24"/>
        <v>0</v>
      </c>
      <c r="AB77" s="97">
        <f t="shared" si="24"/>
        <v>0</v>
      </c>
      <c r="AC77" s="97">
        <f t="shared" si="24"/>
        <v>0</v>
      </c>
      <c r="AD77" s="97">
        <f>SUM(AD69:AD76)</f>
        <v>0</v>
      </c>
      <c r="AE77" s="97">
        <f>SUM(AE69:AE76)</f>
        <v>0</v>
      </c>
      <c r="AF77" s="97">
        <f t="shared" ref="AF77:AW77" si="25">SUM(AF69:AF76)</f>
        <v>2511600</v>
      </c>
      <c r="AG77" s="97">
        <f t="shared" si="25"/>
        <v>2511600</v>
      </c>
      <c r="AH77" s="97">
        <f t="shared" si="25"/>
        <v>0</v>
      </c>
      <c r="AI77" s="97">
        <f t="shared" si="25"/>
        <v>0</v>
      </c>
      <c r="AJ77" s="97">
        <f>SUM(AJ69:AJ76)</f>
        <v>0</v>
      </c>
      <c r="AK77" s="97">
        <f>SUM(AK69:AK76)</f>
        <v>0</v>
      </c>
      <c r="AL77" s="97">
        <f t="shared" si="25"/>
        <v>0</v>
      </c>
      <c r="AM77" s="97">
        <f t="shared" si="25"/>
        <v>700000</v>
      </c>
      <c r="AN77" s="97">
        <f t="shared" si="25"/>
        <v>0</v>
      </c>
      <c r="AO77" s="97">
        <f t="shared" si="25"/>
        <v>460000</v>
      </c>
      <c r="AP77" s="97">
        <f>SUM(AP69:AP76)</f>
        <v>0</v>
      </c>
      <c r="AQ77" s="97">
        <f>SUM(AQ69:AQ76)</f>
        <v>0</v>
      </c>
      <c r="AR77" s="97">
        <f>SUM(AR69:AR76)</f>
        <v>2638900</v>
      </c>
      <c r="AS77" s="97">
        <f>SUM(AS69:AS76)</f>
        <v>2528374</v>
      </c>
      <c r="AT77" s="97">
        <f t="shared" si="25"/>
        <v>0</v>
      </c>
      <c r="AU77" s="97">
        <f t="shared" si="25"/>
        <v>0</v>
      </c>
      <c r="AV77" s="97">
        <f t="shared" si="25"/>
        <v>0</v>
      </c>
      <c r="AW77" s="97">
        <f t="shared" si="25"/>
        <v>0</v>
      </c>
      <c r="AX77" s="460">
        <f t="shared" si="22"/>
        <v>21430560</v>
      </c>
      <c r="AY77" s="460">
        <f t="shared" si="23"/>
        <v>21157779</v>
      </c>
    </row>
    <row r="78" spans="1:51" ht="14.25" customHeight="1" x14ac:dyDescent="0.25">
      <c r="A78" s="143" t="s">
        <v>20</v>
      </c>
      <c r="B78" s="143" t="s">
        <v>325</v>
      </c>
      <c r="C78" s="144" t="s">
        <v>326</v>
      </c>
      <c r="D78" s="99"/>
      <c r="E78" s="99"/>
      <c r="F78" s="99">
        <f>229315*12</f>
        <v>2751780</v>
      </c>
      <c r="G78" s="99">
        <v>2751780</v>
      </c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101"/>
      <c r="AX78" s="421">
        <f t="shared" si="22"/>
        <v>2751780</v>
      </c>
      <c r="AY78" s="421">
        <f t="shared" si="23"/>
        <v>2751780</v>
      </c>
    </row>
    <row r="79" spans="1:51" ht="14.25" customHeight="1" x14ac:dyDescent="0.25">
      <c r="A79" s="143" t="s">
        <v>21</v>
      </c>
      <c r="B79" s="143" t="s">
        <v>327</v>
      </c>
      <c r="C79" s="144" t="s">
        <v>328</v>
      </c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>
        <v>400000</v>
      </c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101"/>
      <c r="AX79" s="421">
        <f t="shared" si="22"/>
        <v>0</v>
      </c>
      <c r="AY79" s="421">
        <f t="shared" si="23"/>
        <v>400000</v>
      </c>
    </row>
    <row r="80" spans="1:51" ht="14.25" customHeight="1" x14ac:dyDescent="0.25">
      <c r="A80" s="143" t="s">
        <v>32</v>
      </c>
      <c r="B80" s="143" t="s">
        <v>329</v>
      </c>
      <c r="C80" s="144" t="s">
        <v>330</v>
      </c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101"/>
      <c r="AX80" s="421">
        <f t="shared" si="22"/>
        <v>0</v>
      </c>
      <c r="AY80" s="421">
        <f t="shared" si="23"/>
        <v>0</v>
      </c>
    </row>
    <row r="81" spans="1:51" ht="14.25" customHeight="1" x14ac:dyDescent="0.25">
      <c r="A81" s="143" t="s">
        <v>22</v>
      </c>
      <c r="B81" s="135" t="s">
        <v>463</v>
      </c>
      <c r="C81" s="136" t="s">
        <v>464</v>
      </c>
      <c r="D81" s="97">
        <f>SUM(D78:D80)</f>
        <v>0</v>
      </c>
      <c r="E81" s="97">
        <f t="shared" ref="E81:AC81" si="26">SUM(E78:E80)</f>
        <v>0</v>
      </c>
      <c r="F81" s="97">
        <f t="shared" si="26"/>
        <v>2751780</v>
      </c>
      <c r="G81" s="97">
        <f t="shared" si="26"/>
        <v>2751780</v>
      </c>
      <c r="H81" s="97">
        <f t="shared" si="26"/>
        <v>0</v>
      </c>
      <c r="I81" s="97">
        <f t="shared" si="26"/>
        <v>0</v>
      </c>
      <c r="J81" s="97">
        <f t="shared" si="26"/>
        <v>0</v>
      </c>
      <c r="K81" s="97">
        <f t="shared" si="26"/>
        <v>0</v>
      </c>
      <c r="L81" s="97">
        <f t="shared" si="26"/>
        <v>0</v>
      </c>
      <c r="M81" s="97">
        <f t="shared" si="26"/>
        <v>0</v>
      </c>
      <c r="N81" s="97">
        <f t="shared" si="26"/>
        <v>0</v>
      </c>
      <c r="O81" s="97">
        <f t="shared" si="26"/>
        <v>0</v>
      </c>
      <c r="P81" s="97">
        <f>SUM(P78:P80)</f>
        <v>0</v>
      </c>
      <c r="Q81" s="97">
        <f>SUM(Q78:Q80)</f>
        <v>0</v>
      </c>
      <c r="R81" s="97">
        <f t="shared" si="26"/>
        <v>0</v>
      </c>
      <c r="S81" s="97">
        <f t="shared" si="26"/>
        <v>0</v>
      </c>
      <c r="T81" s="97">
        <f>SUM(T78:T80)</f>
        <v>0</v>
      </c>
      <c r="U81" s="97">
        <f>SUM(U78:U80)</f>
        <v>400000</v>
      </c>
      <c r="V81" s="97">
        <f t="shared" si="26"/>
        <v>0</v>
      </c>
      <c r="W81" s="97">
        <f t="shared" si="26"/>
        <v>0</v>
      </c>
      <c r="X81" s="97">
        <f t="shared" si="26"/>
        <v>0</v>
      </c>
      <c r="Y81" s="97">
        <f t="shared" si="26"/>
        <v>0</v>
      </c>
      <c r="Z81" s="97">
        <f t="shared" si="26"/>
        <v>0</v>
      </c>
      <c r="AA81" s="97">
        <f t="shared" si="26"/>
        <v>0</v>
      </c>
      <c r="AB81" s="97">
        <f t="shared" si="26"/>
        <v>0</v>
      </c>
      <c r="AC81" s="97">
        <f t="shared" si="26"/>
        <v>0</v>
      </c>
      <c r="AD81" s="97">
        <f>SUM(AD78:AD80)</f>
        <v>0</v>
      </c>
      <c r="AE81" s="97">
        <f>SUM(AE78:AE80)</f>
        <v>0</v>
      </c>
      <c r="AF81" s="97">
        <f t="shared" ref="AF81:AW81" si="27">SUM(AF78:AF80)</f>
        <v>0</v>
      </c>
      <c r="AG81" s="97">
        <f t="shared" si="27"/>
        <v>0</v>
      </c>
      <c r="AH81" s="97">
        <f t="shared" si="27"/>
        <v>0</v>
      </c>
      <c r="AI81" s="97">
        <f t="shared" si="27"/>
        <v>0</v>
      </c>
      <c r="AJ81" s="97">
        <f>SUM(AJ78:AJ80)</f>
        <v>0</v>
      </c>
      <c r="AK81" s="97">
        <f>SUM(AK78:AK80)</f>
        <v>0</v>
      </c>
      <c r="AL81" s="97">
        <f t="shared" si="27"/>
        <v>0</v>
      </c>
      <c r="AM81" s="97">
        <f t="shared" si="27"/>
        <v>0</v>
      </c>
      <c r="AN81" s="97">
        <f t="shared" si="27"/>
        <v>0</v>
      </c>
      <c r="AO81" s="97">
        <f t="shared" si="27"/>
        <v>0</v>
      </c>
      <c r="AP81" s="97">
        <f>SUM(AP78:AP80)</f>
        <v>0</v>
      </c>
      <c r="AQ81" s="97">
        <f>SUM(AQ78:AQ80)</f>
        <v>0</v>
      </c>
      <c r="AR81" s="97">
        <f>SUM(AR78:AR80)</f>
        <v>0</v>
      </c>
      <c r="AS81" s="97">
        <f>SUM(AS78:AS80)</f>
        <v>0</v>
      </c>
      <c r="AT81" s="97">
        <f t="shared" si="27"/>
        <v>0</v>
      </c>
      <c r="AU81" s="97">
        <f t="shared" si="27"/>
        <v>0</v>
      </c>
      <c r="AV81" s="97">
        <f t="shared" si="27"/>
        <v>0</v>
      </c>
      <c r="AW81" s="97">
        <f t="shared" si="27"/>
        <v>0</v>
      </c>
      <c r="AX81" s="460">
        <f t="shared" si="22"/>
        <v>2751780</v>
      </c>
      <c r="AY81" s="460">
        <f t="shared" si="23"/>
        <v>3151780</v>
      </c>
    </row>
    <row r="82" spans="1:51" s="153" customFormat="1" ht="14.25" customHeight="1" x14ac:dyDescent="0.25">
      <c r="A82" s="143" t="s">
        <v>24</v>
      </c>
      <c r="B82" s="135" t="s">
        <v>331</v>
      </c>
      <c r="C82" s="136" t="s">
        <v>332</v>
      </c>
      <c r="D82" s="97">
        <f>D77+D81</f>
        <v>0</v>
      </c>
      <c r="E82" s="97">
        <f t="shared" ref="E82:AC82" si="28">E77+E81</f>
        <v>0</v>
      </c>
      <c r="F82" s="97">
        <f t="shared" si="28"/>
        <v>2751780</v>
      </c>
      <c r="G82" s="97">
        <f t="shared" si="28"/>
        <v>2751780</v>
      </c>
      <c r="H82" s="97">
        <f t="shared" si="28"/>
        <v>0</v>
      </c>
      <c r="I82" s="97">
        <f t="shared" si="28"/>
        <v>0</v>
      </c>
      <c r="J82" s="97">
        <f t="shared" si="28"/>
        <v>0</v>
      </c>
      <c r="K82" s="97">
        <f t="shared" si="28"/>
        <v>0</v>
      </c>
      <c r="L82" s="97">
        <f t="shared" si="28"/>
        <v>13545660</v>
      </c>
      <c r="M82" s="97">
        <f t="shared" si="28"/>
        <v>13016792</v>
      </c>
      <c r="N82" s="97">
        <f t="shared" si="28"/>
        <v>0</v>
      </c>
      <c r="O82" s="97">
        <f t="shared" si="28"/>
        <v>0</v>
      </c>
      <c r="P82" s="97">
        <f>P77+P81</f>
        <v>0</v>
      </c>
      <c r="Q82" s="97">
        <f>Q77+Q81</f>
        <v>0</v>
      </c>
      <c r="R82" s="97">
        <f t="shared" si="28"/>
        <v>0</v>
      </c>
      <c r="S82" s="97">
        <f t="shared" si="28"/>
        <v>0</v>
      </c>
      <c r="T82" s="97">
        <f>T77+T81</f>
        <v>2734400</v>
      </c>
      <c r="U82" s="97">
        <f>U77+U81</f>
        <v>2220000</v>
      </c>
      <c r="V82" s="97">
        <f t="shared" si="28"/>
        <v>0</v>
      </c>
      <c r="W82" s="97">
        <f t="shared" si="28"/>
        <v>121013</v>
      </c>
      <c r="X82" s="97">
        <f t="shared" si="28"/>
        <v>0</v>
      </c>
      <c r="Y82" s="97">
        <f t="shared" si="28"/>
        <v>0</v>
      </c>
      <c r="Z82" s="97">
        <f t="shared" si="28"/>
        <v>0</v>
      </c>
      <c r="AA82" s="97">
        <f t="shared" si="28"/>
        <v>0</v>
      </c>
      <c r="AB82" s="97">
        <f t="shared" si="28"/>
        <v>0</v>
      </c>
      <c r="AC82" s="97">
        <f t="shared" si="28"/>
        <v>0</v>
      </c>
      <c r="AD82" s="97">
        <f>AD77+AD81</f>
        <v>0</v>
      </c>
      <c r="AE82" s="97">
        <f>AE77+AE81</f>
        <v>0</v>
      </c>
      <c r="AF82" s="97">
        <f t="shared" ref="AF82:AW82" si="29">AF77+AF81</f>
        <v>2511600</v>
      </c>
      <c r="AG82" s="97">
        <f t="shared" si="29"/>
        <v>2511600</v>
      </c>
      <c r="AH82" s="97">
        <f t="shared" si="29"/>
        <v>0</v>
      </c>
      <c r="AI82" s="97">
        <f t="shared" si="29"/>
        <v>0</v>
      </c>
      <c r="AJ82" s="97">
        <f>AJ77+AJ81</f>
        <v>0</v>
      </c>
      <c r="AK82" s="97">
        <f>AK77+AK81</f>
        <v>0</v>
      </c>
      <c r="AL82" s="97">
        <f t="shared" si="29"/>
        <v>0</v>
      </c>
      <c r="AM82" s="97">
        <f t="shared" si="29"/>
        <v>700000</v>
      </c>
      <c r="AN82" s="97">
        <f t="shared" si="29"/>
        <v>0</v>
      </c>
      <c r="AO82" s="97">
        <f t="shared" si="29"/>
        <v>460000</v>
      </c>
      <c r="AP82" s="97">
        <f>AP77+AP81</f>
        <v>0</v>
      </c>
      <c r="AQ82" s="97">
        <f>AQ77+AQ81</f>
        <v>0</v>
      </c>
      <c r="AR82" s="97">
        <f>AR77+AR81</f>
        <v>2638900</v>
      </c>
      <c r="AS82" s="97">
        <f>AS77+AS81</f>
        <v>2528374</v>
      </c>
      <c r="AT82" s="97">
        <f t="shared" si="29"/>
        <v>0</v>
      </c>
      <c r="AU82" s="97">
        <f t="shared" si="29"/>
        <v>0</v>
      </c>
      <c r="AV82" s="97">
        <f t="shared" si="29"/>
        <v>0</v>
      </c>
      <c r="AW82" s="97">
        <f t="shared" si="29"/>
        <v>0</v>
      </c>
      <c r="AX82" s="460">
        <f t="shared" si="22"/>
        <v>24182340</v>
      </c>
      <c r="AY82" s="460">
        <f t="shared" si="23"/>
        <v>24309559</v>
      </c>
    </row>
    <row r="83" spans="1:51" s="146" customFormat="1" ht="14.25" customHeight="1" x14ac:dyDescent="0.25">
      <c r="A83" s="143" t="s">
        <v>40</v>
      </c>
      <c r="B83" s="132" t="s">
        <v>333</v>
      </c>
      <c r="C83" s="145" t="s">
        <v>682</v>
      </c>
      <c r="D83" s="96"/>
      <c r="E83" s="96"/>
      <c r="F83" s="96">
        <f>F78*0.175</f>
        <v>481561.49999999994</v>
      </c>
      <c r="G83" s="96">
        <f>G78/12*7*0.175+G78/12*5*0.155</f>
        <v>458630</v>
      </c>
      <c r="H83" s="96"/>
      <c r="I83" s="96"/>
      <c r="J83" s="96"/>
      <c r="K83" s="96"/>
      <c r="L83" s="96">
        <f>(L69+L76)*0.0875</f>
        <v>1185245.25</v>
      </c>
      <c r="M83" s="96">
        <f>(M69+M76)/12*7*0.0875+(M69+M76)/12*5*0.0775+30101</f>
        <v>1110667</v>
      </c>
      <c r="N83" s="96"/>
      <c r="O83" s="96"/>
      <c r="P83" s="96"/>
      <c r="Q83" s="96"/>
      <c r="R83" s="96"/>
      <c r="S83" s="96"/>
      <c r="T83" s="96">
        <f>T69*0.175</f>
        <v>478519.99999999994</v>
      </c>
      <c r="U83" s="96">
        <f>218700*0.175+228700*6*0.175+228700*2*0.155+(300000*0.9)/12*7*0.175+(300000*0.9)/12*5*0.155</f>
        <v>394304.5</v>
      </c>
      <c r="V83" s="96">
        <f>V69*0.175</f>
        <v>0</v>
      </c>
      <c r="W83" s="96">
        <v>18757</v>
      </c>
      <c r="X83" s="96"/>
      <c r="Y83" s="96"/>
      <c r="Z83" s="96"/>
      <c r="AA83" s="96"/>
      <c r="AB83" s="96"/>
      <c r="AC83" s="96"/>
      <c r="AD83" s="96"/>
      <c r="AE83" s="96"/>
      <c r="AF83" s="96">
        <f>AF69*0.175</f>
        <v>439530</v>
      </c>
      <c r="AG83" s="96">
        <f>1458600*0.175+1053000*0.155</f>
        <v>418470</v>
      </c>
      <c r="AH83" s="96"/>
      <c r="AI83" s="96"/>
      <c r="AJ83" s="96"/>
      <c r="AK83" s="96"/>
      <c r="AL83" s="96">
        <f>AL69*0.195</f>
        <v>0</v>
      </c>
      <c r="AM83" s="96">
        <v>120000</v>
      </c>
      <c r="AN83" s="96"/>
      <c r="AO83" s="96">
        <v>90000</v>
      </c>
      <c r="AP83" s="96"/>
      <c r="AQ83" s="96"/>
      <c r="AR83" s="96">
        <f>AR69*0.175</f>
        <v>461807.49999999994</v>
      </c>
      <c r="AS83" s="96">
        <f>239900*5*0.175+239900*5*0.155+25000</f>
        <v>420835</v>
      </c>
      <c r="AT83" s="96"/>
      <c r="AU83" s="96"/>
      <c r="AV83" s="96"/>
      <c r="AW83" s="98"/>
      <c r="AX83" s="421">
        <f t="shared" si="22"/>
        <v>3046664.25</v>
      </c>
      <c r="AY83" s="421">
        <f t="shared" si="23"/>
        <v>3031663.5</v>
      </c>
    </row>
    <row r="84" spans="1:51" s="146" customFormat="1" ht="14.25" customHeight="1" x14ac:dyDescent="0.25">
      <c r="A84" s="143" t="s">
        <v>41</v>
      </c>
      <c r="B84" s="132" t="s">
        <v>333</v>
      </c>
      <c r="C84" s="145" t="s">
        <v>702</v>
      </c>
      <c r="D84" s="96"/>
      <c r="E84" s="96"/>
      <c r="F84" s="96"/>
      <c r="G84" s="96"/>
      <c r="H84" s="96"/>
      <c r="I84" s="96"/>
      <c r="J84" s="96"/>
      <c r="K84" s="96"/>
      <c r="L84" s="96"/>
      <c r="M84" s="96">
        <v>15000</v>
      </c>
      <c r="N84" s="96"/>
      <c r="O84" s="96"/>
      <c r="P84" s="96"/>
      <c r="Q84" s="96"/>
      <c r="R84" s="96"/>
      <c r="S84" s="96"/>
      <c r="T84" s="96">
        <f>T73*1.18*0.14</f>
        <v>0</v>
      </c>
      <c r="U84" s="96"/>
      <c r="V84" s="96">
        <f>V73*1.18*0.14</f>
        <v>0</v>
      </c>
      <c r="W84" s="96"/>
      <c r="X84" s="96"/>
      <c r="Y84" s="96"/>
      <c r="Z84" s="96"/>
      <c r="AA84" s="96"/>
      <c r="AB84" s="96"/>
      <c r="AC84" s="96"/>
      <c r="AD84" s="96"/>
      <c r="AE84" s="96"/>
      <c r="AF84" s="96">
        <f>AF73*1.18*0.14</f>
        <v>0</v>
      </c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8"/>
      <c r="AX84" s="421">
        <f t="shared" si="22"/>
        <v>0</v>
      </c>
      <c r="AY84" s="421">
        <f t="shared" si="23"/>
        <v>15000</v>
      </c>
    </row>
    <row r="85" spans="1:51" s="146" customFormat="1" ht="14.25" customHeight="1" x14ac:dyDescent="0.25">
      <c r="A85" s="143" t="s">
        <v>42</v>
      </c>
      <c r="B85" s="132" t="s">
        <v>333</v>
      </c>
      <c r="C85" s="145" t="s">
        <v>588</v>
      </c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8"/>
      <c r="AX85" s="421">
        <f t="shared" si="22"/>
        <v>0</v>
      </c>
      <c r="AY85" s="421">
        <f t="shared" si="23"/>
        <v>0</v>
      </c>
    </row>
    <row r="86" spans="1:51" s="146" customFormat="1" ht="14.25" customHeight="1" x14ac:dyDescent="0.25">
      <c r="A86" s="143" t="s">
        <v>43</v>
      </c>
      <c r="B86" s="132" t="s">
        <v>333</v>
      </c>
      <c r="C86" s="145" t="s">
        <v>490</v>
      </c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>
        <f>T73*1.18*0.15</f>
        <v>0</v>
      </c>
      <c r="U86" s="96"/>
      <c r="V86" s="96">
        <f>V73*1.18*0.15</f>
        <v>0</v>
      </c>
      <c r="W86" s="96"/>
      <c r="X86" s="96"/>
      <c r="Y86" s="96"/>
      <c r="Z86" s="96"/>
      <c r="AA86" s="96"/>
      <c r="AB86" s="96"/>
      <c r="AC86" s="96"/>
      <c r="AD86" s="96"/>
      <c r="AE86" s="96"/>
      <c r="AF86" s="96">
        <f>AF73*1.18*0.15</f>
        <v>0</v>
      </c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8"/>
      <c r="AX86" s="421">
        <f t="shared" si="22"/>
        <v>0</v>
      </c>
      <c r="AY86" s="421">
        <f t="shared" si="23"/>
        <v>0</v>
      </c>
    </row>
    <row r="87" spans="1:51" s="153" customFormat="1" ht="14.25" customHeight="1" x14ac:dyDescent="0.25">
      <c r="A87" s="143" t="s">
        <v>44</v>
      </c>
      <c r="B87" s="135" t="s">
        <v>333</v>
      </c>
      <c r="C87" s="136" t="s">
        <v>334</v>
      </c>
      <c r="D87" s="97">
        <f>SUM(D83:D86)</f>
        <v>0</v>
      </c>
      <c r="E87" s="97">
        <f t="shared" ref="E87:AC87" si="30">SUM(E83:E86)</f>
        <v>0</v>
      </c>
      <c r="F87" s="97">
        <f t="shared" si="30"/>
        <v>481561.49999999994</v>
      </c>
      <c r="G87" s="97">
        <f t="shared" si="30"/>
        <v>458630</v>
      </c>
      <c r="H87" s="97">
        <f t="shared" si="30"/>
        <v>0</v>
      </c>
      <c r="I87" s="97">
        <f t="shared" si="30"/>
        <v>0</v>
      </c>
      <c r="J87" s="97">
        <f t="shared" si="30"/>
        <v>0</v>
      </c>
      <c r="K87" s="97">
        <f t="shared" si="30"/>
        <v>0</v>
      </c>
      <c r="L87" s="97">
        <f t="shared" si="30"/>
        <v>1185245.25</v>
      </c>
      <c r="M87" s="97">
        <f t="shared" si="30"/>
        <v>1125667</v>
      </c>
      <c r="N87" s="97">
        <f t="shared" si="30"/>
        <v>0</v>
      </c>
      <c r="O87" s="97">
        <f t="shared" si="30"/>
        <v>0</v>
      </c>
      <c r="P87" s="97">
        <f>SUM(P83:P86)</f>
        <v>0</v>
      </c>
      <c r="Q87" s="97">
        <f>SUM(Q83:Q86)</f>
        <v>0</v>
      </c>
      <c r="R87" s="97">
        <f t="shared" si="30"/>
        <v>0</v>
      </c>
      <c r="S87" s="97">
        <f t="shared" si="30"/>
        <v>0</v>
      </c>
      <c r="T87" s="97">
        <f>SUM(T83:T86)</f>
        <v>478519.99999999994</v>
      </c>
      <c r="U87" s="97">
        <f>SUM(U83:U86)</f>
        <v>394304.5</v>
      </c>
      <c r="V87" s="97">
        <f t="shared" si="30"/>
        <v>0</v>
      </c>
      <c r="W87" s="97">
        <f t="shared" si="30"/>
        <v>18757</v>
      </c>
      <c r="X87" s="97">
        <f t="shared" si="30"/>
        <v>0</v>
      </c>
      <c r="Y87" s="97">
        <f t="shared" si="30"/>
        <v>0</v>
      </c>
      <c r="Z87" s="97">
        <f t="shared" si="30"/>
        <v>0</v>
      </c>
      <c r="AA87" s="97">
        <f t="shared" si="30"/>
        <v>0</v>
      </c>
      <c r="AB87" s="97">
        <f t="shared" si="30"/>
        <v>0</v>
      </c>
      <c r="AC87" s="97">
        <f t="shared" si="30"/>
        <v>0</v>
      </c>
      <c r="AD87" s="97">
        <f>SUM(AD83:AD86)</f>
        <v>0</v>
      </c>
      <c r="AE87" s="97">
        <f>SUM(AE83:AE86)</f>
        <v>0</v>
      </c>
      <c r="AF87" s="97">
        <f t="shared" ref="AF87:AW87" si="31">SUM(AF83:AF86)</f>
        <v>439530</v>
      </c>
      <c r="AG87" s="97">
        <f t="shared" si="31"/>
        <v>418470</v>
      </c>
      <c r="AH87" s="97">
        <f t="shared" si="31"/>
        <v>0</v>
      </c>
      <c r="AI87" s="97">
        <f t="shared" si="31"/>
        <v>0</v>
      </c>
      <c r="AJ87" s="97">
        <f>SUM(AJ83:AJ86)</f>
        <v>0</v>
      </c>
      <c r="AK87" s="97">
        <f>SUM(AK83:AK86)</f>
        <v>0</v>
      </c>
      <c r="AL87" s="97">
        <f t="shared" si="31"/>
        <v>0</v>
      </c>
      <c r="AM87" s="97">
        <f t="shared" si="31"/>
        <v>120000</v>
      </c>
      <c r="AN87" s="97">
        <f t="shared" si="31"/>
        <v>0</v>
      </c>
      <c r="AO87" s="97">
        <f t="shared" si="31"/>
        <v>90000</v>
      </c>
      <c r="AP87" s="97">
        <f>SUM(AP83:AP86)</f>
        <v>0</v>
      </c>
      <c r="AQ87" s="97">
        <f>SUM(AQ83:AQ86)</f>
        <v>0</v>
      </c>
      <c r="AR87" s="97">
        <f>SUM(AR83:AR86)</f>
        <v>461807.49999999994</v>
      </c>
      <c r="AS87" s="97">
        <f>SUM(AS83:AS86)</f>
        <v>420835</v>
      </c>
      <c r="AT87" s="97">
        <f t="shared" si="31"/>
        <v>0</v>
      </c>
      <c r="AU87" s="97">
        <f t="shared" si="31"/>
        <v>0</v>
      </c>
      <c r="AV87" s="97">
        <f t="shared" si="31"/>
        <v>0</v>
      </c>
      <c r="AW87" s="97">
        <f t="shared" si="31"/>
        <v>0</v>
      </c>
      <c r="AX87" s="460">
        <f t="shared" si="22"/>
        <v>3046664.25</v>
      </c>
      <c r="AY87" s="460">
        <f t="shared" si="23"/>
        <v>3046663.5</v>
      </c>
    </row>
    <row r="88" spans="1:51" ht="14.25" customHeight="1" x14ac:dyDescent="0.25">
      <c r="A88" s="143" t="s">
        <v>45</v>
      </c>
      <c r="B88" s="143" t="s">
        <v>335</v>
      </c>
      <c r="C88" s="144" t="s">
        <v>336</v>
      </c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101"/>
      <c r="AX88" s="421">
        <f t="shared" si="22"/>
        <v>0</v>
      </c>
      <c r="AY88" s="421">
        <f t="shared" si="23"/>
        <v>0</v>
      </c>
    </row>
    <row r="89" spans="1:51" ht="14.25" customHeight="1" x14ac:dyDescent="0.25">
      <c r="A89" s="143" t="s">
        <v>46</v>
      </c>
      <c r="B89" s="143" t="s">
        <v>337</v>
      </c>
      <c r="C89" s="144" t="s">
        <v>338</v>
      </c>
      <c r="D89" s="99"/>
      <c r="E89" s="99"/>
      <c r="F89" s="99">
        <v>100000</v>
      </c>
      <c r="G89" s="99">
        <v>62781</v>
      </c>
      <c r="H89" s="99">
        <v>200000</v>
      </c>
      <c r="I89" s="99">
        <v>700000</v>
      </c>
      <c r="J89" s="99"/>
      <c r="K89" s="99">
        <v>100000</v>
      </c>
      <c r="L89" s="99">
        <v>1522158</v>
      </c>
      <c r="M89" s="99">
        <v>2000000</v>
      </c>
      <c r="N89" s="99"/>
      <c r="O89" s="99"/>
      <c r="P89" s="99"/>
      <c r="Q89" s="99">
        <v>70000</v>
      </c>
      <c r="R89" s="99"/>
      <c r="S89" s="99"/>
      <c r="T89" s="99">
        <v>700000</v>
      </c>
      <c r="U89" s="99">
        <v>200000</v>
      </c>
      <c r="V89" s="99">
        <v>500000</v>
      </c>
      <c r="W89" s="99">
        <v>1300000</v>
      </c>
      <c r="X89" s="99"/>
      <c r="Y89" s="99">
        <v>50000</v>
      </c>
      <c r="Z89" s="99"/>
      <c r="AA89" s="99"/>
      <c r="AB89" s="99"/>
      <c r="AC89" s="99"/>
      <c r="AD89" s="99"/>
      <c r="AE89" s="99"/>
      <c r="AF89" s="99">
        <v>400000</v>
      </c>
      <c r="AG89" s="99">
        <v>400000</v>
      </c>
      <c r="AH89" s="99"/>
      <c r="AI89" s="99"/>
      <c r="AJ89" s="99"/>
      <c r="AK89" s="99"/>
      <c r="AL89" s="99"/>
      <c r="AM89" s="99">
        <v>250000</v>
      </c>
      <c r="AN89" s="99"/>
      <c r="AO89" s="99">
        <v>150000</v>
      </c>
      <c r="AP89" s="99"/>
      <c r="AQ89" s="99">
        <v>50000</v>
      </c>
      <c r="AR89" s="99">
        <f>30000+400000</f>
        <v>430000</v>
      </c>
      <c r="AS89" s="99">
        <v>700000</v>
      </c>
      <c r="AT89" s="99"/>
      <c r="AU89" s="99">
        <v>22743</v>
      </c>
      <c r="AV89" s="99"/>
      <c r="AW89" s="101"/>
      <c r="AX89" s="421">
        <f t="shared" si="22"/>
        <v>3852158</v>
      </c>
      <c r="AY89" s="421">
        <f t="shared" si="23"/>
        <v>6055524</v>
      </c>
    </row>
    <row r="90" spans="1:51" ht="14.25" customHeight="1" x14ac:dyDescent="0.25">
      <c r="A90" s="143" t="s">
        <v>47</v>
      </c>
      <c r="B90" s="143" t="s">
        <v>339</v>
      </c>
      <c r="C90" s="144" t="s">
        <v>340</v>
      </c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101"/>
      <c r="AX90" s="421">
        <f t="shared" si="22"/>
        <v>0</v>
      </c>
      <c r="AY90" s="421">
        <f t="shared" si="23"/>
        <v>0</v>
      </c>
    </row>
    <row r="91" spans="1:51" s="153" customFormat="1" ht="14.25" customHeight="1" x14ac:dyDescent="0.25">
      <c r="A91" s="143" t="s">
        <v>48</v>
      </c>
      <c r="B91" s="135" t="s">
        <v>341</v>
      </c>
      <c r="C91" s="136" t="s">
        <v>342</v>
      </c>
      <c r="D91" s="97">
        <f>SUM(D88:D90)</f>
        <v>0</v>
      </c>
      <c r="E91" s="97">
        <f t="shared" ref="E91:AC91" si="32">SUM(E88:E90)</f>
        <v>0</v>
      </c>
      <c r="F91" s="97">
        <f t="shared" si="32"/>
        <v>100000</v>
      </c>
      <c r="G91" s="97">
        <f t="shared" si="32"/>
        <v>62781</v>
      </c>
      <c r="H91" s="97">
        <f t="shared" si="32"/>
        <v>200000</v>
      </c>
      <c r="I91" s="97">
        <f t="shared" si="32"/>
        <v>700000</v>
      </c>
      <c r="J91" s="97">
        <f t="shared" si="32"/>
        <v>0</v>
      </c>
      <c r="K91" s="97">
        <f t="shared" si="32"/>
        <v>100000</v>
      </c>
      <c r="L91" s="97">
        <f t="shared" si="32"/>
        <v>1522158</v>
      </c>
      <c r="M91" s="97">
        <f t="shared" si="32"/>
        <v>2000000</v>
      </c>
      <c r="N91" s="97">
        <f t="shared" si="32"/>
        <v>0</v>
      </c>
      <c r="O91" s="97">
        <f t="shared" si="32"/>
        <v>0</v>
      </c>
      <c r="P91" s="97">
        <f>SUM(P88:P90)</f>
        <v>0</v>
      </c>
      <c r="Q91" s="97">
        <f>SUM(Q88:Q90)</f>
        <v>70000</v>
      </c>
      <c r="R91" s="97">
        <f t="shared" si="32"/>
        <v>0</v>
      </c>
      <c r="S91" s="97">
        <f t="shared" si="32"/>
        <v>0</v>
      </c>
      <c r="T91" s="97">
        <f>SUM(T88:T90)</f>
        <v>700000</v>
      </c>
      <c r="U91" s="97">
        <f>SUM(U88:U90)</f>
        <v>200000</v>
      </c>
      <c r="V91" s="97">
        <v>4</v>
      </c>
      <c r="W91" s="97">
        <f t="shared" si="32"/>
        <v>1300000</v>
      </c>
      <c r="X91" s="97">
        <f t="shared" si="32"/>
        <v>0</v>
      </c>
      <c r="Y91" s="97">
        <f t="shared" si="32"/>
        <v>50000</v>
      </c>
      <c r="Z91" s="97">
        <f t="shared" si="32"/>
        <v>0</v>
      </c>
      <c r="AA91" s="97">
        <f t="shared" si="32"/>
        <v>0</v>
      </c>
      <c r="AB91" s="97">
        <f t="shared" si="32"/>
        <v>0</v>
      </c>
      <c r="AC91" s="97">
        <f t="shared" si="32"/>
        <v>0</v>
      </c>
      <c r="AD91" s="97">
        <f>SUM(AD88:AD90)</f>
        <v>0</v>
      </c>
      <c r="AE91" s="97">
        <f>SUM(AE88:AE90)</f>
        <v>0</v>
      </c>
      <c r="AF91" s="97">
        <f t="shared" ref="AF91:AW91" si="33">SUM(AF88:AF90)</f>
        <v>400000</v>
      </c>
      <c r="AG91" s="97">
        <f t="shared" si="33"/>
        <v>400000</v>
      </c>
      <c r="AH91" s="97">
        <f t="shared" si="33"/>
        <v>0</v>
      </c>
      <c r="AI91" s="97">
        <f t="shared" si="33"/>
        <v>0</v>
      </c>
      <c r="AJ91" s="97">
        <f>SUM(AJ88:AJ90)</f>
        <v>0</v>
      </c>
      <c r="AK91" s="97">
        <f>SUM(AK88:AK90)</f>
        <v>0</v>
      </c>
      <c r="AL91" s="97">
        <f t="shared" si="33"/>
        <v>0</v>
      </c>
      <c r="AM91" s="97">
        <f t="shared" si="33"/>
        <v>250000</v>
      </c>
      <c r="AN91" s="97">
        <f t="shared" si="33"/>
        <v>0</v>
      </c>
      <c r="AO91" s="97">
        <f t="shared" si="33"/>
        <v>150000</v>
      </c>
      <c r="AP91" s="97">
        <f>SUM(AP88:AP90)</f>
        <v>0</v>
      </c>
      <c r="AQ91" s="97">
        <f>SUM(AQ88:AQ90)</f>
        <v>50000</v>
      </c>
      <c r="AR91" s="97">
        <f>SUM(AR88:AR90)</f>
        <v>430000</v>
      </c>
      <c r="AS91" s="97">
        <f>SUM(AS88:AS90)</f>
        <v>700000</v>
      </c>
      <c r="AT91" s="97">
        <f t="shared" si="33"/>
        <v>0</v>
      </c>
      <c r="AU91" s="97">
        <f t="shared" si="33"/>
        <v>22743</v>
      </c>
      <c r="AV91" s="97">
        <f t="shared" si="33"/>
        <v>0</v>
      </c>
      <c r="AW91" s="97">
        <f t="shared" si="33"/>
        <v>0</v>
      </c>
      <c r="AX91" s="460">
        <f t="shared" si="22"/>
        <v>3352162</v>
      </c>
      <c r="AY91" s="460">
        <f t="shared" si="23"/>
        <v>6055524</v>
      </c>
    </row>
    <row r="92" spans="1:51" ht="14.25" customHeight="1" x14ac:dyDescent="0.25">
      <c r="A92" s="143" t="s">
        <v>51</v>
      </c>
      <c r="B92" s="143" t="s">
        <v>343</v>
      </c>
      <c r="C92" s="144" t="s">
        <v>344</v>
      </c>
      <c r="D92" s="99"/>
      <c r="E92" s="99"/>
      <c r="F92" s="99">
        <v>400000</v>
      </c>
      <c r="G92" s="99">
        <v>70000</v>
      </c>
      <c r="H92" s="99"/>
      <c r="I92" s="99"/>
      <c r="J92" s="99"/>
      <c r="K92" s="99"/>
      <c r="L92" s="99"/>
      <c r="M92" s="99">
        <v>70000</v>
      </c>
      <c r="N92" s="99"/>
      <c r="O92" s="99"/>
      <c r="P92" s="99"/>
      <c r="Q92" s="99"/>
      <c r="R92" s="99"/>
      <c r="S92" s="99"/>
      <c r="T92" s="99"/>
      <c r="U92" s="99"/>
      <c r="V92" s="99">
        <v>200000</v>
      </c>
      <c r="W92" s="99">
        <v>420000</v>
      </c>
      <c r="X92" s="99">
        <v>20000</v>
      </c>
      <c r="Y92" s="99">
        <v>30000</v>
      </c>
      <c r="Z92" s="99"/>
      <c r="AA92" s="99"/>
      <c r="AB92" s="99"/>
      <c r="AC92" s="99"/>
      <c r="AD92" s="99"/>
      <c r="AE92" s="99"/>
      <c r="AF92" s="99"/>
      <c r="AG92" s="99">
        <v>30000</v>
      </c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101"/>
      <c r="AX92" s="421">
        <f t="shared" si="22"/>
        <v>620000</v>
      </c>
      <c r="AY92" s="421">
        <f t="shared" si="23"/>
        <v>620000</v>
      </c>
    </row>
    <row r="93" spans="1:51" ht="14.25" customHeight="1" x14ac:dyDescent="0.25">
      <c r="A93" s="143" t="s">
        <v>53</v>
      </c>
      <c r="B93" s="143" t="s">
        <v>345</v>
      </c>
      <c r="C93" s="144" t="s">
        <v>346</v>
      </c>
      <c r="D93" s="99"/>
      <c r="E93" s="99"/>
      <c r="F93" s="99">
        <v>100000</v>
      </c>
      <c r="G93" s="99">
        <v>90000</v>
      </c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>
        <v>50000</v>
      </c>
      <c r="U93" s="99">
        <v>40000</v>
      </c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>
        <v>60000</v>
      </c>
      <c r="AG93" s="99">
        <v>70000</v>
      </c>
      <c r="AH93" s="99"/>
      <c r="AI93" s="99"/>
      <c r="AJ93" s="99"/>
      <c r="AK93" s="99"/>
      <c r="AL93" s="99"/>
      <c r="AM93" s="99"/>
      <c r="AN93" s="99">
        <v>50000</v>
      </c>
      <c r="AO93" s="99">
        <v>60000</v>
      </c>
      <c r="AP93" s="99"/>
      <c r="AQ93" s="99"/>
      <c r="AR93" s="99"/>
      <c r="AS93" s="99"/>
      <c r="AT93" s="99"/>
      <c r="AU93" s="99"/>
      <c r="AV93" s="99"/>
      <c r="AW93" s="101"/>
      <c r="AX93" s="421">
        <f t="shared" si="22"/>
        <v>260000</v>
      </c>
      <c r="AY93" s="421">
        <f t="shared" si="23"/>
        <v>260000</v>
      </c>
    </row>
    <row r="94" spans="1:51" s="153" customFormat="1" ht="14.25" customHeight="1" x14ac:dyDescent="0.25">
      <c r="A94" s="143" t="s">
        <v>55</v>
      </c>
      <c r="B94" s="135" t="s">
        <v>347</v>
      </c>
      <c r="C94" s="136" t="s">
        <v>348</v>
      </c>
      <c r="D94" s="97">
        <f>SUM(D92:D93)</f>
        <v>0</v>
      </c>
      <c r="E94" s="97">
        <f t="shared" ref="E94:AC94" si="34">SUM(E92:E93)</f>
        <v>0</v>
      </c>
      <c r="F94" s="97">
        <f t="shared" si="34"/>
        <v>500000</v>
      </c>
      <c r="G94" s="97">
        <f t="shared" si="34"/>
        <v>160000</v>
      </c>
      <c r="H94" s="97">
        <f t="shared" si="34"/>
        <v>0</v>
      </c>
      <c r="I94" s="97">
        <f t="shared" si="34"/>
        <v>0</v>
      </c>
      <c r="J94" s="97">
        <f t="shared" si="34"/>
        <v>0</v>
      </c>
      <c r="K94" s="97">
        <f t="shared" si="34"/>
        <v>0</v>
      </c>
      <c r="L94" s="97">
        <f t="shared" si="34"/>
        <v>0</v>
      </c>
      <c r="M94" s="97">
        <f t="shared" si="34"/>
        <v>70000</v>
      </c>
      <c r="N94" s="97">
        <f t="shared" si="34"/>
        <v>0</v>
      </c>
      <c r="O94" s="97">
        <f t="shared" si="34"/>
        <v>0</v>
      </c>
      <c r="P94" s="97">
        <f>SUM(P92:P93)</f>
        <v>0</v>
      </c>
      <c r="Q94" s="97">
        <f>SUM(Q92:Q93)</f>
        <v>0</v>
      </c>
      <c r="R94" s="97">
        <f t="shared" si="34"/>
        <v>0</v>
      </c>
      <c r="S94" s="97">
        <f t="shared" si="34"/>
        <v>0</v>
      </c>
      <c r="T94" s="97">
        <f>SUM(T92:T93)</f>
        <v>50000</v>
      </c>
      <c r="U94" s="97">
        <f>SUM(U92:U93)</f>
        <v>40000</v>
      </c>
      <c r="V94" s="97">
        <f t="shared" si="34"/>
        <v>200000</v>
      </c>
      <c r="W94" s="97">
        <f t="shared" si="34"/>
        <v>420000</v>
      </c>
      <c r="X94" s="97">
        <f t="shared" si="34"/>
        <v>20000</v>
      </c>
      <c r="Y94" s="97">
        <f t="shared" si="34"/>
        <v>30000</v>
      </c>
      <c r="Z94" s="97">
        <f t="shared" si="34"/>
        <v>0</v>
      </c>
      <c r="AA94" s="97">
        <f t="shared" si="34"/>
        <v>0</v>
      </c>
      <c r="AB94" s="97">
        <f t="shared" si="34"/>
        <v>0</v>
      </c>
      <c r="AC94" s="97">
        <f t="shared" si="34"/>
        <v>0</v>
      </c>
      <c r="AD94" s="97">
        <f>SUM(AD92:AD93)</f>
        <v>0</v>
      </c>
      <c r="AE94" s="97">
        <f>SUM(AE92:AE93)</f>
        <v>0</v>
      </c>
      <c r="AF94" s="97">
        <f t="shared" ref="AF94:AW94" si="35">SUM(AF92:AF93)</f>
        <v>60000</v>
      </c>
      <c r="AG94" s="97">
        <f t="shared" si="35"/>
        <v>100000</v>
      </c>
      <c r="AH94" s="97">
        <f t="shared" si="35"/>
        <v>0</v>
      </c>
      <c r="AI94" s="97">
        <f t="shared" si="35"/>
        <v>0</v>
      </c>
      <c r="AJ94" s="97">
        <f>SUM(AJ92:AJ93)</f>
        <v>0</v>
      </c>
      <c r="AK94" s="97">
        <f>SUM(AK92:AK93)</f>
        <v>0</v>
      </c>
      <c r="AL94" s="97">
        <f t="shared" si="35"/>
        <v>0</v>
      </c>
      <c r="AM94" s="97">
        <f t="shared" si="35"/>
        <v>0</v>
      </c>
      <c r="AN94" s="97">
        <f t="shared" si="35"/>
        <v>50000</v>
      </c>
      <c r="AO94" s="97">
        <f t="shared" si="35"/>
        <v>60000</v>
      </c>
      <c r="AP94" s="97">
        <f>SUM(AP92:AP93)</f>
        <v>0</v>
      </c>
      <c r="AQ94" s="97">
        <f>SUM(AQ92:AQ93)</f>
        <v>0</v>
      </c>
      <c r="AR94" s="97">
        <f>SUM(AR92:AR93)</f>
        <v>0</v>
      </c>
      <c r="AS94" s="97">
        <f>SUM(AS92:AS93)</f>
        <v>0</v>
      </c>
      <c r="AT94" s="97">
        <f t="shared" si="35"/>
        <v>0</v>
      </c>
      <c r="AU94" s="97">
        <f t="shared" si="35"/>
        <v>0</v>
      </c>
      <c r="AV94" s="97">
        <f t="shared" si="35"/>
        <v>0</v>
      </c>
      <c r="AW94" s="97">
        <f t="shared" si="35"/>
        <v>0</v>
      </c>
      <c r="AX94" s="460">
        <f t="shared" si="22"/>
        <v>880000</v>
      </c>
      <c r="AY94" s="460">
        <f t="shared" si="23"/>
        <v>880000</v>
      </c>
    </row>
    <row r="95" spans="1:51" s="152" customFormat="1" ht="14.25" customHeight="1" x14ac:dyDescent="0.25">
      <c r="A95" s="143" t="s">
        <v>57</v>
      </c>
      <c r="B95" s="147" t="s">
        <v>349</v>
      </c>
      <c r="C95" s="148" t="s">
        <v>350</v>
      </c>
      <c r="D95" s="102"/>
      <c r="E95" s="102"/>
      <c r="F95" s="102">
        <v>150000</v>
      </c>
      <c r="G95" s="102">
        <v>120000</v>
      </c>
      <c r="H95" s="112">
        <v>50000</v>
      </c>
      <c r="I95" s="102"/>
      <c r="J95" s="102"/>
      <c r="K95" s="102">
        <v>8000</v>
      </c>
      <c r="L95" s="102">
        <v>10000</v>
      </c>
      <c r="M95" s="102">
        <v>5000</v>
      </c>
      <c r="N95" s="102"/>
      <c r="O95" s="102"/>
      <c r="P95" s="102"/>
      <c r="Q95" s="102"/>
      <c r="R95" s="102">
        <v>580000</v>
      </c>
      <c r="S95" s="102">
        <v>660000</v>
      </c>
      <c r="T95" s="102"/>
      <c r="U95" s="102"/>
      <c r="V95" s="102">
        <v>455000</v>
      </c>
      <c r="W95" s="102">
        <v>450000</v>
      </c>
      <c r="X95" s="112"/>
      <c r="Y95" s="102">
        <v>30000</v>
      </c>
      <c r="Z95" s="102"/>
      <c r="AA95" s="102"/>
      <c r="AB95" s="102"/>
      <c r="AC95" s="102"/>
      <c r="AD95" s="102"/>
      <c r="AE95" s="102"/>
      <c r="AF95" s="102">
        <v>150000</v>
      </c>
      <c r="AG95" s="102">
        <v>550000</v>
      </c>
      <c r="AH95" s="102"/>
      <c r="AI95" s="102"/>
      <c r="AJ95" s="102"/>
      <c r="AK95" s="102"/>
      <c r="AL95" s="112"/>
      <c r="AM95" s="102">
        <v>100000</v>
      </c>
      <c r="AN95" s="102"/>
      <c r="AO95" s="102"/>
      <c r="AP95" s="102">
        <v>100000</v>
      </c>
      <c r="AQ95" s="102">
        <v>15000</v>
      </c>
      <c r="AR95" s="102"/>
      <c r="AS95" s="102"/>
      <c r="AT95" s="102"/>
      <c r="AU95" s="102"/>
      <c r="AV95" s="102"/>
      <c r="AW95" s="413"/>
      <c r="AX95" s="421">
        <f t="shared" si="22"/>
        <v>1495000</v>
      </c>
      <c r="AY95" s="421">
        <f t="shared" si="23"/>
        <v>1938000</v>
      </c>
    </row>
    <row r="96" spans="1:51" s="152" customFormat="1" ht="14.25" customHeight="1" x14ac:dyDescent="0.25">
      <c r="A96" s="143" t="s">
        <v>58</v>
      </c>
      <c r="B96" s="147" t="s">
        <v>351</v>
      </c>
      <c r="C96" s="148" t="s">
        <v>352</v>
      </c>
      <c r="D96" s="102"/>
      <c r="E96" s="102"/>
      <c r="F96" s="102">
        <v>450000</v>
      </c>
      <c r="G96" s="102">
        <v>550000</v>
      </c>
      <c r="H96" s="102"/>
      <c r="I96" s="102"/>
      <c r="J96" s="102"/>
      <c r="K96" s="102"/>
      <c r="L96" s="102">
        <v>120000</v>
      </c>
      <c r="M96" s="102">
        <v>240000</v>
      </c>
      <c r="N96" s="102"/>
      <c r="O96" s="102"/>
      <c r="P96" s="102"/>
      <c r="Q96" s="102"/>
      <c r="R96" s="102"/>
      <c r="S96" s="102"/>
      <c r="T96" s="102"/>
      <c r="U96" s="102"/>
      <c r="V96" s="102">
        <v>150000</v>
      </c>
      <c r="W96" s="102"/>
      <c r="X96" s="102">
        <v>150000</v>
      </c>
      <c r="Y96" s="102">
        <v>350000</v>
      </c>
      <c r="Z96" s="102"/>
      <c r="AA96" s="102"/>
      <c r="AB96" s="102"/>
      <c r="AC96" s="102"/>
      <c r="AD96" s="102"/>
      <c r="AE96" s="102"/>
      <c r="AF96" s="102">
        <v>300000</v>
      </c>
      <c r="AG96" s="102">
        <v>468000</v>
      </c>
      <c r="AH96" s="102"/>
      <c r="AI96" s="102"/>
      <c r="AJ96" s="102"/>
      <c r="AK96" s="102"/>
      <c r="AL96" s="112"/>
      <c r="AM96" s="102">
        <v>300000</v>
      </c>
      <c r="AN96" s="102"/>
      <c r="AO96" s="102"/>
      <c r="AP96" s="102">
        <v>300000</v>
      </c>
      <c r="AQ96" s="102"/>
      <c r="AR96" s="102"/>
      <c r="AS96" s="102"/>
      <c r="AT96" s="102"/>
      <c r="AU96" s="102"/>
      <c r="AV96" s="102"/>
      <c r="AW96" s="413"/>
      <c r="AX96" s="421">
        <f t="shared" si="22"/>
        <v>1470000</v>
      </c>
      <c r="AY96" s="421">
        <f t="shared" si="23"/>
        <v>1908000</v>
      </c>
    </row>
    <row r="97" spans="1:51" s="152" customFormat="1" ht="14.25" customHeight="1" x14ac:dyDescent="0.25">
      <c r="A97" s="143" t="s">
        <v>59</v>
      </c>
      <c r="B97" s="147" t="s">
        <v>353</v>
      </c>
      <c r="C97" s="148" t="s">
        <v>354</v>
      </c>
      <c r="D97" s="102"/>
      <c r="E97" s="102"/>
      <c r="F97" s="102">
        <v>30000</v>
      </c>
      <c r="G97" s="102">
        <v>20000</v>
      </c>
      <c r="H97" s="102">
        <v>20000</v>
      </c>
      <c r="I97" s="102">
        <v>20000</v>
      </c>
      <c r="J97" s="102"/>
      <c r="K97" s="102">
        <v>2000</v>
      </c>
      <c r="L97" s="102">
        <v>25000</v>
      </c>
      <c r="M97" s="102">
        <v>15000</v>
      </c>
      <c r="N97" s="102"/>
      <c r="O97" s="102"/>
      <c r="P97" s="102"/>
      <c r="Q97" s="102"/>
      <c r="R97" s="102"/>
      <c r="S97" s="102"/>
      <c r="T97" s="102">
        <v>25000</v>
      </c>
      <c r="U97" s="102"/>
      <c r="V97" s="112">
        <v>8000</v>
      </c>
      <c r="W97" s="102">
        <v>60000</v>
      </c>
      <c r="X97" s="112"/>
      <c r="Y97" s="102"/>
      <c r="Z97" s="102"/>
      <c r="AA97" s="102"/>
      <c r="AB97" s="102"/>
      <c r="AC97" s="102"/>
      <c r="AD97" s="102"/>
      <c r="AE97" s="102"/>
      <c r="AF97" s="102">
        <v>35000</v>
      </c>
      <c r="AG97" s="102">
        <v>20000</v>
      </c>
      <c r="AH97" s="102"/>
      <c r="AI97" s="102"/>
      <c r="AJ97" s="102"/>
      <c r="AK97" s="102"/>
      <c r="AL97" s="112"/>
      <c r="AM97" s="102">
        <v>15000</v>
      </c>
      <c r="AN97" s="102"/>
      <c r="AO97" s="102"/>
      <c r="AP97" s="102">
        <v>20000</v>
      </c>
      <c r="AQ97" s="102">
        <v>20000</v>
      </c>
      <c r="AR97" s="102"/>
      <c r="AS97" s="102"/>
      <c r="AT97" s="102"/>
      <c r="AU97" s="102"/>
      <c r="AV97" s="102"/>
      <c r="AW97" s="413"/>
      <c r="AX97" s="421">
        <f t="shared" si="22"/>
        <v>163000</v>
      </c>
      <c r="AY97" s="421">
        <f t="shared" si="23"/>
        <v>172000</v>
      </c>
    </row>
    <row r="98" spans="1:51" ht="14.25" customHeight="1" x14ac:dyDescent="0.25">
      <c r="A98" s="143" t="s">
        <v>60</v>
      </c>
      <c r="B98" s="143" t="s">
        <v>355</v>
      </c>
      <c r="C98" s="144" t="s">
        <v>356</v>
      </c>
      <c r="D98" s="99">
        <f t="shared" ref="D98:AC98" si="36">SUM(D95:D97)</f>
        <v>0</v>
      </c>
      <c r="E98" s="99">
        <f t="shared" si="36"/>
        <v>0</v>
      </c>
      <c r="F98" s="99">
        <f t="shared" si="36"/>
        <v>630000</v>
      </c>
      <c r="G98" s="99">
        <f t="shared" si="36"/>
        <v>690000</v>
      </c>
      <c r="H98" s="99">
        <f t="shared" si="36"/>
        <v>70000</v>
      </c>
      <c r="I98" s="99">
        <f t="shared" si="36"/>
        <v>20000</v>
      </c>
      <c r="J98" s="99">
        <f t="shared" si="36"/>
        <v>0</v>
      </c>
      <c r="K98" s="99">
        <f t="shared" si="36"/>
        <v>10000</v>
      </c>
      <c r="L98" s="99">
        <f t="shared" si="36"/>
        <v>155000</v>
      </c>
      <c r="M98" s="99">
        <f t="shared" si="36"/>
        <v>260000</v>
      </c>
      <c r="N98" s="99">
        <f t="shared" si="36"/>
        <v>0</v>
      </c>
      <c r="O98" s="99">
        <f t="shared" si="36"/>
        <v>0</v>
      </c>
      <c r="P98" s="99">
        <f>SUM(P95:P97)</f>
        <v>0</v>
      </c>
      <c r="Q98" s="99">
        <f>SUM(Q95:Q97)</f>
        <v>0</v>
      </c>
      <c r="R98" s="99">
        <f t="shared" si="36"/>
        <v>580000</v>
      </c>
      <c r="S98" s="99">
        <f t="shared" si="36"/>
        <v>660000</v>
      </c>
      <c r="T98" s="99">
        <f>SUM(T95:T97)</f>
        <v>25000</v>
      </c>
      <c r="U98" s="99">
        <f>SUM(U95:U97)</f>
        <v>0</v>
      </c>
      <c r="V98" s="99">
        <f t="shared" si="36"/>
        <v>613000</v>
      </c>
      <c r="W98" s="99">
        <f t="shared" si="36"/>
        <v>510000</v>
      </c>
      <c r="X98" s="99">
        <f t="shared" si="36"/>
        <v>150000</v>
      </c>
      <c r="Y98" s="99">
        <f t="shared" si="36"/>
        <v>380000</v>
      </c>
      <c r="Z98" s="99">
        <f t="shared" si="36"/>
        <v>0</v>
      </c>
      <c r="AA98" s="99">
        <f t="shared" si="36"/>
        <v>0</v>
      </c>
      <c r="AB98" s="99">
        <f t="shared" si="36"/>
        <v>0</v>
      </c>
      <c r="AC98" s="99">
        <f t="shared" si="36"/>
        <v>0</v>
      </c>
      <c r="AD98" s="99">
        <f>SUM(AD95:AD97)</f>
        <v>0</v>
      </c>
      <c r="AE98" s="99">
        <f>SUM(AE95:AE97)</f>
        <v>0</v>
      </c>
      <c r="AF98" s="99">
        <f t="shared" ref="AF98:AW98" si="37">SUM(AF95:AF97)</f>
        <v>485000</v>
      </c>
      <c r="AG98" s="99">
        <f t="shared" si="37"/>
        <v>1038000</v>
      </c>
      <c r="AH98" s="99">
        <f t="shared" si="37"/>
        <v>0</v>
      </c>
      <c r="AI98" s="99">
        <f t="shared" si="37"/>
        <v>0</v>
      </c>
      <c r="AJ98" s="99">
        <f>SUM(AJ95:AJ97)</f>
        <v>0</v>
      </c>
      <c r="AK98" s="99">
        <f>SUM(AK95:AK97)</f>
        <v>0</v>
      </c>
      <c r="AL98" s="99">
        <f t="shared" si="37"/>
        <v>0</v>
      </c>
      <c r="AM98" s="99">
        <f t="shared" si="37"/>
        <v>415000</v>
      </c>
      <c r="AN98" s="99">
        <f t="shared" si="37"/>
        <v>0</v>
      </c>
      <c r="AO98" s="99">
        <f t="shared" si="37"/>
        <v>0</v>
      </c>
      <c r="AP98" s="99">
        <f>SUM(AP95:AP97)</f>
        <v>420000</v>
      </c>
      <c r="AQ98" s="99">
        <f>SUM(AQ95:AQ97)</f>
        <v>35000</v>
      </c>
      <c r="AR98" s="99">
        <f>SUM(AR95:AR97)</f>
        <v>0</v>
      </c>
      <c r="AS98" s="99">
        <f>SUM(AS95:AS97)</f>
        <v>0</v>
      </c>
      <c r="AT98" s="99">
        <f t="shared" si="37"/>
        <v>0</v>
      </c>
      <c r="AU98" s="99">
        <f t="shared" si="37"/>
        <v>0</v>
      </c>
      <c r="AV98" s="99">
        <f t="shared" si="37"/>
        <v>0</v>
      </c>
      <c r="AW98" s="99">
        <f t="shared" si="37"/>
        <v>0</v>
      </c>
      <c r="AX98" s="421">
        <f t="shared" si="22"/>
        <v>3128000</v>
      </c>
      <c r="AY98" s="421">
        <f t="shared" si="23"/>
        <v>4018000</v>
      </c>
    </row>
    <row r="99" spans="1:51" ht="14.25" customHeight="1" x14ac:dyDescent="0.25">
      <c r="A99" s="143" t="s">
        <v>66</v>
      </c>
      <c r="B99" s="143" t="s">
        <v>357</v>
      </c>
      <c r="C99" s="144" t="s">
        <v>358</v>
      </c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101"/>
      <c r="AX99" s="421">
        <f t="shared" si="22"/>
        <v>0</v>
      </c>
      <c r="AY99" s="421">
        <f t="shared" si="23"/>
        <v>0</v>
      </c>
    </row>
    <row r="100" spans="1:51" ht="14.25" customHeight="1" x14ac:dyDescent="0.25">
      <c r="A100" s="143" t="s">
        <v>78</v>
      </c>
      <c r="B100" s="143" t="s">
        <v>359</v>
      </c>
      <c r="C100" s="149" t="s">
        <v>360</v>
      </c>
      <c r="D100" s="99"/>
      <c r="E100" s="99"/>
      <c r="F100" s="99"/>
      <c r="G100" s="99"/>
      <c r="H100" s="99"/>
      <c r="I100" s="99">
        <v>120000</v>
      </c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>
        <v>10000</v>
      </c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101"/>
      <c r="AX100" s="421">
        <f t="shared" si="22"/>
        <v>0</v>
      </c>
      <c r="AY100" s="421">
        <f t="shared" si="23"/>
        <v>130000</v>
      </c>
    </row>
    <row r="101" spans="1:51" ht="14.25" customHeight="1" x14ac:dyDescent="0.25">
      <c r="A101" s="143" t="s">
        <v>79</v>
      </c>
      <c r="B101" s="143" t="s">
        <v>361</v>
      </c>
      <c r="C101" s="149" t="s">
        <v>362</v>
      </c>
      <c r="D101" s="99"/>
      <c r="E101" s="99"/>
      <c r="F101" s="99"/>
      <c r="G101" s="99">
        <v>20000</v>
      </c>
      <c r="H101" s="99">
        <v>200000</v>
      </c>
      <c r="I101" s="99"/>
      <c r="J101" s="99"/>
      <c r="K101" s="99"/>
      <c r="L101" s="99">
        <v>200000</v>
      </c>
      <c r="M101" s="99">
        <v>100000</v>
      </c>
      <c r="N101" s="99"/>
      <c r="O101" s="99"/>
      <c r="P101" s="99"/>
      <c r="Q101" s="99"/>
      <c r="R101" s="99"/>
      <c r="S101" s="99">
        <v>150000</v>
      </c>
      <c r="T101" s="99">
        <v>200000</v>
      </c>
      <c r="U101" s="99"/>
      <c r="V101" s="99">
        <v>200000</v>
      </c>
      <c r="W101" s="99">
        <v>300000</v>
      </c>
      <c r="X101" s="99"/>
      <c r="Y101" s="99"/>
      <c r="Z101" s="99"/>
      <c r="AA101" s="99"/>
      <c r="AB101" s="99"/>
      <c r="AC101" s="99"/>
      <c r="AD101" s="99"/>
      <c r="AE101" s="99"/>
      <c r="AF101" s="99"/>
      <c r="AG101" s="99">
        <v>50000</v>
      </c>
      <c r="AH101" s="99"/>
      <c r="AI101" s="99"/>
      <c r="AJ101" s="99"/>
      <c r="AK101" s="99"/>
      <c r="AL101" s="99"/>
      <c r="AM101" s="99">
        <v>50000</v>
      </c>
      <c r="AN101" s="99"/>
      <c r="AO101" s="99">
        <v>50000</v>
      </c>
      <c r="AP101" s="99">
        <v>500000</v>
      </c>
      <c r="AQ101" s="99"/>
      <c r="AR101" s="99">
        <v>300000</v>
      </c>
      <c r="AS101" s="99">
        <v>80000</v>
      </c>
      <c r="AT101" s="99"/>
      <c r="AU101" s="99"/>
      <c r="AV101" s="99"/>
      <c r="AW101" s="101"/>
      <c r="AX101" s="421">
        <f t="shared" si="22"/>
        <v>1600000</v>
      </c>
      <c r="AY101" s="421">
        <f t="shared" si="23"/>
        <v>800000</v>
      </c>
    </row>
    <row r="102" spans="1:51" ht="14.25" customHeight="1" x14ac:dyDescent="0.25">
      <c r="A102" s="143" t="s">
        <v>80</v>
      </c>
      <c r="B102" s="143" t="s">
        <v>363</v>
      </c>
      <c r="C102" s="149" t="s">
        <v>364</v>
      </c>
      <c r="D102" s="99"/>
      <c r="E102" s="99"/>
      <c r="F102" s="99"/>
      <c r="G102" s="99">
        <v>450000</v>
      </c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>
        <v>1100000</v>
      </c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>
        <v>100000</v>
      </c>
      <c r="AR102" s="99"/>
      <c r="AS102" s="99"/>
      <c r="AT102" s="99"/>
      <c r="AU102" s="99"/>
      <c r="AV102" s="99"/>
      <c r="AW102" s="101"/>
      <c r="AX102" s="421">
        <f t="shared" si="22"/>
        <v>0</v>
      </c>
      <c r="AY102" s="421">
        <f t="shared" si="23"/>
        <v>1650000</v>
      </c>
    </row>
    <row r="103" spans="1:51" ht="14.25" customHeight="1" x14ac:dyDescent="0.25">
      <c r="A103" s="143" t="s">
        <v>81</v>
      </c>
      <c r="B103" s="143" t="s">
        <v>365</v>
      </c>
      <c r="C103" s="149" t="s">
        <v>366</v>
      </c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>
        <v>50000</v>
      </c>
      <c r="X103" s="99"/>
      <c r="Y103" s="99"/>
      <c r="Z103" s="99">
        <f>104543*12</f>
        <v>1254516</v>
      </c>
      <c r="AA103" s="99">
        <v>1238116</v>
      </c>
      <c r="AB103" s="99">
        <v>80000</v>
      </c>
      <c r="AC103" s="99">
        <v>80000</v>
      </c>
      <c r="AD103" s="99">
        <f>6800*12</f>
        <v>81600</v>
      </c>
      <c r="AE103" s="99">
        <v>48000</v>
      </c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101"/>
      <c r="AX103" s="421">
        <f t="shared" si="22"/>
        <v>1416116</v>
      </c>
      <c r="AY103" s="421">
        <f t="shared" si="23"/>
        <v>1416116</v>
      </c>
    </row>
    <row r="104" spans="1:51" ht="14.25" customHeight="1" x14ac:dyDescent="0.25">
      <c r="A104" s="143" t="s">
        <v>82</v>
      </c>
      <c r="B104" s="143" t="s">
        <v>367</v>
      </c>
      <c r="C104" s="149" t="s">
        <v>368</v>
      </c>
      <c r="D104" s="99"/>
      <c r="E104" s="99"/>
      <c r="F104" s="99">
        <v>1000000</v>
      </c>
      <c r="G104" s="99">
        <v>600000</v>
      </c>
      <c r="H104" s="99">
        <v>600000</v>
      </c>
      <c r="I104" s="99">
        <v>200000</v>
      </c>
      <c r="J104" s="99"/>
      <c r="K104" s="99">
        <v>700000</v>
      </c>
      <c r="L104" s="99"/>
      <c r="M104" s="99">
        <v>50000</v>
      </c>
      <c r="N104" s="99"/>
      <c r="O104" s="99"/>
      <c r="P104" s="96">
        <v>710000</v>
      </c>
      <c r="Q104" s="99">
        <v>710000</v>
      </c>
      <c r="R104" s="99"/>
      <c r="S104" s="99">
        <v>160000</v>
      </c>
      <c r="T104" s="99">
        <v>30000</v>
      </c>
      <c r="U104" s="99"/>
      <c r="V104" s="99">
        <v>1200000</v>
      </c>
      <c r="W104" s="99">
        <v>1200000</v>
      </c>
      <c r="X104" s="99"/>
      <c r="Y104" s="99">
        <v>8828</v>
      </c>
      <c r="Z104" s="99"/>
      <c r="AA104" s="99"/>
      <c r="AB104" s="99"/>
      <c r="AC104" s="99"/>
      <c r="AD104" s="99"/>
      <c r="AE104" s="99"/>
      <c r="AF104" s="99">
        <v>8000000</v>
      </c>
      <c r="AG104" s="99">
        <v>700000</v>
      </c>
      <c r="AH104" s="99"/>
      <c r="AI104" s="99"/>
      <c r="AJ104" s="99"/>
      <c r="AK104" s="99"/>
      <c r="AL104" s="99"/>
      <c r="AM104" s="99">
        <v>310000</v>
      </c>
      <c r="AN104" s="99"/>
      <c r="AO104" s="99">
        <v>350000</v>
      </c>
      <c r="AP104" s="99"/>
      <c r="AQ104" s="99">
        <v>200000</v>
      </c>
      <c r="AR104" s="99"/>
      <c r="AS104" s="99">
        <v>600000</v>
      </c>
      <c r="AT104" s="99"/>
      <c r="AU104" s="99">
        <v>160000</v>
      </c>
      <c r="AV104" s="99"/>
      <c r="AW104" s="101"/>
      <c r="AX104" s="421">
        <f t="shared" si="22"/>
        <v>11540000</v>
      </c>
      <c r="AY104" s="421">
        <f t="shared" si="23"/>
        <v>5948828</v>
      </c>
    </row>
    <row r="105" spans="1:51" s="153" customFormat="1" ht="14.25" customHeight="1" x14ac:dyDescent="0.25">
      <c r="A105" s="143" t="s">
        <v>83</v>
      </c>
      <c r="B105" s="135" t="s">
        <v>369</v>
      </c>
      <c r="C105" s="138" t="s">
        <v>370</v>
      </c>
      <c r="D105" s="97">
        <f>SUM(D98:D104)</f>
        <v>0</v>
      </c>
      <c r="E105" s="97">
        <f t="shared" ref="E105:AC105" si="38">SUM(E98:E104)</f>
        <v>0</v>
      </c>
      <c r="F105" s="97">
        <f t="shared" si="38"/>
        <v>1630000</v>
      </c>
      <c r="G105" s="97">
        <f t="shared" si="38"/>
        <v>1760000</v>
      </c>
      <c r="H105" s="97">
        <f t="shared" si="38"/>
        <v>870000</v>
      </c>
      <c r="I105" s="97">
        <f t="shared" si="38"/>
        <v>340000</v>
      </c>
      <c r="J105" s="97">
        <f t="shared" si="38"/>
        <v>0</v>
      </c>
      <c r="K105" s="97">
        <f t="shared" si="38"/>
        <v>710000</v>
      </c>
      <c r="L105" s="97">
        <f t="shared" si="38"/>
        <v>355000</v>
      </c>
      <c r="M105" s="97">
        <f t="shared" si="38"/>
        <v>410000</v>
      </c>
      <c r="N105" s="97">
        <f t="shared" si="38"/>
        <v>0</v>
      </c>
      <c r="O105" s="97">
        <f t="shared" si="38"/>
        <v>0</v>
      </c>
      <c r="P105" s="97">
        <f>SUM(P98:P104)</f>
        <v>710000</v>
      </c>
      <c r="Q105" s="97">
        <f>SUM(Q98:Q104)</f>
        <v>710000</v>
      </c>
      <c r="R105" s="97">
        <f t="shared" si="38"/>
        <v>580000</v>
      </c>
      <c r="S105" s="97">
        <f t="shared" si="38"/>
        <v>970000</v>
      </c>
      <c r="T105" s="97">
        <f>SUM(T98:T104)</f>
        <v>255000</v>
      </c>
      <c r="U105" s="97">
        <f>SUM(U98:U104)</f>
        <v>0</v>
      </c>
      <c r="V105" s="97">
        <f t="shared" si="38"/>
        <v>2013000</v>
      </c>
      <c r="W105" s="97">
        <f t="shared" si="38"/>
        <v>3160000</v>
      </c>
      <c r="X105" s="97">
        <f t="shared" si="38"/>
        <v>150000</v>
      </c>
      <c r="Y105" s="97">
        <f t="shared" si="38"/>
        <v>388828</v>
      </c>
      <c r="Z105" s="97">
        <f t="shared" si="38"/>
        <v>1254516</v>
      </c>
      <c r="AA105" s="97">
        <f t="shared" si="38"/>
        <v>1238116</v>
      </c>
      <c r="AB105" s="97">
        <f t="shared" si="38"/>
        <v>80000</v>
      </c>
      <c r="AC105" s="97">
        <f t="shared" si="38"/>
        <v>80000</v>
      </c>
      <c r="AD105" s="97">
        <f>SUM(AD98:AD104)</f>
        <v>81600</v>
      </c>
      <c r="AE105" s="97">
        <f>SUM(AE98:AE104)</f>
        <v>48000</v>
      </c>
      <c r="AF105" s="97">
        <f t="shared" ref="AF105:AW105" si="39">SUM(AF98:AF104)</f>
        <v>8485000</v>
      </c>
      <c r="AG105" s="97">
        <f t="shared" si="39"/>
        <v>1798000</v>
      </c>
      <c r="AH105" s="97">
        <f t="shared" si="39"/>
        <v>0</v>
      </c>
      <c r="AI105" s="97">
        <f t="shared" si="39"/>
        <v>0</v>
      </c>
      <c r="AJ105" s="97">
        <f>SUM(AJ98:AJ104)</f>
        <v>0</v>
      </c>
      <c r="AK105" s="97">
        <f>SUM(AK98:AK104)</f>
        <v>0</v>
      </c>
      <c r="AL105" s="97">
        <f t="shared" si="39"/>
        <v>0</v>
      </c>
      <c r="AM105" s="97">
        <f t="shared" si="39"/>
        <v>775000</v>
      </c>
      <c r="AN105" s="97">
        <f t="shared" si="39"/>
        <v>0</v>
      </c>
      <c r="AO105" s="97">
        <f t="shared" si="39"/>
        <v>400000</v>
      </c>
      <c r="AP105" s="97">
        <f>SUM(AP98:AP104)</f>
        <v>920000</v>
      </c>
      <c r="AQ105" s="97">
        <f>SUM(AQ98:AQ104)</f>
        <v>335000</v>
      </c>
      <c r="AR105" s="97">
        <f>SUM(AR98:AR104)</f>
        <v>300000</v>
      </c>
      <c r="AS105" s="97">
        <f>SUM(AS98:AS104)</f>
        <v>680000</v>
      </c>
      <c r="AT105" s="97">
        <f t="shared" si="39"/>
        <v>0</v>
      </c>
      <c r="AU105" s="97">
        <f t="shared" si="39"/>
        <v>160000</v>
      </c>
      <c r="AV105" s="97">
        <f t="shared" si="39"/>
        <v>0</v>
      </c>
      <c r="AW105" s="97">
        <f t="shared" si="39"/>
        <v>0</v>
      </c>
      <c r="AX105" s="460">
        <f t="shared" si="22"/>
        <v>17684116</v>
      </c>
      <c r="AY105" s="460">
        <f t="shared" si="23"/>
        <v>13962944</v>
      </c>
    </row>
    <row r="106" spans="1:51" s="153" customFormat="1" ht="14.25" customHeight="1" x14ac:dyDescent="0.25">
      <c r="A106" s="143" t="s">
        <v>84</v>
      </c>
      <c r="B106" s="135" t="s">
        <v>371</v>
      </c>
      <c r="C106" s="138" t="s">
        <v>372</v>
      </c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100"/>
      <c r="AX106" s="460">
        <f t="shared" si="22"/>
        <v>0</v>
      </c>
      <c r="AY106" s="460">
        <f t="shared" si="23"/>
        <v>0</v>
      </c>
    </row>
    <row r="107" spans="1:51" s="153" customFormat="1" ht="14.25" customHeight="1" x14ac:dyDescent="0.25">
      <c r="A107" s="143" t="s">
        <v>85</v>
      </c>
      <c r="B107" s="135" t="s">
        <v>373</v>
      </c>
      <c r="C107" s="138" t="s">
        <v>374</v>
      </c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>
        <v>50000</v>
      </c>
      <c r="U107" s="97">
        <v>50000</v>
      </c>
      <c r="V107" s="97">
        <v>50000</v>
      </c>
      <c r="W107" s="97">
        <v>50000</v>
      </c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100"/>
      <c r="AX107" s="460">
        <f t="shared" si="22"/>
        <v>100000</v>
      </c>
      <c r="AY107" s="460">
        <f t="shared" si="23"/>
        <v>100000</v>
      </c>
    </row>
    <row r="108" spans="1:51" s="146" customFormat="1" ht="14.25" customHeight="1" x14ac:dyDescent="0.25">
      <c r="A108" s="143" t="s">
        <v>86</v>
      </c>
      <c r="B108" s="132" t="s">
        <v>375</v>
      </c>
      <c r="C108" s="137" t="s">
        <v>376</v>
      </c>
      <c r="D108" s="96">
        <f>SUM(D91+D94+D105)*0.27</f>
        <v>0</v>
      </c>
      <c r="E108" s="96"/>
      <c r="F108" s="96">
        <f>(F91+F94+F105-300000)*0.27</f>
        <v>521100.00000000006</v>
      </c>
      <c r="G108" s="96">
        <f>(G91+G94+G105-700000)*0.27+5951</f>
        <v>352301.87</v>
      </c>
      <c r="H108" s="96">
        <f>SUM(H91+H94+H105-500000)*0.27</f>
        <v>153900</v>
      </c>
      <c r="I108" s="96">
        <f>SUM(I91+I94+I105-300000)*0.27</f>
        <v>199800</v>
      </c>
      <c r="J108" s="96">
        <f>J105*0.27</f>
        <v>0</v>
      </c>
      <c r="K108" s="96">
        <f>K105*0.27</f>
        <v>191700</v>
      </c>
      <c r="L108" s="96">
        <f>SUM(L91+L94+L105)*0.27</f>
        <v>506832.66000000003</v>
      </c>
      <c r="M108" s="96">
        <f>SUM(M91+M94+M105)*0.27</f>
        <v>669600</v>
      </c>
      <c r="N108" s="96">
        <f>SUM(N91+N94+N105)*0.27</f>
        <v>0</v>
      </c>
      <c r="O108" s="96"/>
      <c r="P108" s="96">
        <f>SUM(P91+P94+P105)*0.27</f>
        <v>191700</v>
      </c>
      <c r="Q108" s="96">
        <f>SUM(Q91+Q94+Q105)*0.27</f>
        <v>210600</v>
      </c>
      <c r="R108" s="96">
        <f>SUM(R91+R94+R105)*0.27</f>
        <v>156600</v>
      </c>
      <c r="S108" s="96">
        <f>SUM(S91+S94+S105)*0.27</f>
        <v>261900.00000000003</v>
      </c>
      <c r="T108" s="96">
        <f>(T91+T94+T105)*0.27+8410</f>
        <v>279760</v>
      </c>
      <c r="U108" s="96">
        <f>(U91+U94+U105)*0.27</f>
        <v>64800.000000000007</v>
      </c>
      <c r="V108" s="96">
        <f>SUM(V91+V94+V105)*0.27</f>
        <v>597511.08000000007</v>
      </c>
      <c r="W108" s="96">
        <f>SUM(W91+W94+W105-200000)*0.27</f>
        <v>1263600</v>
      </c>
      <c r="X108" s="96">
        <f>SUM(X91+X94+X105)*0.27</f>
        <v>45900</v>
      </c>
      <c r="Y108" s="96">
        <f>SUM(Y91+Y94+Y105)*0.27</f>
        <v>126583.56000000001</v>
      </c>
      <c r="Z108" s="96"/>
      <c r="AA108" s="96"/>
      <c r="AB108" s="96">
        <f>SUM(AB91+AB94+AB105-110000)*0.27</f>
        <v>-8100.0000000000009</v>
      </c>
      <c r="AC108" s="96"/>
      <c r="AD108" s="96">
        <f>SUM(AD91+AD94+AD105)*0.27</f>
        <v>22032</v>
      </c>
      <c r="AE108" s="96"/>
      <c r="AF108" s="96">
        <f>SUM(AF91+AF94+AF105-4000000)*0.27</f>
        <v>1335150</v>
      </c>
      <c r="AG108" s="96">
        <f>SUM(AG91+AG94+AG105)*0.27</f>
        <v>620460</v>
      </c>
      <c r="AH108" s="96">
        <f>SUM(AH91+AH94+AH105)*0.27</f>
        <v>0</v>
      </c>
      <c r="AI108" s="96"/>
      <c r="AJ108" s="96">
        <f>SUM(AJ91+AJ94+AJ105)*0.27</f>
        <v>0</v>
      </c>
      <c r="AK108" s="96"/>
      <c r="AL108" s="96">
        <f>SUM(AL91+AL94+AL105)*0.27</f>
        <v>0</v>
      </c>
      <c r="AM108" s="96">
        <f>SUM(AM91+AM94+AM105-270000)*0.27</f>
        <v>203850</v>
      </c>
      <c r="AN108" s="96"/>
      <c r="AO108" s="96">
        <f>SUM(AO91+AO94+AO105-170000)*0.27</f>
        <v>118800.00000000001</v>
      </c>
      <c r="AP108" s="96">
        <f t="shared" ref="AP108:AV108" si="40">SUM(AP91+AP94+AP105)*0.27</f>
        <v>248400.00000000003</v>
      </c>
      <c r="AQ108" s="96">
        <f>SUM(AQ91+AQ94+AQ105-100000)*0.27</f>
        <v>76950</v>
      </c>
      <c r="AR108" s="96">
        <f t="shared" si="40"/>
        <v>197100</v>
      </c>
      <c r="AS108" s="96">
        <f>SUM(AS91+AS94+AS105-500000)*0.27</f>
        <v>237600.00000000003</v>
      </c>
      <c r="AT108" s="96">
        <f t="shared" si="40"/>
        <v>0</v>
      </c>
      <c r="AU108" s="96">
        <f t="shared" si="40"/>
        <v>49340.61</v>
      </c>
      <c r="AV108" s="96">
        <f t="shared" si="40"/>
        <v>0</v>
      </c>
      <c r="AW108" s="98"/>
      <c r="AX108" s="421">
        <f t="shared" si="22"/>
        <v>4247885.74</v>
      </c>
      <c r="AY108" s="421">
        <f t="shared" si="23"/>
        <v>4647886.040000001</v>
      </c>
    </row>
    <row r="109" spans="1:51" ht="14.25" customHeight="1" x14ac:dyDescent="0.25">
      <c r="A109" s="143" t="s">
        <v>87</v>
      </c>
      <c r="B109" s="143" t="s">
        <v>377</v>
      </c>
      <c r="C109" s="149" t="s">
        <v>378</v>
      </c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>
        <f>T40</f>
        <v>0</v>
      </c>
      <c r="U109" s="99"/>
      <c r="V109" s="99">
        <v>200000</v>
      </c>
      <c r="W109" s="99">
        <v>200000</v>
      </c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>
        <v>100000</v>
      </c>
      <c r="AQ109" s="99">
        <v>100000</v>
      </c>
      <c r="AR109" s="99"/>
      <c r="AS109" s="99"/>
      <c r="AT109" s="99"/>
      <c r="AU109" s="99"/>
      <c r="AV109" s="99"/>
      <c r="AW109" s="101"/>
      <c r="AX109" s="421">
        <f t="shared" si="22"/>
        <v>300000</v>
      </c>
      <c r="AY109" s="421">
        <f t="shared" si="23"/>
        <v>300000</v>
      </c>
    </row>
    <row r="110" spans="1:51" ht="14.25" customHeight="1" x14ac:dyDescent="0.25">
      <c r="A110" s="143" t="s">
        <v>88</v>
      </c>
      <c r="B110" s="143" t="s">
        <v>379</v>
      </c>
      <c r="C110" s="149" t="s">
        <v>380</v>
      </c>
      <c r="D110" s="99"/>
      <c r="E110" s="99"/>
      <c r="F110" s="99">
        <v>0</v>
      </c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101"/>
      <c r="AX110" s="421">
        <f t="shared" si="22"/>
        <v>0</v>
      </c>
      <c r="AY110" s="421">
        <f t="shared" si="23"/>
        <v>0</v>
      </c>
    </row>
    <row r="111" spans="1:51" ht="14.25" customHeight="1" x14ac:dyDescent="0.25">
      <c r="A111" s="143" t="s">
        <v>135</v>
      </c>
      <c r="B111" s="143" t="s">
        <v>381</v>
      </c>
      <c r="C111" s="149" t="s">
        <v>382</v>
      </c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  <c r="AV111" s="99"/>
      <c r="AW111" s="101"/>
      <c r="AX111" s="421">
        <f t="shared" si="22"/>
        <v>0</v>
      </c>
      <c r="AY111" s="421">
        <f t="shared" si="23"/>
        <v>0</v>
      </c>
    </row>
    <row r="112" spans="1:51" ht="14.25" customHeight="1" x14ac:dyDescent="0.25">
      <c r="A112" s="143" t="s">
        <v>136</v>
      </c>
      <c r="B112" s="143" t="s">
        <v>383</v>
      </c>
      <c r="C112" s="149" t="s">
        <v>384</v>
      </c>
      <c r="D112" s="99"/>
      <c r="E112" s="99"/>
      <c r="F112" s="99"/>
      <c r="G112" s="99">
        <v>120500</v>
      </c>
      <c r="H112" s="99"/>
      <c r="I112" s="99"/>
      <c r="J112" s="99"/>
      <c r="K112" s="99"/>
      <c r="L112" s="99">
        <v>50</v>
      </c>
      <c r="M112" s="99"/>
      <c r="N112" s="99"/>
      <c r="O112" s="99"/>
      <c r="P112" s="99"/>
      <c r="Q112" s="99"/>
      <c r="R112" s="99"/>
      <c r="S112" s="99"/>
      <c r="T112" s="99">
        <v>10000</v>
      </c>
      <c r="U112" s="99">
        <v>50</v>
      </c>
      <c r="V112" s="99">
        <v>10000</v>
      </c>
      <c r="W112" s="99">
        <v>19000</v>
      </c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>
        <v>500</v>
      </c>
      <c r="AR112" s="99"/>
      <c r="AS112" s="99">
        <v>10000</v>
      </c>
      <c r="AT112" s="99"/>
      <c r="AU112" s="99"/>
      <c r="AV112" s="99"/>
      <c r="AW112" s="101"/>
      <c r="AX112" s="421">
        <f t="shared" si="22"/>
        <v>20050</v>
      </c>
      <c r="AY112" s="421">
        <f t="shared" si="23"/>
        <v>150050</v>
      </c>
    </row>
    <row r="113" spans="1:51" s="153" customFormat="1" ht="14.25" customHeight="1" x14ac:dyDescent="0.25">
      <c r="A113" s="143" t="s">
        <v>89</v>
      </c>
      <c r="B113" s="135" t="s">
        <v>385</v>
      </c>
      <c r="C113" s="136" t="s">
        <v>386</v>
      </c>
      <c r="D113" s="97">
        <f>SUM(D108:D112)</f>
        <v>0</v>
      </c>
      <c r="E113" s="97">
        <f t="shared" ref="E113:AC113" si="41">SUM(E108:E112)</f>
        <v>0</v>
      </c>
      <c r="F113" s="97">
        <f t="shared" si="41"/>
        <v>521100.00000000006</v>
      </c>
      <c r="G113" s="97">
        <f t="shared" si="41"/>
        <v>472801.87</v>
      </c>
      <c r="H113" s="97">
        <f t="shared" si="41"/>
        <v>153900</v>
      </c>
      <c r="I113" s="97">
        <f t="shared" si="41"/>
        <v>199800</v>
      </c>
      <c r="J113" s="97">
        <f t="shared" si="41"/>
        <v>0</v>
      </c>
      <c r="K113" s="97">
        <f t="shared" si="41"/>
        <v>191700</v>
      </c>
      <c r="L113" s="97">
        <f t="shared" si="41"/>
        <v>506882.66000000003</v>
      </c>
      <c r="M113" s="97">
        <f t="shared" si="41"/>
        <v>669600</v>
      </c>
      <c r="N113" s="97">
        <f t="shared" si="41"/>
        <v>0</v>
      </c>
      <c r="O113" s="97">
        <f t="shared" si="41"/>
        <v>0</v>
      </c>
      <c r="P113" s="97">
        <f>SUM(P108:P112)</f>
        <v>191700</v>
      </c>
      <c r="Q113" s="97">
        <f>SUM(Q108:Q112)</f>
        <v>210600</v>
      </c>
      <c r="R113" s="97">
        <f t="shared" si="41"/>
        <v>156600</v>
      </c>
      <c r="S113" s="97">
        <f t="shared" si="41"/>
        <v>261900.00000000003</v>
      </c>
      <c r="T113" s="97">
        <f>SUM(T108:T112)</f>
        <v>289760</v>
      </c>
      <c r="U113" s="97">
        <f>SUM(U108:U112)</f>
        <v>64850.000000000007</v>
      </c>
      <c r="V113" s="97">
        <f t="shared" si="41"/>
        <v>807511.08000000007</v>
      </c>
      <c r="W113" s="97">
        <f t="shared" si="41"/>
        <v>1482600</v>
      </c>
      <c r="X113" s="97">
        <f t="shared" si="41"/>
        <v>45900</v>
      </c>
      <c r="Y113" s="97">
        <f t="shared" si="41"/>
        <v>126583.56000000001</v>
      </c>
      <c r="Z113" s="97">
        <f t="shared" si="41"/>
        <v>0</v>
      </c>
      <c r="AA113" s="97">
        <f t="shared" si="41"/>
        <v>0</v>
      </c>
      <c r="AB113" s="97">
        <f t="shared" si="41"/>
        <v>-8100.0000000000009</v>
      </c>
      <c r="AC113" s="97">
        <f t="shared" si="41"/>
        <v>0</v>
      </c>
      <c r="AD113" s="97">
        <f>SUM(AD108:AD112)</f>
        <v>22032</v>
      </c>
      <c r="AE113" s="97">
        <f>SUM(AE108:AE112)</f>
        <v>0</v>
      </c>
      <c r="AF113" s="97">
        <f t="shared" ref="AF113:AW113" si="42">SUM(AF108:AF112)</f>
        <v>1335150</v>
      </c>
      <c r="AG113" s="97">
        <f t="shared" si="42"/>
        <v>620460</v>
      </c>
      <c r="AH113" s="97">
        <f t="shared" si="42"/>
        <v>0</v>
      </c>
      <c r="AI113" s="97">
        <f t="shared" si="42"/>
        <v>0</v>
      </c>
      <c r="AJ113" s="97">
        <f>SUM(AJ108:AJ112)</f>
        <v>0</v>
      </c>
      <c r="AK113" s="97">
        <f>SUM(AK108:AK112)</f>
        <v>0</v>
      </c>
      <c r="AL113" s="97">
        <f t="shared" si="42"/>
        <v>0</v>
      </c>
      <c r="AM113" s="97">
        <f t="shared" si="42"/>
        <v>203850</v>
      </c>
      <c r="AN113" s="97">
        <f t="shared" si="42"/>
        <v>0</v>
      </c>
      <c r="AO113" s="97">
        <f t="shared" si="42"/>
        <v>118800.00000000001</v>
      </c>
      <c r="AP113" s="97">
        <f>SUM(AP108:AP112)</f>
        <v>348400</v>
      </c>
      <c r="AQ113" s="97">
        <f>SUM(AQ108:AQ112)</f>
        <v>177450</v>
      </c>
      <c r="AR113" s="97">
        <f>SUM(AR108:AR112)</f>
        <v>197100</v>
      </c>
      <c r="AS113" s="97">
        <f>SUM(AS108:AS112)</f>
        <v>247600.00000000003</v>
      </c>
      <c r="AT113" s="97">
        <f t="shared" si="42"/>
        <v>0</v>
      </c>
      <c r="AU113" s="97">
        <f t="shared" si="42"/>
        <v>49340.61</v>
      </c>
      <c r="AV113" s="97">
        <f t="shared" si="42"/>
        <v>0</v>
      </c>
      <c r="AW113" s="97">
        <f t="shared" si="42"/>
        <v>0</v>
      </c>
      <c r="AX113" s="460">
        <f t="shared" si="22"/>
        <v>4567935.74</v>
      </c>
      <c r="AY113" s="460">
        <f t="shared" si="23"/>
        <v>5097936.04</v>
      </c>
    </row>
    <row r="114" spans="1:51" s="153" customFormat="1" ht="14.25" customHeight="1" x14ac:dyDescent="0.25">
      <c r="A114" s="143" t="s">
        <v>90</v>
      </c>
      <c r="B114" s="135" t="s">
        <v>387</v>
      </c>
      <c r="C114" s="136" t="s">
        <v>388</v>
      </c>
      <c r="D114" s="97">
        <f t="shared" ref="D114:AC114" si="43">D91+D94+D105+D106+D107+D113</f>
        <v>0</v>
      </c>
      <c r="E114" s="97">
        <f t="shared" si="43"/>
        <v>0</v>
      </c>
      <c r="F114" s="97">
        <f t="shared" si="43"/>
        <v>2751100</v>
      </c>
      <c r="G114" s="97">
        <f t="shared" si="43"/>
        <v>2455582.87</v>
      </c>
      <c r="H114" s="97">
        <f t="shared" si="43"/>
        <v>1223900</v>
      </c>
      <c r="I114" s="97">
        <f t="shared" si="43"/>
        <v>1239800</v>
      </c>
      <c r="J114" s="97">
        <f t="shared" si="43"/>
        <v>0</v>
      </c>
      <c r="K114" s="97">
        <f t="shared" si="43"/>
        <v>1001700</v>
      </c>
      <c r="L114" s="97">
        <f t="shared" si="43"/>
        <v>2384040.66</v>
      </c>
      <c r="M114" s="97">
        <f t="shared" si="43"/>
        <v>3149600</v>
      </c>
      <c r="N114" s="97">
        <f t="shared" si="43"/>
        <v>0</v>
      </c>
      <c r="O114" s="97">
        <f t="shared" si="43"/>
        <v>0</v>
      </c>
      <c r="P114" s="97">
        <f>P91+P94+P105+P106+P107+P113</f>
        <v>901700</v>
      </c>
      <c r="Q114" s="97">
        <f>Q91+Q94+Q105+Q106+Q107+Q113</f>
        <v>990600</v>
      </c>
      <c r="R114" s="97">
        <f t="shared" si="43"/>
        <v>736600</v>
      </c>
      <c r="S114" s="97">
        <f t="shared" si="43"/>
        <v>1231900</v>
      </c>
      <c r="T114" s="97">
        <f>T91+T94+T105+T106+T107+T113</f>
        <v>1344760</v>
      </c>
      <c r="U114" s="97">
        <f>U91+U94+U105+U106+U107+U113</f>
        <v>354850</v>
      </c>
      <c r="V114" s="97">
        <f t="shared" si="43"/>
        <v>3070515.08</v>
      </c>
      <c r="W114" s="97">
        <f t="shared" si="43"/>
        <v>6412600</v>
      </c>
      <c r="X114" s="97">
        <f t="shared" si="43"/>
        <v>215900</v>
      </c>
      <c r="Y114" s="97">
        <f t="shared" si="43"/>
        <v>595411.56000000006</v>
      </c>
      <c r="Z114" s="97">
        <f t="shared" si="43"/>
        <v>1254516</v>
      </c>
      <c r="AA114" s="97">
        <f t="shared" si="43"/>
        <v>1238116</v>
      </c>
      <c r="AB114" s="97">
        <f t="shared" si="43"/>
        <v>71900</v>
      </c>
      <c r="AC114" s="97">
        <f t="shared" si="43"/>
        <v>80000</v>
      </c>
      <c r="AD114" s="97">
        <f>AD91+AD94+AD105+AD106+AD107+AD113</f>
        <v>103632</v>
      </c>
      <c r="AE114" s="97">
        <f>AE91+AE94+AE105+AE106+AE107+AE113</f>
        <v>48000</v>
      </c>
      <c r="AF114" s="97">
        <f t="shared" ref="AF114:AW114" si="44">AF91+AF94+AF105+AF106+AF107+AF113</f>
        <v>10280150</v>
      </c>
      <c r="AG114" s="97">
        <f t="shared" si="44"/>
        <v>2918460</v>
      </c>
      <c r="AH114" s="97">
        <f t="shared" si="44"/>
        <v>0</v>
      </c>
      <c r="AI114" s="97">
        <f t="shared" si="44"/>
        <v>0</v>
      </c>
      <c r="AJ114" s="97">
        <f>AJ91+AJ94+AJ105+AJ106+AJ107+AJ113</f>
        <v>0</v>
      </c>
      <c r="AK114" s="97">
        <f>AK91+AK94+AK105+AK106+AK107+AK113</f>
        <v>0</v>
      </c>
      <c r="AL114" s="97">
        <f t="shared" si="44"/>
        <v>0</v>
      </c>
      <c r="AM114" s="97">
        <f t="shared" si="44"/>
        <v>1228850</v>
      </c>
      <c r="AN114" s="97">
        <f t="shared" si="44"/>
        <v>50000</v>
      </c>
      <c r="AO114" s="97">
        <f t="shared" si="44"/>
        <v>728800</v>
      </c>
      <c r="AP114" s="97">
        <f>AP91+AP94+AP105+AP106+AP107+AP113</f>
        <v>1268400</v>
      </c>
      <c r="AQ114" s="97">
        <f>AQ91+AQ94+AQ105+AQ106+AQ107+AQ113</f>
        <v>562450</v>
      </c>
      <c r="AR114" s="97">
        <f>AR91+AR94+AR105+AR106+AR107+AR113</f>
        <v>927100</v>
      </c>
      <c r="AS114" s="97">
        <f>AS91+AS94+AS105+AS106+AS107+AS113</f>
        <v>1627600</v>
      </c>
      <c r="AT114" s="97">
        <f t="shared" si="44"/>
        <v>0</v>
      </c>
      <c r="AU114" s="97">
        <f t="shared" si="44"/>
        <v>232083.61</v>
      </c>
      <c r="AV114" s="97">
        <f t="shared" si="44"/>
        <v>0</v>
      </c>
      <c r="AW114" s="97">
        <f t="shared" si="44"/>
        <v>0</v>
      </c>
      <c r="AX114" s="460">
        <f t="shared" si="22"/>
        <v>26584213.740000002</v>
      </c>
      <c r="AY114" s="460">
        <f t="shared" si="23"/>
        <v>26096404.039999999</v>
      </c>
    </row>
    <row r="115" spans="1:51" s="146" customFormat="1" ht="14.25" customHeight="1" x14ac:dyDescent="0.25">
      <c r="A115" s="143" t="s">
        <v>91</v>
      </c>
      <c r="B115" s="132" t="s">
        <v>389</v>
      </c>
      <c r="C115" s="137" t="s">
        <v>390</v>
      </c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>
        <v>400000</v>
      </c>
      <c r="AU115" s="96">
        <v>400000</v>
      </c>
      <c r="AV115" s="96"/>
      <c r="AW115" s="98"/>
      <c r="AX115" s="421">
        <f t="shared" si="22"/>
        <v>400000</v>
      </c>
      <c r="AY115" s="421">
        <f t="shared" si="23"/>
        <v>400000</v>
      </c>
    </row>
    <row r="116" spans="1:51" s="153" customFormat="1" ht="14.25" customHeight="1" x14ac:dyDescent="0.25">
      <c r="A116" s="143" t="s">
        <v>92</v>
      </c>
      <c r="B116" s="135" t="s">
        <v>391</v>
      </c>
      <c r="C116" s="138" t="s">
        <v>392</v>
      </c>
      <c r="D116" s="97">
        <f>SUM(D115)</f>
        <v>0</v>
      </c>
      <c r="E116" s="97">
        <f t="shared" ref="E116:AC116" si="45">SUM(E115)</f>
        <v>0</v>
      </c>
      <c r="F116" s="97">
        <f t="shared" si="45"/>
        <v>0</v>
      </c>
      <c r="G116" s="97">
        <f t="shared" si="45"/>
        <v>0</v>
      </c>
      <c r="H116" s="97">
        <f t="shared" si="45"/>
        <v>0</v>
      </c>
      <c r="I116" s="97">
        <f t="shared" si="45"/>
        <v>0</v>
      </c>
      <c r="J116" s="97">
        <f t="shared" si="45"/>
        <v>0</v>
      </c>
      <c r="K116" s="97">
        <f t="shared" si="45"/>
        <v>0</v>
      </c>
      <c r="L116" s="97">
        <f t="shared" si="45"/>
        <v>0</v>
      </c>
      <c r="M116" s="97">
        <f t="shared" si="45"/>
        <v>0</v>
      </c>
      <c r="N116" s="97">
        <f t="shared" si="45"/>
        <v>0</v>
      </c>
      <c r="O116" s="97">
        <f t="shared" si="45"/>
        <v>0</v>
      </c>
      <c r="P116" s="97">
        <f>SUM(P115)</f>
        <v>0</v>
      </c>
      <c r="Q116" s="97">
        <f>SUM(Q115)</f>
        <v>0</v>
      </c>
      <c r="R116" s="97">
        <f t="shared" si="45"/>
        <v>0</v>
      </c>
      <c r="S116" s="97">
        <f t="shared" si="45"/>
        <v>0</v>
      </c>
      <c r="T116" s="97">
        <f>SUM(T115)</f>
        <v>0</v>
      </c>
      <c r="U116" s="97">
        <f>SUM(U115)</f>
        <v>0</v>
      </c>
      <c r="V116" s="97">
        <f t="shared" si="45"/>
        <v>0</v>
      </c>
      <c r="W116" s="97">
        <f t="shared" si="45"/>
        <v>0</v>
      </c>
      <c r="X116" s="97">
        <f t="shared" si="45"/>
        <v>0</v>
      </c>
      <c r="Y116" s="97">
        <f t="shared" si="45"/>
        <v>0</v>
      </c>
      <c r="Z116" s="97">
        <f t="shared" si="45"/>
        <v>0</v>
      </c>
      <c r="AA116" s="97">
        <f t="shared" si="45"/>
        <v>0</v>
      </c>
      <c r="AB116" s="97">
        <f t="shared" si="45"/>
        <v>0</v>
      </c>
      <c r="AC116" s="97">
        <f t="shared" si="45"/>
        <v>0</v>
      </c>
      <c r="AD116" s="97">
        <f>SUM(AD115)</f>
        <v>0</v>
      </c>
      <c r="AE116" s="97">
        <f>SUM(AE115)</f>
        <v>0</v>
      </c>
      <c r="AF116" s="97">
        <f t="shared" ref="AF116:AW116" si="46">SUM(AF115)</f>
        <v>0</v>
      </c>
      <c r="AG116" s="97">
        <f t="shared" si="46"/>
        <v>0</v>
      </c>
      <c r="AH116" s="97">
        <f t="shared" si="46"/>
        <v>0</v>
      </c>
      <c r="AI116" s="97">
        <f t="shared" si="46"/>
        <v>0</v>
      </c>
      <c r="AJ116" s="97">
        <f>SUM(AJ115)</f>
        <v>0</v>
      </c>
      <c r="AK116" s="97">
        <f>SUM(AK115)</f>
        <v>0</v>
      </c>
      <c r="AL116" s="97">
        <f t="shared" si="46"/>
        <v>0</v>
      </c>
      <c r="AM116" s="97">
        <f t="shared" si="46"/>
        <v>0</v>
      </c>
      <c r="AN116" s="97">
        <f t="shared" si="46"/>
        <v>0</v>
      </c>
      <c r="AO116" s="97">
        <f t="shared" si="46"/>
        <v>0</v>
      </c>
      <c r="AP116" s="97">
        <f>SUM(AP115)</f>
        <v>0</v>
      </c>
      <c r="AQ116" s="97">
        <f>SUM(AQ115)</f>
        <v>0</v>
      </c>
      <c r="AR116" s="97">
        <f>SUM(AR115)</f>
        <v>0</v>
      </c>
      <c r="AS116" s="97">
        <f>SUM(AS115)</f>
        <v>0</v>
      </c>
      <c r="AT116" s="97">
        <f t="shared" si="46"/>
        <v>400000</v>
      </c>
      <c r="AU116" s="97">
        <f t="shared" si="46"/>
        <v>400000</v>
      </c>
      <c r="AV116" s="97">
        <f t="shared" si="46"/>
        <v>0</v>
      </c>
      <c r="AW116" s="97">
        <f t="shared" si="46"/>
        <v>0</v>
      </c>
      <c r="AX116" s="460">
        <f t="shared" si="22"/>
        <v>400000</v>
      </c>
      <c r="AY116" s="460">
        <f t="shared" si="23"/>
        <v>400000</v>
      </c>
    </row>
    <row r="117" spans="1:51" s="146" customFormat="1" ht="14.25" customHeight="1" x14ac:dyDescent="0.25">
      <c r="A117" s="143" t="s">
        <v>137</v>
      </c>
      <c r="B117" s="132" t="s">
        <v>589</v>
      </c>
      <c r="C117" s="137" t="s">
        <v>590</v>
      </c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8"/>
      <c r="AX117" s="421">
        <f t="shared" si="22"/>
        <v>0</v>
      </c>
      <c r="AY117" s="421">
        <f t="shared" si="23"/>
        <v>0</v>
      </c>
    </row>
    <row r="118" spans="1:51" s="146" customFormat="1" ht="14.25" customHeight="1" x14ac:dyDescent="0.25">
      <c r="A118" s="143" t="s">
        <v>138</v>
      </c>
      <c r="B118" s="132" t="s">
        <v>393</v>
      </c>
      <c r="C118" s="137" t="s">
        <v>394</v>
      </c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8"/>
      <c r="AX118" s="421">
        <f t="shared" si="22"/>
        <v>0</v>
      </c>
      <c r="AY118" s="421">
        <f t="shared" si="23"/>
        <v>0</v>
      </c>
    </row>
    <row r="119" spans="1:51" s="146" customFormat="1" ht="14.25" customHeight="1" x14ac:dyDescent="0.25">
      <c r="A119" s="143" t="s">
        <v>139</v>
      </c>
      <c r="B119" s="132" t="s">
        <v>395</v>
      </c>
      <c r="C119" s="137" t="s">
        <v>396</v>
      </c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8"/>
      <c r="AX119" s="421">
        <f t="shared" si="22"/>
        <v>0</v>
      </c>
      <c r="AY119" s="421">
        <f t="shared" si="23"/>
        <v>0</v>
      </c>
    </row>
    <row r="120" spans="1:51" ht="14.25" customHeight="1" x14ac:dyDescent="0.25">
      <c r="A120" s="143" t="s">
        <v>140</v>
      </c>
      <c r="B120" s="143" t="s">
        <v>397</v>
      </c>
      <c r="C120" s="149" t="s">
        <v>398</v>
      </c>
      <c r="D120" s="99"/>
      <c r="E120" s="99"/>
      <c r="F120" s="99">
        <v>200000</v>
      </c>
      <c r="G120" s="99">
        <v>800000</v>
      </c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6"/>
      <c r="AQ120" s="96"/>
      <c r="AR120" s="99"/>
      <c r="AS120" s="99"/>
      <c r="AT120" s="99">
        <v>150000</v>
      </c>
      <c r="AU120" s="99">
        <v>150000</v>
      </c>
      <c r="AV120" s="99"/>
      <c r="AW120" s="101"/>
      <c r="AX120" s="421">
        <f t="shared" si="22"/>
        <v>350000</v>
      </c>
      <c r="AY120" s="421">
        <f t="shared" si="23"/>
        <v>950000</v>
      </c>
    </row>
    <row r="121" spans="1:51" ht="14.25" customHeight="1" x14ac:dyDescent="0.25">
      <c r="A121" s="143" t="s">
        <v>152</v>
      </c>
      <c r="B121" s="143" t="s">
        <v>399</v>
      </c>
      <c r="C121" s="149" t="s">
        <v>400</v>
      </c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6"/>
      <c r="AU121" s="99"/>
      <c r="AV121" s="99"/>
      <c r="AW121" s="101"/>
      <c r="AX121" s="421">
        <f t="shared" si="22"/>
        <v>0</v>
      </c>
      <c r="AY121" s="421">
        <f t="shared" si="23"/>
        <v>0</v>
      </c>
    </row>
    <row r="122" spans="1:51" ht="14.25" customHeight="1" x14ac:dyDescent="0.25">
      <c r="A122" s="143" t="s">
        <v>153</v>
      </c>
      <c r="B122" s="143" t="s">
        <v>401</v>
      </c>
      <c r="C122" s="149" t="s">
        <v>402</v>
      </c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>
        <v>4000</v>
      </c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>
        <f>1200000+300000</f>
        <v>1500000</v>
      </c>
      <c r="AI122" s="99">
        <f>1500000-4000</f>
        <v>1496000</v>
      </c>
      <c r="AJ122" s="99"/>
      <c r="AK122" s="99">
        <v>100000</v>
      </c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/>
      <c r="AW122" s="101"/>
      <c r="AX122" s="421">
        <f t="shared" si="22"/>
        <v>1500000</v>
      </c>
      <c r="AY122" s="421">
        <f t="shared" si="23"/>
        <v>1500000</v>
      </c>
    </row>
    <row r="123" spans="1:51" ht="14.25" customHeight="1" x14ac:dyDescent="0.25">
      <c r="A123" s="143" t="s">
        <v>154</v>
      </c>
      <c r="B123" s="143" t="s">
        <v>403</v>
      </c>
      <c r="C123" s="149" t="s">
        <v>123</v>
      </c>
      <c r="D123" s="99"/>
      <c r="E123" s="99"/>
      <c r="F123" s="99"/>
      <c r="G123" s="99">
        <v>14355382</v>
      </c>
      <c r="H123" s="99"/>
      <c r="I123" s="99"/>
      <c r="J123" s="99"/>
      <c r="K123" s="99"/>
      <c r="L123" s="99"/>
      <c r="M123" s="99"/>
      <c r="N123" s="99"/>
      <c r="O123" s="99"/>
      <c r="P123" s="99"/>
      <c r="Q123" s="99">
        <v>32593969</v>
      </c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>
        <v>1200000</v>
      </c>
      <c r="AN123" s="99"/>
      <c r="AO123" s="99"/>
      <c r="AP123" s="99"/>
      <c r="AQ123" s="99"/>
      <c r="AR123" s="99"/>
      <c r="AS123" s="99"/>
      <c r="AT123" s="99"/>
      <c r="AU123" s="99"/>
      <c r="AV123" s="99"/>
      <c r="AW123" s="101"/>
      <c r="AX123" s="421">
        <f t="shared" si="22"/>
        <v>0</v>
      </c>
      <c r="AY123" s="421">
        <f t="shared" si="23"/>
        <v>48149351</v>
      </c>
    </row>
    <row r="124" spans="1:51" s="153" customFormat="1" ht="14.25" customHeight="1" x14ac:dyDescent="0.25">
      <c r="A124" s="143" t="s">
        <v>155</v>
      </c>
      <c r="B124" s="135" t="s">
        <v>404</v>
      </c>
      <c r="C124" s="138" t="s">
        <v>121</v>
      </c>
      <c r="D124" s="97">
        <f>SUM(D118:D123)</f>
        <v>0</v>
      </c>
      <c r="E124" s="97">
        <f t="shared" ref="E124:AC124" si="47">SUM(E118:E123)</f>
        <v>0</v>
      </c>
      <c r="F124" s="97">
        <f t="shared" si="47"/>
        <v>200000</v>
      </c>
      <c r="G124" s="97">
        <f t="shared" si="47"/>
        <v>15155382</v>
      </c>
      <c r="H124" s="97">
        <f t="shared" si="47"/>
        <v>0</v>
      </c>
      <c r="I124" s="97">
        <f t="shared" si="47"/>
        <v>0</v>
      </c>
      <c r="J124" s="97">
        <f t="shared" si="47"/>
        <v>0</v>
      </c>
      <c r="K124" s="97">
        <f t="shared" si="47"/>
        <v>0</v>
      </c>
      <c r="L124" s="97">
        <f t="shared" si="47"/>
        <v>0</v>
      </c>
      <c r="M124" s="97">
        <f t="shared" si="47"/>
        <v>0</v>
      </c>
      <c r="N124" s="97">
        <f t="shared" si="47"/>
        <v>0</v>
      </c>
      <c r="O124" s="97">
        <f t="shared" si="47"/>
        <v>0</v>
      </c>
      <c r="P124" s="97">
        <f>SUM(P118:P123)</f>
        <v>0</v>
      </c>
      <c r="Q124" s="97">
        <f>SUM(Q118:Q123)</f>
        <v>32593969</v>
      </c>
      <c r="R124" s="97">
        <f t="shared" si="47"/>
        <v>0</v>
      </c>
      <c r="S124" s="97">
        <f t="shared" si="47"/>
        <v>0</v>
      </c>
      <c r="T124" s="97">
        <f>SUM(T118:T123)</f>
        <v>0</v>
      </c>
      <c r="U124" s="97">
        <f>SUM(U118:U123)</f>
        <v>0</v>
      </c>
      <c r="V124" s="97">
        <f t="shared" si="47"/>
        <v>0</v>
      </c>
      <c r="W124" s="97">
        <f t="shared" si="47"/>
        <v>4000</v>
      </c>
      <c r="X124" s="97">
        <f t="shared" si="47"/>
        <v>0</v>
      </c>
      <c r="Y124" s="97">
        <f t="shared" si="47"/>
        <v>0</v>
      </c>
      <c r="Z124" s="97">
        <f t="shared" si="47"/>
        <v>0</v>
      </c>
      <c r="AA124" s="97">
        <f t="shared" si="47"/>
        <v>0</v>
      </c>
      <c r="AB124" s="97">
        <f t="shared" si="47"/>
        <v>0</v>
      </c>
      <c r="AC124" s="97">
        <f t="shared" si="47"/>
        <v>0</v>
      </c>
      <c r="AD124" s="97">
        <f>SUM(AD118:AD123)</f>
        <v>0</v>
      </c>
      <c r="AE124" s="97">
        <f>SUM(AE118:AE123)</f>
        <v>0</v>
      </c>
      <c r="AF124" s="97">
        <f t="shared" ref="AF124:AW124" si="48">SUM(AF118:AF123)</f>
        <v>0</v>
      </c>
      <c r="AG124" s="97">
        <f t="shared" si="48"/>
        <v>0</v>
      </c>
      <c r="AH124" s="97">
        <f t="shared" si="48"/>
        <v>1500000</v>
      </c>
      <c r="AI124" s="97">
        <f t="shared" si="48"/>
        <v>1496000</v>
      </c>
      <c r="AJ124" s="97">
        <f>SUM(AJ118:AJ123)</f>
        <v>0</v>
      </c>
      <c r="AK124" s="97">
        <f>SUM(AK118:AK123)</f>
        <v>100000</v>
      </c>
      <c r="AL124" s="97">
        <f t="shared" si="48"/>
        <v>0</v>
      </c>
      <c r="AM124" s="97">
        <f>SUM(AM118:AM123)</f>
        <v>1200000</v>
      </c>
      <c r="AN124" s="97">
        <f t="shared" si="48"/>
        <v>0</v>
      </c>
      <c r="AO124" s="97">
        <f t="shared" si="48"/>
        <v>0</v>
      </c>
      <c r="AP124" s="97">
        <f>SUM(AP118:AP123)</f>
        <v>0</v>
      </c>
      <c r="AQ124" s="97">
        <f>SUM(AQ118:AQ123)</f>
        <v>0</v>
      </c>
      <c r="AR124" s="97">
        <f>SUM(AR118:AR123)</f>
        <v>0</v>
      </c>
      <c r="AS124" s="97">
        <f>SUM(AS118:AS123)</f>
        <v>0</v>
      </c>
      <c r="AT124" s="97">
        <f t="shared" si="48"/>
        <v>150000</v>
      </c>
      <c r="AU124" s="97">
        <f t="shared" si="48"/>
        <v>150000</v>
      </c>
      <c r="AV124" s="97">
        <f t="shared" si="48"/>
        <v>0</v>
      </c>
      <c r="AW124" s="97">
        <f t="shared" si="48"/>
        <v>0</v>
      </c>
      <c r="AX124" s="460">
        <f t="shared" si="22"/>
        <v>1850000</v>
      </c>
      <c r="AY124" s="460">
        <f t="shared" si="23"/>
        <v>50599351</v>
      </c>
    </row>
    <row r="125" spans="1:51" ht="14.25" customHeight="1" x14ac:dyDescent="0.25">
      <c r="A125" s="143" t="s">
        <v>156</v>
      </c>
      <c r="B125" s="143" t="s">
        <v>405</v>
      </c>
      <c r="C125" s="149" t="s">
        <v>406</v>
      </c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101"/>
      <c r="AX125" s="421">
        <f t="shared" si="22"/>
        <v>0</v>
      </c>
      <c r="AY125" s="421">
        <f t="shared" si="23"/>
        <v>0</v>
      </c>
    </row>
    <row r="126" spans="1:51" ht="14.25" customHeight="1" x14ac:dyDescent="0.25">
      <c r="A126" s="143" t="s">
        <v>157</v>
      </c>
      <c r="B126" s="143" t="s">
        <v>407</v>
      </c>
      <c r="C126" s="149" t="s">
        <v>408</v>
      </c>
      <c r="D126" s="99"/>
      <c r="E126" s="99"/>
      <c r="F126" s="99"/>
      <c r="G126" s="99"/>
      <c r="H126" s="99"/>
      <c r="I126" s="99"/>
      <c r="J126" s="99"/>
      <c r="K126" s="99">
        <f>5750000+4250000</f>
        <v>10000000</v>
      </c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>
        <v>5000000</v>
      </c>
      <c r="AQ126" s="96"/>
      <c r="AR126" s="99"/>
      <c r="AS126" s="99"/>
      <c r="AT126" s="99"/>
      <c r="AU126" s="99"/>
      <c r="AV126" s="99"/>
      <c r="AW126" s="101"/>
      <c r="AX126" s="421">
        <f t="shared" si="22"/>
        <v>5000000</v>
      </c>
      <c r="AY126" s="421">
        <f t="shared" si="23"/>
        <v>10000000</v>
      </c>
    </row>
    <row r="127" spans="1:51" ht="14.25" customHeight="1" x14ac:dyDescent="0.25">
      <c r="A127" s="143" t="s">
        <v>158</v>
      </c>
      <c r="B127" s="143" t="s">
        <v>409</v>
      </c>
      <c r="C127" s="149" t="s">
        <v>410</v>
      </c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101"/>
      <c r="AX127" s="421">
        <f t="shared" si="22"/>
        <v>0</v>
      </c>
      <c r="AY127" s="421">
        <f t="shared" si="23"/>
        <v>0</v>
      </c>
    </row>
    <row r="128" spans="1:51" ht="14.25" customHeight="1" x14ac:dyDescent="0.25">
      <c r="A128" s="143" t="s">
        <v>159</v>
      </c>
      <c r="B128" s="143" t="s">
        <v>411</v>
      </c>
      <c r="C128" s="149" t="s">
        <v>412</v>
      </c>
      <c r="D128" s="99"/>
      <c r="E128" s="99"/>
      <c r="F128" s="99"/>
      <c r="G128" s="99">
        <v>21800</v>
      </c>
      <c r="H128" s="99"/>
      <c r="I128" s="99"/>
      <c r="J128" s="99"/>
      <c r="K128" s="99"/>
      <c r="L128" s="99">
        <v>242441</v>
      </c>
      <c r="M128" s="99">
        <v>813118</v>
      </c>
      <c r="N128" s="99"/>
      <c r="O128" s="99"/>
      <c r="P128" s="99"/>
      <c r="Q128" s="99"/>
      <c r="R128" s="99"/>
      <c r="S128" s="99"/>
      <c r="T128" s="99"/>
      <c r="U128" s="99"/>
      <c r="V128" s="99"/>
      <c r="W128" s="99">
        <v>385000</v>
      </c>
      <c r="X128" s="99"/>
      <c r="Y128" s="99">
        <v>135433</v>
      </c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>
        <v>33125</v>
      </c>
      <c r="AN128" s="99"/>
      <c r="AO128" s="99">
        <v>100000</v>
      </c>
      <c r="AP128" s="99"/>
      <c r="AQ128" s="99"/>
      <c r="AR128" s="99"/>
      <c r="AS128" s="99"/>
      <c r="AT128" s="99"/>
      <c r="AU128" s="99"/>
      <c r="AV128" s="99"/>
      <c r="AW128" s="101"/>
      <c r="AX128" s="421">
        <f t="shared" si="22"/>
        <v>242441</v>
      </c>
      <c r="AY128" s="421">
        <f t="shared" si="23"/>
        <v>1488476</v>
      </c>
    </row>
    <row r="129" spans="1:52" ht="14.25" customHeight="1" x14ac:dyDescent="0.25">
      <c r="A129" s="143" t="s">
        <v>160</v>
      </c>
      <c r="B129" s="143" t="s">
        <v>413</v>
      </c>
      <c r="C129" s="149" t="s">
        <v>414</v>
      </c>
      <c r="D129" s="99"/>
      <c r="E129" s="99"/>
      <c r="F129" s="99"/>
      <c r="G129" s="99"/>
      <c r="H129" s="99"/>
      <c r="I129" s="99"/>
      <c r="J129" s="99"/>
      <c r="K129" s="99">
        <v>996787</v>
      </c>
      <c r="L129" s="99">
        <f>L128*0.27</f>
        <v>65459.070000000007</v>
      </c>
      <c r="M129" s="99">
        <f>M128*0.27</f>
        <v>219541.86000000002</v>
      </c>
      <c r="N129" s="99"/>
      <c r="O129" s="99"/>
      <c r="P129" s="99"/>
      <c r="Q129" s="99"/>
      <c r="R129" s="99"/>
      <c r="S129" s="99"/>
      <c r="T129" s="99"/>
      <c r="U129" s="99"/>
      <c r="V129" s="99"/>
      <c r="W129" s="99">
        <f>W128*0.27</f>
        <v>103950</v>
      </c>
      <c r="X129" s="99"/>
      <c r="Y129" s="99">
        <f>Y128*0.27</f>
        <v>36566.910000000003</v>
      </c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>
        <f>AL128*0.27</f>
        <v>0</v>
      </c>
      <c r="AM129" s="99">
        <f>AM128*0.27</f>
        <v>8943.75</v>
      </c>
      <c r="AN129" s="99"/>
      <c r="AO129" s="99">
        <f>AO128*0.27</f>
        <v>27000</v>
      </c>
      <c r="AP129" s="99"/>
      <c r="AQ129" s="99"/>
      <c r="AR129" s="99"/>
      <c r="AS129" s="99"/>
      <c r="AT129" s="99"/>
      <c r="AU129" s="99"/>
      <c r="AV129" s="99"/>
      <c r="AW129" s="101"/>
      <c r="AX129" s="421">
        <f t="shared" si="22"/>
        <v>65459.070000000007</v>
      </c>
      <c r="AY129" s="421">
        <f t="shared" si="23"/>
        <v>1392789.52</v>
      </c>
    </row>
    <row r="130" spans="1:52" s="153" customFormat="1" ht="14.25" customHeight="1" x14ac:dyDescent="0.25">
      <c r="A130" s="143" t="s">
        <v>161</v>
      </c>
      <c r="B130" s="135" t="s">
        <v>415</v>
      </c>
      <c r="C130" s="138" t="s">
        <v>416</v>
      </c>
      <c r="D130" s="97">
        <f>SUM(D125:D129)</f>
        <v>0</v>
      </c>
      <c r="E130" s="97">
        <f t="shared" ref="E130:AC130" si="49">SUM(E125:E129)</f>
        <v>0</v>
      </c>
      <c r="F130" s="97">
        <f t="shared" si="49"/>
        <v>0</v>
      </c>
      <c r="G130" s="97">
        <f t="shared" si="49"/>
        <v>21800</v>
      </c>
      <c r="H130" s="97">
        <f t="shared" si="49"/>
        <v>0</v>
      </c>
      <c r="I130" s="97">
        <f t="shared" si="49"/>
        <v>0</v>
      </c>
      <c r="J130" s="97">
        <f t="shared" si="49"/>
        <v>0</v>
      </c>
      <c r="K130" s="97">
        <f>SUM(K125:K129)</f>
        <v>10996787</v>
      </c>
      <c r="L130" s="97">
        <f t="shared" si="49"/>
        <v>307900.07</v>
      </c>
      <c r="M130" s="97">
        <f t="shared" si="49"/>
        <v>1032659.86</v>
      </c>
      <c r="N130" s="97">
        <f t="shared" si="49"/>
        <v>0</v>
      </c>
      <c r="O130" s="97">
        <f t="shared" si="49"/>
        <v>0</v>
      </c>
      <c r="P130" s="97">
        <f>SUM(P125:P129)</f>
        <v>0</v>
      </c>
      <c r="Q130" s="97">
        <f>SUM(Q125:Q129)</f>
        <v>0</v>
      </c>
      <c r="R130" s="97">
        <f t="shared" si="49"/>
        <v>0</v>
      </c>
      <c r="S130" s="97">
        <f t="shared" si="49"/>
        <v>0</v>
      </c>
      <c r="T130" s="97">
        <f>SUM(T125:T129)</f>
        <v>0</v>
      </c>
      <c r="U130" s="97">
        <f>SUM(U125:U129)</f>
        <v>0</v>
      </c>
      <c r="V130" s="97">
        <f t="shared" si="49"/>
        <v>0</v>
      </c>
      <c r="W130" s="97">
        <f t="shared" si="49"/>
        <v>488950</v>
      </c>
      <c r="X130" s="97">
        <f t="shared" si="49"/>
        <v>0</v>
      </c>
      <c r="Y130" s="97">
        <f t="shared" si="49"/>
        <v>171999.91</v>
      </c>
      <c r="Z130" s="97">
        <f t="shared" si="49"/>
        <v>0</v>
      </c>
      <c r="AA130" s="97">
        <f t="shared" si="49"/>
        <v>0</v>
      </c>
      <c r="AB130" s="97">
        <f t="shared" si="49"/>
        <v>0</v>
      </c>
      <c r="AC130" s="97">
        <f t="shared" si="49"/>
        <v>0</v>
      </c>
      <c r="AD130" s="97">
        <f>SUM(AD125:AD129)</f>
        <v>0</v>
      </c>
      <c r="AE130" s="97">
        <f>SUM(AE125:AE129)</f>
        <v>0</v>
      </c>
      <c r="AF130" s="97">
        <f t="shared" ref="AF130:AW130" si="50">SUM(AF125:AF129)</f>
        <v>0</v>
      </c>
      <c r="AG130" s="97">
        <f t="shared" si="50"/>
        <v>0</v>
      </c>
      <c r="AH130" s="97">
        <f t="shared" si="50"/>
        <v>0</v>
      </c>
      <c r="AI130" s="97">
        <f t="shared" si="50"/>
        <v>0</v>
      </c>
      <c r="AJ130" s="97">
        <f>SUM(AJ125:AJ129)</f>
        <v>0</v>
      </c>
      <c r="AK130" s="97">
        <f>SUM(AK125:AK129)</f>
        <v>0</v>
      </c>
      <c r="AL130" s="97">
        <f t="shared" si="50"/>
        <v>0</v>
      </c>
      <c r="AM130" s="97">
        <f t="shared" si="50"/>
        <v>42068.75</v>
      </c>
      <c r="AN130" s="97">
        <f t="shared" si="50"/>
        <v>0</v>
      </c>
      <c r="AO130" s="97">
        <f t="shared" si="50"/>
        <v>127000</v>
      </c>
      <c r="AP130" s="97">
        <f>SUM(AP125:AP129)</f>
        <v>5000000</v>
      </c>
      <c r="AQ130" s="97">
        <f>SUM(AQ125:AQ129)</f>
        <v>0</v>
      </c>
      <c r="AR130" s="97">
        <f>SUM(AR125:AR129)</f>
        <v>0</v>
      </c>
      <c r="AS130" s="97">
        <f>SUM(AS125:AS129)</f>
        <v>0</v>
      </c>
      <c r="AT130" s="97">
        <f t="shared" si="50"/>
        <v>0</v>
      </c>
      <c r="AU130" s="97">
        <f t="shared" si="50"/>
        <v>0</v>
      </c>
      <c r="AV130" s="97">
        <f t="shared" si="50"/>
        <v>0</v>
      </c>
      <c r="AW130" s="97">
        <f t="shared" si="50"/>
        <v>0</v>
      </c>
      <c r="AX130" s="460">
        <f t="shared" si="22"/>
        <v>5307900.07</v>
      </c>
      <c r="AY130" s="460">
        <f t="shared" si="23"/>
        <v>12881265.52</v>
      </c>
    </row>
    <row r="131" spans="1:52" ht="14.25" customHeight="1" x14ac:dyDescent="0.25">
      <c r="A131" s="143" t="s">
        <v>162</v>
      </c>
      <c r="B131" s="143" t="s">
        <v>417</v>
      </c>
      <c r="C131" s="149" t="s">
        <v>418</v>
      </c>
      <c r="D131" s="99"/>
      <c r="E131" s="99"/>
      <c r="F131" s="99"/>
      <c r="G131" s="99"/>
      <c r="H131" s="99">
        <v>1000000</v>
      </c>
      <c r="I131" s="99">
        <v>1000000</v>
      </c>
      <c r="J131" s="99"/>
      <c r="K131" s="99">
        <v>752625</v>
      </c>
      <c r="L131" s="99"/>
      <c r="M131" s="99"/>
      <c r="N131" s="99"/>
      <c r="O131" s="99"/>
      <c r="P131" s="99">
        <f>380000+14625928+4000000</f>
        <v>19005928</v>
      </c>
      <c r="Q131" s="99">
        <f>380000+14625928+1000000</f>
        <v>16005928</v>
      </c>
      <c r="R131" s="99"/>
      <c r="S131" s="99"/>
      <c r="T131" s="99"/>
      <c r="U131" s="99"/>
      <c r="V131" s="99"/>
      <c r="W131" s="99">
        <v>1880000</v>
      </c>
      <c r="X131" s="99"/>
      <c r="Y131" s="99"/>
      <c r="Z131" s="99"/>
      <c r="AA131" s="99"/>
      <c r="AB131" s="99"/>
      <c r="AC131" s="99"/>
      <c r="AD131" s="99"/>
      <c r="AE131" s="99"/>
      <c r="AF131" s="99">
        <v>1000000</v>
      </c>
      <c r="AG131" s="99"/>
      <c r="AH131" s="99"/>
      <c r="AI131" s="99"/>
      <c r="AJ131" s="99"/>
      <c r="AK131" s="99"/>
      <c r="AL131" s="99"/>
      <c r="AM131" s="99">
        <v>150000</v>
      </c>
      <c r="AN131" s="99">
        <f>7377625+1500000</f>
        <v>8877625</v>
      </c>
      <c r="AO131" s="99">
        <v>8600000</v>
      </c>
      <c r="AP131" s="99">
        <v>3000000</v>
      </c>
      <c r="AQ131" s="99"/>
      <c r="AR131" s="99"/>
      <c r="AS131" s="99"/>
      <c r="AT131" s="99"/>
      <c r="AU131" s="99"/>
      <c r="AV131" s="99"/>
      <c r="AW131" s="101"/>
      <c r="AX131" s="421">
        <f t="shared" si="22"/>
        <v>32883553</v>
      </c>
      <c r="AY131" s="421">
        <f t="shared" si="23"/>
        <v>28388553</v>
      </c>
    </row>
    <row r="132" spans="1:52" ht="14.25" customHeight="1" x14ac:dyDescent="0.25">
      <c r="A132" s="143" t="s">
        <v>163</v>
      </c>
      <c r="B132" s="143" t="s">
        <v>419</v>
      </c>
      <c r="C132" s="149" t="s">
        <v>420</v>
      </c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  <c r="AP132" s="99"/>
      <c r="AQ132" s="99"/>
      <c r="AR132" s="99"/>
      <c r="AS132" s="99"/>
      <c r="AT132" s="99"/>
      <c r="AU132" s="99"/>
      <c r="AV132" s="99"/>
      <c r="AW132" s="101"/>
      <c r="AX132" s="421">
        <f t="shared" si="22"/>
        <v>0</v>
      </c>
      <c r="AY132" s="421">
        <f t="shared" si="23"/>
        <v>0</v>
      </c>
    </row>
    <row r="133" spans="1:52" ht="14.25" customHeight="1" x14ac:dyDescent="0.25">
      <c r="A133" s="143" t="s">
        <v>164</v>
      </c>
      <c r="B133" s="143" t="s">
        <v>421</v>
      </c>
      <c r="C133" s="149" t="s">
        <v>422</v>
      </c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  <c r="AW133" s="101"/>
      <c r="AX133" s="421">
        <f t="shared" si="22"/>
        <v>0</v>
      </c>
      <c r="AY133" s="421">
        <f>E133+G133+I133+K133+M133+O133+Q133+S133+U133+W133+Y133+AA133+AC133+AE133+AG133+AI133+AM133+AO133+AQ133+AS133+AU133+AW133</f>
        <v>0</v>
      </c>
    </row>
    <row r="134" spans="1:52" ht="14.25" customHeight="1" x14ac:dyDescent="0.25">
      <c r="A134" s="143" t="s">
        <v>434</v>
      </c>
      <c r="B134" s="143" t="s">
        <v>423</v>
      </c>
      <c r="C134" s="149" t="s">
        <v>424</v>
      </c>
      <c r="D134" s="99"/>
      <c r="E134" s="99"/>
      <c r="F134" s="99"/>
      <c r="G134" s="99"/>
      <c r="H134" s="99">
        <f>H131*0.27</f>
        <v>270000</v>
      </c>
      <c r="I134" s="99">
        <v>270000</v>
      </c>
      <c r="J134" s="99">
        <f>J131*0.27</f>
        <v>0</v>
      </c>
      <c r="K134" s="99">
        <f>K131*0.27</f>
        <v>203208.75</v>
      </c>
      <c r="L134" s="99">
        <f>L131*0.27</f>
        <v>0</v>
      </c>
      <c r="M134" s="99"/>
      <c r="N134" s="99">
        <f>N131*0.27</f>
        <v>0</v>
      </c>
      <c r="O134" s="99"/>
      <c r="P134" s="99">
        <f>P131*0.27-0.5</f>
        <v>5131600.0600000005</v>
      </c>
      <c r="Q134" s="99">
        <f>Q131*0.27</f>
        <v>4321600.5600000005</v>
      </c>
      <c r="R134" s="99"/>
      <c r="S134" s="99"/>
      <c r="T134" s="99"/>
      <c r="U134" s="99"/>
      <c r="V134" s="99"/>
      <c r="W134" s="99">
        <f>W131*0.27</f>
        <v>507600.00000000006</v>
      </c>
      <c r="X134" s="99"/>
      <c r="Y134" s="99"/>
      <c r="Z134" s="99"/>
      <c r="AA134" s="99"/>
      <c r="AB134" s="99"/>
      <c r="AC134" s="99"/>
      <c r="AD134" s="99"/>
      <c r="AE134" s="99"/>
      <c r="AF134" s="99">
        <f>AF131*0.27</f>
        <v>270000</v>
      </c>
      <c r="AG134" s="99"/>
      <c r="AH134" s="99"/>
      <c r="AI134" s="99"/>
      <c r="AJ134" s="99"/>
      <c r="AK134" s="99"/>
      <c r="AL134" s="99">
        <f>AL131*0.27</f>
        <v>0</v>
      </c>
      <c r="AM134" s="99">
        <f>(AM133+AM132+AM131)*0.27</f>
        <v>40500</v>
      </c>
      <c r="AN134" s="99">
        <f>AN131*0.27</f>
        <v>2396958.75</v>
      </c>
      <c r="AO134" s="99">
        <v>1591650</v>
      </c>
      <c r="AP134" s="99"/>
      <c r="AQ134" s="99"/>
      <c r="AR134" s="99"/>
      <c r="AS134" s="99"/>
      <c r="AT134" s="99"/>
      <c r="AU134" s="99"/>
      <c r="AV134" s="99"/>
      <c r="AW134" s="101"/>
      <c r="AX134" s="421">
        <f t="shared" ref="AX134:AX145" si="51">D134+F134+H134+J134+L134+N134+P134+R134+T134+V134+X134+Z134+AB134+AD134+AF134+AH134+AL134+AN134+AP134+AR134+AT134+AV134</f>
        <v>8068558.8100000005</v>
      </c>
      <c r="AY134" s="421">
        <f t="shared" ref="AY134:AY145" si="52">E134+G134+I134+K134+M134+O134+Q134+S134+U134+W134+Y134+AA134+AC134+AE134+AG134+AI134+AM134+AO134+AQ134+AS134+AU134+AW134</f>
        <v>6934559.3100000005</v>
      </c>
    </row>
    <row r="135" spans="1:52" s="153" customFormat="1" ht="14.25" customHeight="1" x14ac:dyDescent="0.25">
      <c r="A135" s="143" t="s">
        <v>437</v>
      </c>
      <c r="B135" s="135" t="s">
        <v>425</v>
      </c>
      <c r="C135" s="138" t="s">
        <v>426</v>
      </c>
      <c r="D135" s="97">
        <f>SUM(D131:D134)</f>
        <v>0</v>
      </c>
      <c r="E135" s="97">
        <f t="shared" ref="E135:AC135" si="53">SUM(E131:E134)</f>
        <v>0</v>
      </c>
      <c r="F135" s="97">
        <f t="shared" si="53"/>
        <v>0</v>
      </c>
      <c r="G135" s="97">
        <f t="shared" si="53"/>
        <v>0</v>
      </c>
      <c r="H135" s="97">
        <f t="shared" si="53"/>
        <v>1270000</v>
      </c>
      <c r="I135" s="97">
        <f t="shared" si="53"/>
        <v>1270000</v>
      </c>
      <c r="J135" s="97">
        <f t="shared" si="53"/>
        <v>0</v>
      </c>
      <c r="K135" s="97">
        <f t="shared" si="53"/>
        <v>955833.75</v>
      </c>
      <c r="L135" s="97">
        <f t="shared" si="53"/>
        <v>0</v>
      </c>
      <c r="M135" s="97">
        <f t="shared" si="53"/>
        <v>0</v>
      </c>
      <c r="N135" s="97">
        <f t="shared" si="53"/>
        <v>0</v>
      </c>
      <c r="O135" s="97">
        <f t="shared" si="53"/>
        <v>0</v>
      </c>
      <c r="P135" s="97">
        <f>SUM(P131:P134)</f>
        <v>24137528.060000002</v>
      </c>
      <c r="Q135" s="97">
        <f>SUM(Q131:Q134)</f>
        <v>20327528.560000002</v>
      </c>
      <c r="R135" s="97">
        <f t="shared" si="53"/>
        <v>0</v>
      </c>
      <c r="S135" s="97">
        <f t="shared" si="53"/>
        <v>0</v>
      </c>
      <c r="T135" s="97">
        <f>SUM(T131:T134)</f>
        <v>0</v>
      </c>
      <c r="U135" s="97">
        <f>SUM(U131:U134)</f>
        <v>0</v>
      </c>
      <c r="V135" s="97">
        <f t="shared" si="53"/>
        <v>0</v>
      </c>
      <c r="W135" s="97">
        <f t="shared" si="53"/>
        <v>2387600</v>
      </c>
      <c r="X135" s="97">
        <f t="shared" si="53"/>
        <v>0</v>
      </c>
      <c r="Y135" s="97">
        <f t="shared" si="53"/>
        <v>0</v>
      </c>
      <c r="Z135" s="97">
        <f t="shared" si="53"/>
        <v>0</v>
      </c>
      <c r="AA135" s="97">
        <f t="shared" si="53"/>
        <v>0</v>
      </c>
      <c r="AB135" s="97">
        <f t="shared" si="53"/>
        <v>0</v>
      </c>
      <c r="AC135" s="97">
        <f t="shared" si="53"/>
        <v>0</v>
      </c>
      <c r="AD135" s="97">
        <f>SUM(AD131:AD134)</f>
        <v>0</v>
      </c>
      <c r="AE135" s="97">
        <f>SUM(AE131:AE134)</f>
        <v>0</v>
      </c>
      <c r="AF135" s="97">
        <f t="shared" ref="AF135:AW135" si="54">SUM(AF131:AF134)</f>
        <v>1270000</v>
      </c>
      <c r="AG135" s="97">
        <f t="shared" si="54"/>
        <v>0</v>
      </c>
      <c r="AH135" s="97">
        <f t="shared" si="54"/>
        <v>0</v>
      </c>
      <c r="AI135" s="97">
        <f t="shared" si="54"/>
        <v>0</v>
      </c>
      <c r="AJ135" s="97">
        <f>SUM(AJ131:AJ134)</f>
        <v>0</v>
      </c>
      <c r="AK135" s="97">
        <f>SUM(AK131:AK134)</f>
        <v>0</v>
      </c>
      <c r="AL135" s="97">
        <f t="shared" si="54"/>
        <v>0</v>
      </c>
      <c r="AM135" s="97">
        <f t="shared" si="54"/>
        <v>190500</v>
      </c>
      <c r="AN135" s="97">
        <f t="shared" si="54"/>
        <v>11274583.75</v>
      </c>
      <c r="AO135" s="97">
        <f t="shared" si="54"/>
        <v>10191650</v>
      </c>
      <c r="AP135" s="97">
        <f>SUM(AP131:AP134)</f>
        <v>3000000</v>
      </c>
      <c r="AQ135" s="97">
        <f>SUM(AQ131:AQ134)</f>
        <v>0</v>
      </c>
      <c r="AR135" s="97">
        <f>SUM(AR131:AR134)</f>
        <v>0</v>
      </c>
      <c r="AS135" s="97">
        <f>SUM(AS131:AS134)</f>
        <v>0</v>
      </c>
      <c r="AT135" s="97">
        <f t="shared" si="54"/>
        <v>0</v>
      </c>
      <c r="AU135" s="97">
        <f t="shared" si="54"/>
        <v>0</v>
      </c>
      <c r="AV135" s="97">
        <f t="shared" si="54"/>
        <v>0</v>
      </c>
      <c r="AW135" s="97">
        <f t="shared" si="54"/>
        <v>0</v>
      </c>
      <c r="AX135" s="460">
        <f t="shared" si="51"/>
        <v>40952111.810000002</v>
      </c>
      <c r="AY135" s="460">
        <f t="shared" si="52"/>
        <v>35323112.310000002</v>
      </c>
    </row>
    <row r="136" spans="1:52" s="146" customFormat="1" ht="14.25" customHeight="1" x14ac:dyDescent="0.25">
      <c r="A136" s="143" t="s">
        <v>440</v>
      </c>
      <c r="B136" s="132" t="s">
        <v>427</v>
      </c>
      <c r="C136" s="137" t="s">
        <v>428</v>
      </c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>
        <v>219350</v>
      </c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8"/>
      <c r="AX136" s="421">
        <f t="shared" si="51"/>
        <v>0</v>
      </c>
      <c r="AY136" s="421">
        <f t="shared" si="52"/>
        <v>219350</v>
      </c>
    </row>
    <row r="137" spans="1:52" s="146" customFormat="1" ht="14.25" customHeight="1" x14ac:dyDescent="0.25">
      <c r="A137" s="143" t="s">
        <v>443</v>
      </c>
      <c r="B137" s="132" t="s">
        <v>429</v>
      </c>
      <c r="C137" s="137" t="s">
        <v>430</v>
      </c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8"/>
      <c r="AX137" s="421">
        <f t="shared" si="51"/>
        <v>0</v>
      </c>
      <c r="AY137" s="421">
        <f t="shared" si="52"/>
        <v>0</v>
      </c>
    </row>
    <row r="138" spans="1:52" s="146" customFormat="1" ht="14.25" customHeight="1" x14ac:dyDescent="0.25">
      <c r="A138" s="143" t="s">
        <v>446</v>
      </c>
      <c r="B138" s="132" t="s">
        <v>431</v>
      </c>
      <c r="C138" s="137" t="s">
        <v>432</v>
      </c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8"/>
      <c r="AX138" s="421">
        <f t="shared" si="51"/>
        <v>0</v>
      </c>
      <c r="AY138" s="421">
        <f t="shared" si="52"/>
        <v>0</v>
      </c>
    </row>
    <row r="139" spans="1:52" s="153" customFormat="1" ht="14.25" customHeight="1" x14ac:dyDescent="0.25">
      <c r="A139" s="143" t="s">
        <v>465</v>
      </c>
      <c r="B139" s="135" t="s">
        <v>433</v>
      </c>
      <c r="C139" s="138" t="s">
        <v>70</v>
      </c>
      <c r="D139" s="97">
        <f>SUM(D136:D138)</f>
        <v>0</v>
      </c>
      <c r="E139" s="97">
        <f t="shared" ref="E139:AC139" si="55">SUM(E136:E138)</f>
        <v>0</v>
      </c>
      <c r="F139" s="97">
        <f t="shared" si="55"/>
        <v>0</v>
      </c>
      <c r="G139" s="97">
        <f t="shared" si="55"/>
        <v>0</v>
      </c>
      <c r="H139" s="97">
        <f t="shared" si="55"/>
        <v>0</v>
      </c>
      <c r="I139" s="97">
        <f t="shared" si="55"/>
        <v>0</v>
      </c>
      <c r="J139" s="97">
        <f t="shared" si="55"/>
        <v>0</v>
      </c>
      <c r="K139" s="97">
        <f t="shared" si="55"/>
        <v>0</v>
      </c>
      <c r="L139" s="97">
        <f t="shared" si="55"/>
        <v>0</v>
      </c>
      <c r="M139" s="97">
        <f t="shared" si="55"/>
        <v>0</v>
      </c>
      <c r="N139" s="97">
        <f t="shared" si="55"/>
        <v>0</v>
      </c>
      <c r="O139" s="97">
        <f t="shared" si="55"/>
        <v>0</v>
      </c>
      <c r="P139" s="97">
        <f>SUM(P136:P138)</f>
        <v>0</v>
      </c>
      <c r="Q139" s="97">
        <f>SUM(Q136:Q138)</f>
        <v>0</v>
      </c>
      <c r="R139" s="97">
        <f t="shared" si="55"/>
        <v>0</v>
      </c>
      <c r="S139" s="97">
        <f t="shared" si="55"/>
        <v>0</v>
      </c>
      <c r="T139" s="97">
        <f>SUM(T136:T138)</f>
        <v>0</v>
      </c>
      <c r="U139" s="97">
        <f>SUM(U136:U138)</f>
        <v>0</v>
      </c>
      <c r="V139" s="97">
        <f t="shared" si="55"/>
        <v>0</v>
      </c>
      <c r="W139" s="97">
        <f t="shared" si="55"/>
        <v>219350</v>
      </c>
      <c r="X139" s="97">
        <f t="shared" si="55"/>
        <v>0</v>
      </c>
      <c r="Y139" s="97">
        <f t="shared" si="55"/>
        <v>0</v>
      </c>
      <c r="Z139" s="97">
        <f t="shared" si="55"/>
        <v>0</v>
      </c>
      <c r="AA139" s="97">
        <f t="shared" si="55"/>
        <v>0</v>
      </c>
      <c r="AB139" s="97">
        <f t="shared" si="55"/>
        <v>0</v>
      </c>
      <c r="AC139" s="97">
        <f t="shared" si="55"/>
        <v>0</v>
      </c>
      <c r="AD139" s="97">
        <f>SUM(AD136:AD138)</f>
        <v>0</v>
      </c>
      <c r="AE139" s="97">
        <f>SUM(AE136:AE138)</f>
        <v>0</v>
      </c>
      <c r="AF139" s="97">
        <f t="shared" ref="AF139:AW139" si="56">SUM(AF136:AF138)</f>
        <v>0</v>
      </c>
      <c r="AG139" s="97">
        <f t="shared" si="56"/>
        <v>0</v>
      </c>
      <c r="AH139" s="97">
        <f t="shared" si="56"/>
        <v>0</v>
      </c>
      <c r="AI139" s="97">
        <f t="shared" si="56"/>
        <v>0</v>
      </c>
      <c r="AJ139" s="97">
        <f>SUM(AJ136:AJ138)</f>
        <v>0</v>
      </c>
      <c r="AK139" s="97">
        <f>SUM(AK136:AK138)</f>
        <v>0</v>
      </c>
      <c r="AL139" s="97">
        <f t="shared" si="56"/>
        <v>0</v>
      </c>
      <c r="AM139" s="97">
        <f t="shared" si="56"/>
        <v>0</v>
      </c>
      <c r="AN139" s="97">
        <f t="shared" si="56"/>
        <v>0</v>
      </c>
      <c r="AO139" s="97">
        <f t="shared" si="56"/>
        <v>0</v>
      </c>
      <c r="AP139" s="97">
        <f>SUM(AP136:AP138)</f>
        <v>0</v>
      </c>
      <c r="AQ139" s="97">
        <f>SUM(AQ136:AQ138)</f>
        <v>0</v>
      </c>
      <c r="AR139" s="97">
        <f>SUM(AR136:AR138)</f>
        <v>0</v>
      </c>
      <c r="AS139" s="97">
        <f>SUM(AS136:AS138)</f>
        <v>0</v>
      </c>
      <c r="AT139" s="97">
        <f t="shared" si="56"/>
        <v>0</v>
      </c>
      <c r="AU139" s="97">
        <f t="shared" si="56"/>
        <v>0</v>
      </c>
      <c r="AV139" s="97">
        <f t="shared" si="56"/>
        <v>0</v>
      </c>
      <c r="AW139" s="97">
        <f t="shared" si="56"/>
        <v>0</v>
      </c>
      <c r="AX139" s="460">
        <f t="shared" si="51"/>
        <v>0</v>
      </c>
      <c r="AY139" s="460">
        <f t="shared" si="52"/>
        <v>219350</v>
      </c>
    </row>
    <row r="140" spans="1:52" s="146" customFormat="1" ht="14.25" customHeight="1" x14ac:dyDescent="0.25">
      <c r="A140" s="143" t="s">
        <v>466</v>
      </c>
      <c r="B140" s="132" t="s">
        <v>435</v>
      </c>
      <c r="C140" s="137" t="s">
        <v>436</v>
      </c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8"/>
      <c r="AX140" s="421">
        <f t="shared" si="51"/>
        <v>0</v>
      </c>
      <c r="AY140" s="421">
        <f t="shared" si="52"/>
        <v>0</v>
      </c>
    </row>
    <row r="141" spans="1:52" s="146" customFormat="1" ht="14.25" customHeight="1" x14ac:dyDescent="0.25">
      <c r="A141" s="143" t="s">
        <v>467</v>
      </c>
      <c r="B141" s="132" t="s">
        <v>488</v>
      </c>
      <c r="C141" s="137" t="s">
        <v>489</v>
      </c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235">
        <v>2731169</v>
      </c>
      <c r="AW141" s="235">
        <v>2731169</v>
      </c>
      <c r="AX141" s="421">
        <f t="shared" si="51"/>
        <v>2731169</v>
      </c>
      <c r="AY141" s="421">
        <f t="shared" si="52"/>
        <v>2731169</v>
      </c>
    </row>
    <row r="142" spans="1:52" s="146" customFormat="1" ht="14.25" customHeight="1" x14ac:dyDescent="0.25">
      <c r="A142" s="143" t="s">
        <v>468</v>
      </c>
      <c r="B142" s="132" t="s">
        <v>438</v>
      </c>
      <c r="C142" s="137" t="s">
        <v>439</v>
      </c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>
        <f>AL14</f>
        <v>21078850</v>
      </c>
      <c r="AM142" s="96">
        <f>21613400+1660800-(AM82+AM87+AM114+AM116+AM124+AM130+AM135+AM139)-88931</f>
        <v>19703850.25</v>
      </c>
      <c r="AN142" s="96">
        <v>20829352</v>
      </c>
      <c r="AO142" s="96">
        <f>8316000+10562050+642400+289560+2184775-906330</f>
        <v>21088455</v>
      </c>
      <c r="AP142" s="145"/>
      <c r="AQ142" s="412"/>
      <c r="AR142" s="96"/>
      <c r="AS142" s="96"/>
      <c r="AT142" s="96"/>
      <c r="AU142" s="96"/>
      <c r="AV142" s="96"/>
      <c r="AW142" s="98"/>
      <c r="AX142" s="421">
        <f t="shared" si="51"/>
        <v>41908202</v>
      </c>
      <c r="AY142" s="421">
        <f t="shared" si="52"/>
        <v>40792305.25</v>
      </c>
    </row>
    <row r="143" spans="1:52" s="153" customFormat="1" ht="14.25" customHeight="1" x14ac:dyDescent="0.25">
      <c r="A143" s="143" t="s">
        <v>469</v>
      </c>
      <c r="B143" s="135" t="s">
        <v>441</v>
      </c>
      <c r="C143" s="138" t="s">
        <v>442</v>
      </c>
      <c r="D143" s="97">
        <f>SUM(D140:D142)</f>
        <v>0</v>
      </c>
      <c r="E143" s="97">
        <f t="shared" ref="E143:AC143" si="57">SUM(E140:E142)</f>
        <v>0</v>
      </c>
      <c r="F143" s="97">
        <f t="shared" si="57"/>
        <v>0</v>
      </c>
      <c r="G143" s="97">
        <f t="shared" si="57"/>
        <v>0</v>
      </c>
      <c r="H143" s="97">
        <f t="shared" si="57"/>
        <v>0</v>
      </c>
      <c r="I143" s="97">
        <f t="shared" si="57"/>
        <v>0</v>
      </c>
      <c r="J143" s="97">
        <f t="shared" si="57"/>
        <v>0</v>
      </c>
      <c r="K143" s="97">
        <f t="shared" si="57"/>
        <v>0</v>
      </c>
      <c r="L143" s="97">
        <f t="shared" si="57"/>
        <v>0</v>
      </c>
      <c r="M143" s="97">
        <f t="shared" si="57"/>
        <v>0</v>
      </c>
      <c r="N143" s="97">
        <f t="shared" si="57"/>
        <v>0</v>
      </c>
      <c r="O143" s="97">
        <f t="shared" si="57"/>
        <v>0</v>
      </c>
      <c r="P143" s="97">
        <f>SUM(P140:P142)</f>
        <v>0</v>
      </c>
      <c r="Q143" s="97">
        <f>SUM(Q140:Q142)</f>
        <v>0</v>
      </c>
      <c r="R143" s="97">
        <f t="shared" si="57"/>
        <v>0</v>
      </c>
      <c r="S143" s="97">
        <f t="shared" si="57"/>
        <v>0</v>
      </c>
      <c r="T143" s="97">
        <f>SUM(T140:T142)</f>
        <v>0</v>
      </c>
      <c r="U143" s="97">
        <f>SUM(U140:U142)</f>
        <v>0</v>
      </c>
      <c r="V143" s="97">
        <f t="shared" si="57"/>
        <v>0</v>
      </c>
      <c r="W143" s="97">
        <f t="shared" si="57"/>
        <v>0</v>
      </c>
      <c r="X143" s="97">
        <f t="shared" si="57"/>
        <v>0</v>
      </c>
      <c r="Y143" s="97">
        <f t="shared" si="57"/>
        <v>0</v>
      </c>
      <c r="Z143" s="97">
        <f t="shared" si="57"/>
        <v>0</v>
      </c>
      <c r="AA143" s="97">
        <f t="shared" si="57"/>
        <v>0</v>
      </c>
      <c r="AB143" s="97">
        <f t="shared" si="57"/>
        <v>0</v>
      </c>
      <c r="AC143" s="97">
        <f t="shared" si="57"/>
        <v>0</v>
      </c>
      <c r="AD143" s="97">
        <f>SUM(AD140:AD142)</f>
        <v>0</v>
      </c>
      <c r="AE143" s="97">
        <f>SUM(AE140:AE142)</f>
        <v>0</v>
      </c>
      <c r="AF143" s="97">
        <f t="shared" ref="AF143:AW143" si="58">SUM(AF140:AF142)</f>
        <v>0</v>
      </c>
      <c r="AG143" s="97">
        <f t="shared" si="58"/>
        <v>0</v>
      </c>
      <c r="AH143" s="97">
        <f t="shared" si="58"/>
        <v>0</v>
      </c>
      <c r="AI143" s="97">
        <f t="shared" si="58"/>
        <v>0</v>
      </c>
      <c r="AJ143" s="97">
        <f>SUM(AJ140:AJ142)</f>
        <v>0</v>
      </c>
      <c r="AK143" s="97">
        <f>SUM(AK140:AK142)</f>
        <v>0</v>
      </c>
      <c r="AL143" s="97">
        <f t="shared" si="58"/>
        <v>21078850</v>
      </c>
      <c r="AM143" s="97">
        <f t="shared" si="58"/>
        <v>19703850.25</v>
      </c>
      <c r="AN143" s="97">
        <f t="shared" si="58"/>
        <v>20829352</v>
      </c>
      <c r="AO143" s="97">
        <f t="shared" si="58"/>
        <v>21088455</v>
      </c>
      <c r="AP143" s="97">
        <f>SUM(AP140:AP142)</f>
        <v>0</v>
      </c>
      <c r="AQ143" s="97">
        <f>SUM(AQ140:AQ142)</f>
        <v>0</v>
      </c>
      <c r="AR143" s="97">
        <f>SUM(AR140:AR142)</f>
        <v>0</v>
      </c>
      <c r="AS143" s="97">
        <f>SUM(AS140:AS142)</f>
        <v>0</v>
      </c>
      <c r="AT143" s="97">
        <f t="shared" si="58"/>
        <v>0</v>
      </c>
      <c r="AU143" s="97">
        <f t="shared" si="58"/>
        <v>0</v>
      </c>
      <c r="AV143" s="97">
        <f t="shared" si="58"/>
        <v>2731169</v>
      </c>
      <c r="AW143" s="97">
        <f t="shared" si="58"/>
        <v>2731169</v>
      </c>
      <c r="AX143" s="460">
        <f t="shared" si="51"/>
        <v>44639371</v>
      </c>
      <c r="AY143" s="460">
        <f t="shared" si="52"/>
        <v>43523474.25</v>
      </c>
    </row>
    <row r="144" spans="1:52" s="153" customFormat="1" ht="18.75" customHeight="1" x14ac:dyDescent="0.25">
      <c r="A144" s="143" t="s">
        <v>487</v>
      </c>
      <c r="B144" s="135" t="s">
        <v>444</v>
      </c>
      <c r="C144" s="138" t="s">
        <v>445</v>
      </c>
      <c r="D144" s="97">
        <f t="shared" ref="D144:AC144" si="59">D82+D87+D114+D116+D124+D130+D135+D139+D143</f>
        <v>0</v>
      </c>
      <c r="E144" s="97">
        <f t="shared" si="59"/>
        <v>0</v>
      </c>
      <c r="F144" s="97">
        <f t="shared" si="59"/>
        <v>6184441.5</v>
      </c>
      <c r="G144" s="97">
        <f t="shared" si="59"/>
        <v>20843174.870000001</v>
      </c>
      <c r="H144" s="97">
        <f t="shared" si="59"/>
        <v>2493900</v>
      </c>
      <c r="I144" s="97">
        <f t="shared" si="59"/>
        <v>2509800</v>
      </c>
      <c r="J144" s="97">
        <f t="shared" si="59"/>
        <v>0</v>
      </c>
      <c r="K144" s="97">
        <f t="shared" si="59"/>
        <v>12954320.75</v>
      </c>
      <c r="L144" s="97">
        <f t="shared" si="59"/>
        <v>17422845.98</v>
      </c>
      <c r="M144" s="97">
        <f t="shared" si="59"/>
        <v>18324718.859999999</v>
      </c>
      <c r="N144" s="97">
        <f t="shared" si="59"/>
        <v>0</v>
      </c>
      <c r="O144" s="97">
        <f t="shared" si="59"/>
        <v>0</v>
      </c>
      <c r="P144" s="97">
        <f>P82+P87+P114+P116+P124+P130+P135+P139+P143</f>
        <v>25039228.060000002</v>
      </c>
      <c r="Q144" s="97">
        <f>Q82+Q87+Q114+Q116+Q124+Q130+Q135+Q139+Q143</f>
        <v>53912097.560000002</v>
      </c>
      <c r="R144" s="97">
        <f t="shared" si="59"/>
        <v>736600</v>
      </c>
      <c r="S144" s="97">
        <f t="shared" si="59"/>
        <v>1231900</v>
      </c>
      <c r="T144" s="97">
        <f>T82+T87+T114+T116+T124+T130+T135+T139+T143</f>
        <v>4557680</v>
      </c>
      <c r="U144" s="97">
        <f>U82+U87+U114+U116+U124+U130+U135+U139+U143</f>
        <v>2969154.5</v>
      </c>
      <c r="V144" s="97">
        <f t="shared" si="59"/>
        <v>3070515.08</v>
      </c>
      <c r="W144" s="97">
        <f t="shared" si="59"/>
        <v>9652270</v>
      </c>
      <c r="X144" s="97">
        <f t="shared" si="59"/>
        <v>215900</v>
      </c>
      <c r="Y144" s="97">
        <f t="shared" si="59"/>
        <v>767411.47000000009</v>
      </c>
      <c r="Z144" s="97">
        <f t="shared" si="59"/>
        <v>1254516</v>
      </c>
      <c r="AA144" s="97">
        <f t="shared" si="59"/>
        <v>1238116</v>
      </c>
      <c r="AB144" s="97">
        <f t="shared" si="59"/>
        <v>71900</v>
      </c>
      <c r="AC144" s="97">
        <f t="shared" si="59"/>
        <v>80000</v>
      </c>
      <c r="AD144" s="97">
        <f>AD82+AD87+AD114+AD116+AD124+AD130+AD135+AD139+AD143</f>
        <v>103632</v>
      </c>
      <c r="AE144" s="97">
        <f>AE82+AE87+AE114+AE116+AE124+AE130+AE135+AE139+AE143</f>
        <v>48000</v>
      </c>
      <c r="AF144" s="97">
        <f t="shared" ref="AF144:AW144" si="60">AF82+AF87+AF114+AF116+AF124+AF130+AF135+AF139+AF143</f>
        <v>14501280</v>
      </c>
      <c r="AG144" s="97">
        <f t="shared" si="60"/>
        <v>5848530</v>
      </c>
      <c r="AH144" s="97">
        <f t="shared" si="60"/>
        <v>1500000</v>
      </c>
      <c r="AI144" s="97">
        <f t="shared" si="60"/>
        <v>1496000</v>
      </c>
      <c r="AJ144" s="97">
        <f>AJ82+AJ87+AJ114+AJ116+AJ124+AJ130+AJ135+AJ139+AJ143</f>
        <v>0</v>
      </c>
      <c r="AK144" s="97">
        <f>AK82+AK87+AK114+AK116+AK124+AK130+AK135+AK139+AK143</f>
        <v>100000</v>
      </c>
      <c r="AL144" s="97">
        <f t="shared" si="60"/>
        <v>21078850</v>
      </c>
      <c r="AM144" s="97">
        <f t="shared" si="60"/>
        <v>23185269</v>
      </c>
      <c r="AN144" s="97">
        <f t="shared" si="60"/>
        <v>32153935.75</v>
      </c>
      <c r="AO144" s="97">
        <f t="shared" si="60"/>
        <v>32685905</v>
      </c>
      <c r="AP144" s="97">
        <f>AP82+AP87+AP114+AP116+AP124+AP130+AP135+AP139+AP143</f>
        <v>9268400</v>
      </c>
      <c r="AQ144" s="97">
        <f>AQ82+AQ87+AQ114+AQ116+AQ124+AQ130+AQ135+AQ139+AQ143</f>
        <v>562450</v>
      </c>
      <c r="AR144" s="97">
        <f>AR82+AR87+AR114+AR116+AR124+AR130+AR135+AR139+AR143</f>
        <v>4027807.5</v>
      </c>
      <c r="AS144" s="97">
        <f>AS82+AS87+AS114+AS116+AS124+AS130+AS135+AS139+AS143</f>
        <v>4576809</v>
      </c>
      <c r="AT144" s="97">
        <f t="shared" si="60"/>
        <v>550000</v>
      </c>
      <c r="AU144" s="97">
        <f t="shared" si="60"/>
        <v>782083.61</v>
      </c>
      <c r="AV144" s="97">
        <f t="shared" si="60"/>
        <v>2731169</v>
      </c>
      <c r="AW144" s="97">
        <f t="shared" si="60"/>
        <v>2731169</v>
      </c>
      <c r="AX144" s="460">
        <f t="shared" si="51"/>
        <v>146962600.87</v>
      </c>
      <c r="AY144" s="460">
        <f t="shared" si="52"/>
        <v>196399179.62</v>
      </c>
      <c r="AZ144" s="157"/>
    </row>
    <row r="145" spans="1:51" ht="16.5" customHeight="1" x14ac:dyDescent="0.25">
      <c r="A145" s="143" t="s">
        <v>587</v>
      </c>
      <c r="B145" s="143"/>
      <c r="C145" s="150" t="s">
        <v>447</v>
      </c>
      <c r="D145" s="103"/>
      <c r="E145" s="103"/>
      <c r="F145" s="103">
        <v>1</v>
      </c>
      <c r="G145" s="103">
        <v>1</v>
      </c>
      <c r="H145" s="103"/>
      <c r="I145" s="103"/>
      <c r="J145" s="103"/>
      <c r="K145" s="103"/>
      <c r="L145" s="103">
        <v>13</v>
      </c>
      <c r="M145" s="103">
        <v>13</v>
      </c>
      <c r="N145" s="103"/>
      <c r="O145" s="103"/>
      <c r="P145" s="103"/>
      <c r="Q145" s="103"/>
      <c r="R145" s="103"/>
      <c r="S145" s="103"/>
      <c r="T145" s="104">
        <v>1</v>
      </c>
      <c r="U145" s="104">
        <v>1</v>
      </c>
      <c r="V145" s="104"/>
      <c r="W145" s="104"/>
      <c r="X145" s="103"/>
      <c r="Y145" s="103"/>
      <c r="Z145" s="103"/>
      <c r="AA145" s="103"/>
      <c r="AB145" s="103"/>
      <c r="AC145" s="103"/>
      <c r="AD145" s="103"/>
      <c r="AE145" s="103"/>
      <c r="AF145" s="104">
        <v>1</v>
      </c>
      <c r="AG145" s="104">
        <v>1</v>
      </c>
      <c r="AH145" s="103"/>
      <c r="AI145" s="103"/>
      <c r="AJ145" s="103"/>
      <c r="AK145" s="103"/>
      <c r="AL145" s="103"/>
      <c r="AM145" s="103"/>
      <c r="AN145" s="103"/>
      <c r="AO145" s="103"/>
      <c r="AP145" s="104"/>
      <c r="AQ145" s="104"/>
      <c r="AR145" s="103">
        <v>1</v>
      </c>
      <c r="AS145" s="103">
        <v>1</v>
      </c>
      <c r="AT145" s="103"/>
      <c r="AU145" s="103"/>
      <c r="AV145" s="103"/>
      <c r="AW145" s="103"/>
      <c r="AX145" s="466">
        <f t="shared" si="51"/>
        <v>17</v>
      </c>
      <c r="AY145" s="466">
        <f t="shared" si="52"/>
        <v>17</v>
      </c>
    </row>
    <row r="146" spans="1:51" x14ac:dyDescent="0.25"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309"/>
      <c r="AY146" s="309"/>
    </row>
    <row r="147" spans="1:51" s="159" customFormat="1" ht="24.75" customHeight="1" x14ac:dyDescent="0.25">
      <c r="A147" s="158"/>
      <c r="B147" s="151"/>
      <c r="C147" s="106" t="s">
        <v>448</v>
      </c>
      <c r="D147" s="97">
        <f t="shared" ref="D147:AC147" si="61">D59</f>
        <v>9250000</v>
      </c>
      <c r="E147" s="97">
        <f t="shared" si="61"/>
        <v>11363991</v>
      </c>
      <c r="F147" s="97">
        <f t="shared" si="61"/>
        <v>19208268</v>
      </c>
      <c r="G147" s="97">
        <f t="shared" si="61"/>
        <v>18276504.109999999</v>
      </c>
      <c r="H147" s="97">
        <f t="shared" si="61"/>
        <v>1163911</v>
      </c>
      <c r="I147" s="97">
        <f t="shared" si="61"/>
        <v>1264711</v>
      </c>
      <c r="J147" s="97">
        <f t="shared" si="61"/>
        <v>1000000</v>
      </c>
      <c r="K147" s="97">
        <f t="shared" si="61"/>
        <v>6552400</v>
      </c>
      <c r="L147" s="97">
        <f t="shared" si="61"/>
        <v>17789276</v>
      </c>
      <c r="M147" s="97">
        <f t="shared" si="61"/>
        <v>16185131</v>
      </c>
      <c r="N147" s="97">
        <f t="shared" si="61"/>
        <v>910270</v>
      </c>
      <c r="O147" s="97">
        <f t="shared" si="61"/>
        <v>910270</v>
      </c>
      <c r="P147" s="97">
        <f>P59</f>
        <v>19959228</v>
      </c>
      <c r="Q147" s="97">
        <f>Q59</f>
        <v>53505972</v>
      </c>
      <c r="R147" s="97">
        <f t="shared" si="61"/>
        <v>3648000</v>
      </c>
      <c r="S147" s="97">
        <f t="shared" si="61"/>
        <v>3648000</v>
      </c>
      <c r="T147" s="97">
        <f>T59</f>
        <v>3545640</v>
      </c>
      <c r="U147" s="97">
        <f>U59</f>
        <v>3577390</v>
      </c>
      <c r="V147" s="97">
        <f t="shared" si="61"/>
        <v>6613750</v>
      </c>
      <c r="W147" s="97">
        <f t="shared" si="61"/>
        <v>8179539</v>
      </c>
      <c r="X147" s="97">
        <f t="shared" si="61"/>
        <v>0</v>
      </c>
      <c r="Y147" s="97">
        <f t="shared" si="61"/>
        <v>0</v>
      </c>
      <c r="Z147" s="97">
        <f t="shared" si="61"/>
        <v>0</v>
      </c>
      <c r="AA147" s="97">
        <f t="shared" si="61"/>
        <v>0</v>
      </c>
      <c r="AB147" s="97">
        <f t="shared" si="61"/>
        <v>0</v>
      </c>
      <c r="AC147" s="97">
        <f t="shared" si="61"/>
        <v>0</v>
      </c>
      <c r="AD147" s="97">
        <f>AD59</f>
        <v>81600</v>
      </c>
      <c r="AE147" s="97">
        <f>AE59</f>
        <v>86400</v>
      </c>
      <c r="AF147" s="97">
        <f t="shared" ref="AF147:AW147" si="62">AF59</f>
        <v>2200000</v>
      </c>
      <c r="AG147" s="97">
        <f t="shared" si="62"/>
        <v>3336610</v>
      </c>
      <c r="AH147" s="97">
        <f t="shared" si="62"/>
        <v>0</v>
      </c>
      <c r="AI147" s="97">
        <f t="shared" si="62"/>
        <v>0</v>
      </c>
      <c r="AJ147" s="97">
        <f>AJ59</f>
        <v>0</v>
      </c>
      <c r="AK147" s="97">
        <f>AK59</f>
        <v>0</v>
      </c>
      <c r="AL147" s="97">
        <f t="shared" si="62"/>
        <v>21078850</v>
      </c>
      <c r="AM147" s="97">
        <f t="shared" si="62"/>
        <v>23313418</v>
      </c>
      <c r="AN147" s="97">
        <f t="shared" si="62"/>
        <v>28122652</v>
      </c>
      <c r="AO147" s="97">
        <f t="shared" si="62"/>
        <v>28733423</v>
      </c>
      <c r="AP147" s="97">
        <f>AP59</f>
        <v>480000</v>
      </c>
      <c r="AQ147" s="97">
        <f>AQ59</f>
        <v>777000</v>
      </c>
      <c r="AR147" s="97">
        <f>AR59</f>
        <v>4003111</v>
      </c>
      <c r="AS147" s="97">
        <f>AS59</f>
        <v>4377150.5</v>
      </c>
      <c r="AT147" s="97">
        <f t="shared" si="62"/>
        <v>5176876</v>
      </c>
      <c r="AU147" s="97">
        <f t="shared" si="62"/>
        <v>5176876</v>
      </c>
      <c r="AV147" s="97">
        <f t="shared" si="62"/>
        <v>2731169</v>
      </c>
      <c r="AW147" s="97">
        <f t="shared" si="62"/>
        <v>7134394</v>
      </c>
      <c r="AX147" s="420">
        <f t="shared" ref="AX147:AY149" si="63">D147+F147+H147+J147+L147+N147+P147+R147+T147+V147+X147+Z147+AB147+AD147+AF147+AH147+AL147+AN147+AP147+AR147+AT147+AV147</f>
        <v>146962601</v>
      </c>
      <c r="AY147" s="420">
        <f t="shared" si="63"/>
        <v>196399179.61000001</v>
      </c>
    </row>
    <row r="148" spans="1:51" s="159" customFormat="1" ht="24.75" customHeight="1" x14ac:dyDescent="0.25">
      <c r="A148" s="158"/>
      <c r="B148" s="151"/>
      <c r="C148" s="106" t="s">
        <v>449</v>
      </c>
      <c r="D148" s="97">
        <f>D144</f>
        <v>0</v>
      </c>
      <c r="E148" s="97">
        <f t="shared" ref="E148:AC148" si="64">E144</f>
        <v>0</v>
      </c>
      <c r="F148" s="97">
        <f t="shared" si="64"/>
        <v>6184441.5</v>
      </c>
      <c r="G148" s="97">
        <f t="shared" si="64"/>
        <v>20843174.870000001</v>
      </c>
      <c r="H148" s="97">
        <f t="shared" si="64"/>
        <v>2493900</v>
      </c>
      <c r="I148" s="97">
        <f t="shared" si="64"/>
        <v>2509800</v>
      </c>
      <c r="J148" s="97">
        <f t="shared" si="64"/>
        <v>0</v>
      </c>
      <c r="K148" s="97">
        <f t="shared" si="64"/>
        <v>12954320.75</v>
      </c>
      <c r="L148" s="97">
        <f t="shared" si="64"/>
        <v>17422845.98</v>
      </c>
      <c r="M148" s="97">
        <f t="shared" si="64"/>
        <v>18324718.859999999</v>
      </c>
      <c r="N148" s="97">
        <f t="shared" si="64"/>
        <v>0</v>
      </c>
      <c r="O148" s="97">
        <f t="shared" si="64"/>
        <v>0</v>
      </c>
      <c r="P148" s="97">
        <f>P144</f>
        <v>25039228.060000002</v>
      </c>
      <c r="Q148" s="97">
        <f>Q144</f>
        <v>53912097.560000002</v>
      </c>
      <c r="R148" s="97">
        <f t="shared" si="64"/>
        <v>736600</v>
      </c>
      <c r="S148" s="97">
        <f t="shared" si="64"/>
        <v>1231900</v>
      </c>
      <c r="T148" s="97">
        <f>T144</f>
        <v>4557680</v>
      </c>
      <c r="U148" s="97">
        <f>U144</f>
        <v>2969154.5</v>
      </c>
      <c r="V148" s="97">
        <f t="shared" si="64"/>
        <v>3070515.08</v>
      </c>
      <c r="W148" s="97">
        <f t="shared" si="64"/>
        <v>9652270</v>
      </c>
      <c r="X148" s="97">
        <f t="shared" si="64"/>
        <v>215900</v>
      </c>
      <c r="Y148" s="97">
        <f t="shared" si="64"/>
        <v>767411.47000000009</v>
      </c>
      <c r="Z148" s="97">
        <f t="shared" si="64"/>
        <v>1254516</v>
      </c>
      <c r="AA148" s="97">
        <f t="shared" si="64"/>
        <v>1238116</v>
      </c>
      <c r="AB148" s="97">
        <f t="shared" si="64"/>
        <v>71900</v>
      </c>
      <c r="AC148" s="97">
        <f t="shared" si="64"/>
        <v>80000</v>
      </c>
      <c r="AD148" s="97">
        <f>AD144</f>
        <v>103632</v>
      </c>
      <c r="AE148" s="97">
        <f>AE144</f>
        <v>48000</v>
      </c>
      <c r="AF148" s="97">
        <f t="shared" ref="AF148:AW148" si="65">AF144</f>
        <v>14501280</v>
      </c>
      <c r="AG148" s="97">
        <f t="shared" si="65"/>
        <v>5848530</v>
      </c>
      <c r="AH148" s="97">
        <f t="shared" si="65"/>
        <v>1500000</v>
      </c>
      <c r="AI148" s="97">
        <f t="shared" si="65"/>
        <v>1496000</v>
      </c>
      <c r="AJ148" s="97">
        <f>AJ144</f>
        <v>0</v>
      </c>
      <c r="AK148" s="97">
        <f>AK144</f>
        <v>100000</v>
      </c>
      <c r="AL148" s="97">
        <f t="shared" si="65"/>
        <v>21078850</v>
      </c>
      <c r="AM148" s="97">
        <f t="shared" si="65"/>
        <v>23185269</v>
      </c>
      <c r="AN148" s="97">
        <f t="shared" si="65"/>
        <v>32153935.75</v>
      </c>
      <c r="AO148" s="97">
        <f t="shared" si="65"/>
        <v>32685905</v>
      </c>
      <c r="AP148" s="97">
        <f>AP144</f>
        <v>9268400</v>
      </c>
      <c r="AQ148" s="97">
        <f>AQ144</f>
        <v>562450</v>
      </c>
      <c r="AR148" s="97">
        <f>AR144</f>
        <v>4027807.5</v>
      </c>
      <c r="AS148" s="97">
        <f>AS144</f>
        <v>4576809</v>
      </c>
      <c r="AT148" s="97">
        <f t="shared" si="65"/>
        <v>550000</v>
      </c>
      <c r="AU148" s="97">
        <f t="shared" si="65"/>
        <v>782083.61</v>
      </c>
      <c r="AV148" s="97">
        <f t="shared" si="65"/>
        <v>2731169</v>
      </c>
      <c r="AW148" s="97">
        <f t="shared" si="65"/>
        <v>2731169</v>
      </c>
      <c r="AX148" s="420">
        <f t="shared" si="63"/>
        <v>146962600.87</v>
      </c>
      <c r="AY148" s="420">
        <f t="shared" si="63"/>
        <v>196399179.62</v>
      </c>
    </row>
    <row r="149" spans="1:51" ht="24.75" customHeight="1" x14ac:dyDescent="0.25">
      <c r="A149" s="143"/>
      <c r="B149" s="107"/>
      <c r="C149" s="107" t="s">
        <v>450</v>
      </c>
      <c r="D149" s="96">
        <f>D147-D148</f>
        <v>9250000</v>
      </c>
      <c r="E149" s="96">
        <f t="shared" ref="E149:AC149" si="66">E147-E148</f>
        <v>11363991</v>
      </c>
      <c r="F149" s="96">
        <f t="shared" si="66"/>
        <v>13023826.5</v>
      </c>
      <c r="G149" s="96">
        <f t="shared" si="66"/>
        <v>-2566670.7600000016</v>
      </c>
      <c r="H149" s="96">
        <f t="shared" si="66"/>
        <v>-1329989</v>
      </c>
      <c r="I149" s="96">
        <f t="shared" si="66"/>
        <v>-1245089</v>
      </c>
      <c r="J149" s="96">
        <f t="shared" si="66"/>
        <v>1000000</v>
      </c>
      <c r="K149" s="96">
        <f t="shared" si="66"/>
        <v>-6401920.75</v>
      </c>
      <c r="L149" s="96">
        <f t="shared" si="66"/>
        <v>366430.01999999955</v>
      </c>
      <c r="M149" s="96">
        <f t="shared" si="66"/>
        <v>-2139587.8599999994</v>
      </c>
      <c r="N149" s="96">
        <f t="shared" si="66"/>
        <v>910270</v>
      </c>
      <c r="O149" s="96">
        <f t="shared" si="66"/>
        <v>910270</v>
      </c>
      <c r="P149" s="96">
        <f>P147-P148</f>
        <v>-5080000.0600000024</v>
      </c>
      <c r="Q149" s="96">
        <f>Q147-Q148</f>
        <v>-406125.56000000238</v>
      </c>
      <c r="R149" s="96">
        <f t="shared" si="66"/>
        <v>2911400</v>
      </c>
      <c r="S149" s="96">
        <f t="shared" si="66"/>
        <v>2416100</v>
      </c>
      <c r="T149" s="96">
        <f>T147-T148</f>
        <v>-1012040</v>
      </c>
      <c r="U149" s="96">
        <f>U147-U148</f>
        <v>608235.5</v>
      </c>
      <c r="V149" s="96">
        <f t="shared" si="66"/>
        <v>3543234.92</v>
      </c>
      <c r="W149" s="96">
        <f t="shared" si="66"/>
        <v>-1472731</v>
      </c>
      <c r="X149" s="96">
        <f t="shared" si="66"/>
        <v>-215900</v>
      </c>
      <c r="Y149" s="96">
        <f t="shared" si="66"/>
        <v>-767411.47000000009</v>
      </c>
      <c r="Z149" s="96">
        <f t="shared" si="66"/>
        <v>-1254516</v>
      </c>
      <c r="AA149" s="96">
        <f t="shared" si="66"/>
        <v>-1238116</v>
      </c>
      <c r="AB149" s="96">
        <f t="shared" si="66"/>
        <v>-71900</v>
      </c>
      <c r="AC149" s="96">
        <f t="shared" si="66"/>
        <v>-80000</v>
      </c>
      <c r="AD149" s="96">
        <f>AD147-AD148</f>
        <v>-22032</v>
      </c>
      <c r="AE149" s="96">
        <f>AE147-AE148</f>
        <v>38400</v>
      </c>
      <c r="AF149" s="96">
        <f t="shared" ref="AF149:AW149" si="67">AF147-AF148</f>
        <v>-12301280</v>
      </c>
      <c r="AG149" s="96">
        <f t="shared" si="67"/>
        <v>-2511920</v>
      </c>
      <c r="AH149" s="96">
        <f t="shared" si="67"/>
        <v>-1500000</v>
      </c>
      <c r="AI149" s="96">
        <f t="shared" si="67"/>
        <v>-1496000</v>
      </c>
      <c r="AJ149" s="96">
        <f>AJ147-AJ148</f>
        <v>0</v>
      </c>
      <c r="AK149" s="96">
        <f>AK147-AK148</f>
        <v>-100000</v>
      </c>
      <c r="AL149" s="96">
        <f t="shared" si="67"/>
        <v>0</v>
      </c>
      <c r="AM149" s="96">
        <f t="shared" si="67"/>
        <v>128149</v>
      </c>
      <c r="AN149" s="96">
        <f t="shared" si="67"/>
        <v>-4031283.75</v>
      </c>
      <c r="AO149" s="96">
        <f t="shared" si="67"/>
        <v>-3952482</v>
      </c>
      <c r="AP149" s="96">
        <f>AP147-AP148</f>
        <v>-8788400</v>
      </c>
      <c r="AQ149" s="96">
        <f>AQ147-AQ148</f>
        <v>214550</v>
      </c>
      <c r="AR149" s="96">
        <f>AR147-AR148</f>
        <v>-24696.5</v>
      </c>
      <c r="AS149" s="96">
        <f>AS147-AS148</f>
        <v>-199658.5</v>
      </c>
      <c r="AT149" s="96">
        <f t="shared" si="67"/>
        <v>4626876</v>
      </c>
      <c r="AU149" s="96">
        <f t="shared" si="67"/>
        <v>4394792.3899999997</v>
      </c>
      <c r="AV149" s="96">
        <f t="shared" si="67"/>
        <v>0</v>
      </c>
      <c r="AW149" s="96">
        <f t="shared" si="67"/>
        <v>4403225</v>
      </c>
      <c r="AX149" s="96">
        <f t="shared" si="63"/>
        <v>0.12999999523162842</v>
      </c>
      <c r="AY149" s="96">
        <f t="shared" si="63"/>
        <v>-1.0000004433095455E-2</v>
      </c>
    </row>
    <row r="152" spans="1:51" x14ac:dyDescent="0.25">
      <c r="L152" s="160"/>
      <c r="M152" s="160"/>
      <c r="AL152" s="160"/>
      <c r="AQ152" s="160"/>
    </row>
    <row r="154" spans="1:51" x14ac:dyDescent="0.25">
      <c r="AS154" s="160"/>
      <c r="AU154" s="160"/>
      <c r="AV154" s="160"/>
    </row>
  </sheetData>
  <mergeCells count="294">
    <mergeCell ref="F63:G63"/>
    <mergeCell ref="D63:E63"/>
    <mergeCell ref="B6:C6"/>
    <mergeCell ref="B63:C63"/>
    <mergeCell ref="B8:C8"/>
    <mergeCell ref="B59:C59"/>
    <mergeCell ref="F7:G7"/>
    <mergeCell ref="F8:G8"/>
    <mergeCell ref="F9:G9"/>
    <mergeCell ref="F10:G10"/>
    <mergeCell ref="B7:C7"/>
    <mergeCell ref="AB64:AC64"/>
    <mergeCell ref="AV6:AW6"/>
    <mergeCell ref="AV7:AW7"/>
    <mergeCell ref="D6:E6"/>
    <mergeCell ref="B64:C64"/>
    <mergeCell ref="B62:C62"/>
    <mergeCell ref="D7:E7"/>
    <mergeCell ref="D8:E8"/>
    <mergeCell ref="D9:E9"/>
    <mergeCell ref="AV11:AW11"/>
    <mergeCell ref="D62:E62"/>
    <mergeCell ref="V11:W11"/>
    <mergeCell ref="V62:W62"/>
    <mergeCell ref="F62:G62"/>
    <mergeCell ref="H62:I62"/>
    <mergeCell ref="J62:K62"/>
    <mergeCell ref="L62:M62"/>
    <mergeCell ref="N62:O62"/>
    <mergeCell ref="H11:I11"/>
    <mergeCell ref="H6:I6"/>
    <mergeCell ref="N6:O6"/>
    <mergeCell ref="AX9:AY9"/>
    <mergeCell ref="AX10:AY10"/>
    <mergeCell ref="AX11:AY11"/>
    <mergeCell ref="D11:E11"/>
    <mergeCell ref="F6:G6"/>
    <mergeCell ref="AV8:AW8"/>
    <mergeCell ref="AV9:AW9"/>
    <mergeCell ref="AV10:AW10"/>
    <mergeCell ref="J6:K6"/>
    <mergeCell ref="J7:K7"/>
    <mergeCell ref="J8:K8"/>
    <mergeCell ref="L6:M6"/>
    <mergeCell ref="L7:M7"/>
    <mergeCell ref="L8:M8"/>
    <mergeCell ref="J10:K10"/>
    <mergeCell ref="J11:K11"/>
    <mergeCell ref="L9:M9"/>
    <mergeCell ref="L10:M10"/>
    <mergeCell ref="L11:M11"/>
    <mergeCell ref="H7:I7"/>
    <mergeCell ref="H8:I8"/>
    <mergeCell ref="AR6:AS6"/>
    <mergeCell ref="AR7:AS7"/>
    <mergeCell ref="AR8:AS8"/>
    <mergeCell ref="AR9:AS9"/>
    <mergeCell ref="AR10:AS10"/>
    <mergeCell ref="V6:W6"/>
    <mergeCell ref="V7:W7"/>
    <mergeCell ref="V8:W8"/>
    <mergeCell ref="V9:W9"/>
    <mergeCell ref="V10:W10"/>
    <mergeCell ref="X6:Y6"/>
    <mergeCell ref="X7:Y7"/>
    <mergeCell ref="X8:Y8"/>
    <mergeCell ref="X9:Y9"/>
    <mergeCell ref="X10:Y10"/>
    <mergeCell ref="X11:Y11"/>
    <mergeCell ref="Z6:AA6"/>
    <mergeCell ref="Z7:AA7"/>
    <mergeCell ref="Z8:AA8"/>
    <mergeCell ref="Z9:AA9"/>
    <mergeCell ref="Z10:AA10"/>
    <mergeCell ref="Z11:AA11"/>
    <mergeCell ref="AB6:AC6"/>
    <mergeCell ref="AB7:AC7"/>
    <mergeCell ref="AB8:AC8"/>
    <mergeCell ref="AB9:AC9"/>
    <mergeCell ref="AB10:AC10"/>
    <mergeCell ref="AB11:AC11"/>
    <mergeCell ref="AF6:AG6"/>
    <mergeCell ref="AF7:AG7"/>
    <mergeCell ref="AF8:AG8"/>
    <mergeCell ref="AF9:AG9"/>
    <mergeCell ref="AF10:AG10"/>
    <mergeCell ref="AF11:AG11"/>
    <mergeCell ref="AH6:AI6"/>
    <mergeCell ref="AH7:AI7"/>
    <mergeCell ref="AH8:AI8"/>
    <mergeCell ref="AH9:AI9"/>
    <mergeCell ref="AH10:AI10"/>
    <mergeCell ref="AH11:AI11"/>
    <mergeCell ref="AL6:AM6"/>
    <mergeCell ref="AL7:AM7"/>
    <mergeCell ref="AL8:AM8"/>
    <mergeCell ref="AL9:AM9"/>
    <mergeCell ref="AL10:AM10"/>
    <mergeCell ref="AL11:AM11"/>
    <mergeCell ref="AN6:AO6"/>
    <mergeCell ref="AN7:AO7"/>
    <mergeCell ref="AN8:AO8"/>
    <mergeCell ref="AN9:AO9"/>
    <mergeCell ref="AN10:AO10"/>
    <mergeCell ref="AP11:AQ11"/>
    <mergeCell ref="AR62:AS62"/>
    <mergeCell ref="AP62:AQ62"/>
    <mergeCell ref="AR63:AS63"/>
    <mergeCell ref="AT11:AU11"/>
    <mergeCell ref="AR66:AS66"/>
    <mergeCell ref="AR67:AS67"/>
    <mergeCell ref="AP63:AQ63"/>
    <mergeCell ref="AP64:AQ64"/>
    <mergeCell ref="D10:E10"/>
    <mergeCell ref="AT7:AU7"/>
    <mergeCell ref="AT8:AU8"/>
    <mergeCell ref="AT9:AU9"/>
    <mergeCell ref="AN11:AO11"/>
    <mergeCell ref="AR11:AS11"/>
    <mergeCell ref="N7:O7"/>
    <mergeCell ref="N8:O8"/>
    <mergeCell ref="N9:O9"/>
    <mergeCell ref="J9:K9"/>
    <mergeCell ref="P6:Q6"/>
    <mergeCell ref="P7:Q7"/>
    <mergeCell ref="A9:A12"/>
    <mergeCell ref="B9:B12"/>
    <mergeCell ref="F11:G11"/>
    <mergeCell ref="T9:U9"/>
    <mergeCell ref="T10:U10"/>
    <mergeCell ref="T11:U11"/>
    <mergeCell ref="H9:I9"/>
    <mergeCell ref="H10:I10"/>
    <mergeCell ref="T6:U6"/>
    <mergeCell ref="T7:U7"/>
    <mergeCell ref="T8:U8"/>
    <mergeCell ref="T62:U62"/>
    <mergeCell ref="R6:S6"/>
    <mergeCell ref="R62:S62"/>
    <mergeCell ref="R7:S7"/>
    <mergeCell ref="R8:S8"/>
    <mergeCell ref="R9:S9"/>
    <mergeCell ref="R10:S10"/>
    <mergeCell ref="J63:K63"/>
    <mergeCell ref="L63:M63"/>
    <mergeCell ref="P8:Q8"/>
    <mergeCell ref="P9:Q9"/>
    <mergeCell ref="T63:U63"/>
    <mergeCell ref="P10:Q10"/>
    <mergeCell ref="P11:Q11"/>
    <mergeCell ref="N10:O10"/>
    <mergeCell ref="N11:O11"/>
    <mergeCell ref="R11:S11"/>
    <mergeCell ref="X64:Y64"/>
    <mergeCell ref="X62:Y62"/>
    <mergeCell ref="Z62:AA62"/>
    <mergeCell ref="AB62:AC62"/>
    <mergeCell ref="D64:E64"/>
    <mergeCell ref="F64:G64"/>
    <mergeCell ref="H64:I64"/>
    <mergeCell ref="J64:K64"/>
    <mergeCell ref="L64:M64"/>
    <mergeCell ref="H63:I63"/>
    <mergeCell ref="P65:Q65"/>
    <mergeCell ref="R64:S64"/>
    <mergeCell ref="T64:U64"/>
    <mergeCell ref="Z63:AA63"/>
    <mergeCell ref="AB63:AC63"/>
    <mergeCell ref="N63:O63"/>
    <mergeCell ref="R63:S63"/>
    <mergeCell ref="V63:W63"/>
    <mergeCell ref="V64:W64"/>
    <mergeCell ref="X63:Y63"/>
    <mergeCell ref="N65:O65"/>
    <mergeCell ref="Z65:AA65"/>
    <mergeCell ref="AB65:AC65"/>
    <mergeCell ref="Z64:AA64"/>
    <mergeCell ref="N64:O64"/>
    <mergeCell ref="R65:S65"/>
    <mergeCell ref="V65:W65"/>
    <mergeCell ref="X65:Y65"/>
    <mergeCell ref="T65:U65"/>
    <mergeCell ref="P64:Q64"/>
    <mergeCell ref="AB66:AC66"/>
    <mergeCell ref="V66:W66"/>
    <mergeCell ref="X66:Y66"/>
    <mergeCell ref="AB67:AC67"/>
    <mergeCell ref="L66:M66"/>
    <mergeCell ref="D65:E65"/>
    <mergeCell ref="F65:G65"/>
    <mergeCell ref="H65:I65"/>
    <mergeCell ref="J65:K65"/>
    <mergeCell ref="L65:M65"/>
    <mergeCell ref="R67:S67"/>
    <mergeCell ref="D66:E66"/>
    <mergeCell ref="F66:G66"/>
    <mergeCell ref="H66:I66"/>
    <mergeCell ref="J66:K66"/>
    <mergeCell ref="H67:I67"/>
    <mergeCell ref="J67:K67"/>
    <mergeCell ref="Z67:AA67"/>
    <mergeCell ref="T67:U67"/>
    <mergeCell ref="P67:Q67"/>
    <mergeCell ref="Z66:AA66"/>
    <mergeCell ref="L67:M67"/>
    <mergeCell ref="N67:O67"/>
    <mergeCell ref="X67:Y67"/>
    <mergeCell ref="P66:Q66"/>
    <mergeCell ref="N66:O66"/>
    <mergeCell ref="R66:S66"/>
    <mergeCell ref="AH62:AI62"/>
    <mergeCell ref="AL62:AM62"/>
    <mergeCell ref="AN62:AO62"/>
    <mergeCell ref="A65:A68"/>
    <mergeCell ref="B65:B68"/>
    <mergeCell ref="C67:C68"/>
    <mergeCell ref="T66:U66"/>
    <mergeCell ref="V67:W67"/>
    <mergeCell ref="D67:E67"/>
    <mergeCell ref="F67:G67"/>
    <mergeCell ref="AV63:AW63"/>
    <mergeCell ref="AF64:AG64"/>
    <mergeCell ref="AH64:AI64"/>
    <mergeCell ref="AT62:AU62"/>
    <mergeCell ref="AV62:AW62"/>
    <mergeCell ref="AF63:AG63"/>
    <mergeCell ref="AH63:AI63"/>
    <mergeCell ref="AL63:AM63"/>
    <mergeCell ref="AN63:AO63"/>
    <mergeCell ref="AF62:AG62"/>
    <mergeCell ref="AL64:AM64"/>
    <mergeCell ref="AN64:AO64"/>
    <mergeCell ref="AT64:AU64"/>
    <mergeCell ref="AV64:AW64"/>
    <mergeCell ref="AR64:AS64"/>
    <mergeCell ref="AR65:AS65"/>
    <mergeCell ref="AP65:AQ65"/>
    <mergeCell ref="AN65:AO65"/>
    <mergeCell ref="AV66:AW66"/>
    <mergeCell ref="AT65:AU65"/>
    <mergeCell ref="AP6:AQ6"/>
    <mergeCell ref="AP7:AQ7"/>
    <mergeCell ref="AP8:AQ8"/>
    <mergeCell ref="AP9:AQ9"/>
    <mergeCell ref="AP10:AQ10"/>
    <mergeCell ref="AT63:AU63"/>
    <mergeCell ref="AT10:AU10"/>
    <mergeCell ref="AT6:AU6"/>
    <mergeCell ref="AV67:AW67"/>
    <mergeCell ref="AX67:AY67"/>
    <mergeCell ref="AF67:AG67"/>
    <mergeCell ref="AX66:AY66"/>
    <mergeCell ref="AV65:AW65"/>
    <mergeCell ref="AX65:AY65"/>
    <mergeCell ref="AL67:AM67"/>
    <mergeCell ref="AN67:AO67"/>
    <mergeCell ref="AL66:AM66"/>
    <mergeCell ref="AN66:AO66"/>
    <mergeCell ref="AH67:AI67"/>
    <mergeCell ref="AF65:AG65"/>
    <mergeCell ref="AH65:AI65"/>
    <mergeCell ref="AT67:AU67"/>
    <mergeCell ref="AF66:AG66"/>
    <mergeCell ref="AH66:AI66"/>
    <mergeCell ref="AT66:AU66"/>
    <mergeCell ref="AL65:AM65"/>
    <mergeCell ref="AP67:AQ67"/>
    <mergeCell ref="AP66:AQ66"/>
    <mergeCell ref="AD65:AE65"/>
    <mergeCell ref="AD66:AE66"/>
    <mergeCell ref="AD67:AE67"/>
    <mergeCell ref="AD6:AE6"/>
    <mergeCell ref="AD7:AE7"/>
    <mergeCell ref="AD8:AE8"/>
    <mergeCell ref="AD9:AE9"/>
    <mergeCell ref="AD10:AE10"/>
    <mergeCell ref="AD11:AE11"/>
    <mergeCell ref="AD62:AE62"/>
    <mergeCell ref="AJ6:AK6"/>
    <mergeCell ref="AJ7:AK7"/>
    <mergeCell ref="AJ8:AK8"/>
    <mergeCell ref="AJ9:AK9"/>
    <mergeCell ref="AJ10:AK10"/>
    <mergeCell ref="AJ11:AK11"/>
    <mergeCell ref="AJ64:AK64"/>
    <mergeCell ref="AJ65:AK65"/>
    <mergeCell ref="AJ66:AK66"/>
    <mergeCell ref="AJ67:AK67"/>
    <mergeCell ref="P62:Q62"/>
    <mergeCell ref="P63:Q63"/>
    <mergeCell ref="AJ62:AK62"/>
    <mergeCell ref="AJ63:AK63"/>
    <mergeCell ref="AD63:AE63"/>
    <mergeCell ref="AD64:AE64"/>
  </mergeCells>
  <phoneticPr fontId="26" type="noConversion"/>
  <pageMargins left="0.70866141732283472" right="0.70866141732283472" top="0.74803149606299213" bottom="0.74803149606299213" header="0.31496062992125984" footer="0.31496062992125984"/>
  <pageSetup paperSize="8" scale="49" orientation="landscape" r:id="rId1"/>
  <rowBreaks count="1" manualBreakCount="1">
    <brk id="59" max="16383" man="1"/>
  </rowBreaks>
  <colBreaks count="1" manualBreakCount="1">
    <brk id="25" max="14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view="pageBreakPreview" zoomScaleNormal="100" zoomScaleSheetLayoutView="100" workbookViewId="0">
      <pane xSplit="3" ySplit="11" topLeftCell="D21" activePane="bottomRight" state="frozen"/>
      <selection pane="topRight" activeCell="D1" sqref="D1"/>
      <selection pane="bottomLeft" activeCell="A11" sqref="A11"/>
      <selection pane="bottomRight" activeCell="D40" sqref="D40:E40"/>
    </sheetView>
  </sheetViews>
  <sheetFormatPr defaultColWidth="9.109375" defaultRowHeight="14.4" x14ac:dyDescent="0.25"/>
  <cols>
    <col min="1" max="1" width="7" style="126" customWidth="1"/>
    <col min="2" max="2" width="10.44140625" style="126" bestFit="1" customWidth="1"/>
    <col min="3" max="3" width="60.5546875" style="127" bestFit="1" customWidth="1"/>
    <col min="4" max="11" width="13.6640625" style="127" customWidth="1"/>
    <col min="12" max="16384" width="9.109375" style="128"/>
  </cols>
  <sheetData>
    <row r="1" spans="1:11" x14ac:dyDescent="0.25">
      <c r="A1" s="214" t="s">
        <v>566</v>
      </c>
      <c r="B1" s="214"/>
      <c r="C1" s="214"/>
    </row>
    <row r="2" spans="1:11" ht="18" x14ac:dyDescent="0.25">
      <c r="A2" s="125" t="s">
        <v>797</v>
      </c>
    </row>
    <row r="3" spans="1:11" ht="18" x14ac:dyDescent="0.25">
      <c r="A3" s="312" t="s">
        <v>579</v>
      </c>
    </row>
    <row r="5" spans="1:11" ht="15.6" x14ac:dyDescent="0.25">
      <c r="A5" s="129" t="s">
        <v>167</v>
      </c>
      <c r="B5" s="129"/>
      <c r="C5" s="129"/>
    </row>
    <row r="6" spans="1:11" s="152" customFormat="1" ht="13.8" x14ac:dyDescent="0.25">
      <c r="A6" s="130"/>
      <c r="B6" s="781"/>
      <c r="C6" s="781"/>
      <c r="D6" s="754" t="s">
        <v>179</v>
      </c>
      <c r="E6" s="755"/>
      <c r="F6" s="754" t="s">
        <v>451</v>
      </c>
      <c r="G6" s="755"/>
      <c r="H6" s="754" t="s">
        <v>182</v>
      </c>
      <c r="I6" s="755"/>
      <c r="J6" s="754"/>
      <c r="K6" s="755"/>
    </row>
    <row r="7" spans="1:11" s="152" customFormat="1" ht="13.8" x14ac:dyDescent="0.25">
      <c r="A7" s="130"/>
      <c r="B7" s="778" t="s">
        <v>183</v>
      </c>
      <c r="C7" s="779"/>
      <c r="D7" s="760" t="s">
        <v>452</v>
      </c>
      <c r="E7" s="761"/>
      <c r="F7" s="760" t="s">
        <v>452</v>
      </c>
      <c r="G7" s="761"/>
      <c r="H7" s="760" t="s">
        <v>200</v>
      </c>
      <c r="I7" s="761"/>
      <c r="J7" s="746" t="s">
        <v>654</v>
      </c>
      <c r="K7" s="747"/>
    </row>
    <row r="8" spans="1:11" s="152" customFormat="1" ht="13.8" x14ac:dyDescent="0.25">
      <c r="A8" s="130"/>
      <c r="B8" s="762"/>
      <c r="C8" s="763"/>
      <c r="D8" s="762" t="s">
        <v>453</v>
      </c>
      <c r="E8" s="763"/>
      <c r="F8" s="762" t="s">
        <v>454</v>
      </c>
      <c r="G8" s="763"/>
      <c r="H8" s="762" t="s">
        <v>455</v>
      </c>
      <c r="I8" s="763"/>
      <c r="J8" s="786" t="s">
        <v>653</v>
      </c>
      <c r="K8" s="787"/>
    </row>
    <row r="9" spans="1:11" ht="15" customHeight="1" x14ac:dyDescent="0.25">
      <c r="A9" s="766" t="s">
        <v>214</v>
      </c>
      <c r="B9" s="775" t="s">
        <v>215</v>
      </c>
      <c r="C9" s="131"/>
      <c r="D9" s="746" t="s">
        <v>165</v>
      </c>
      <c r="E9" s="747"/>
      <c r="F9" s="746" t="s">
        <v>456</v>
      </c>
      <c r="G9" s="747"/>
      <c r="H9" s="746" t="s">
        <v>220</v>
      </c>
      <c r="I9" s="747"/>
      <c r="J9" s="756" t="s">
        <v>165</v>
      </c>
      <c r="K9" s="757"/>
    </row>
    <row r="10" spans="1:11" s="146" customFormat="1" ht="13.2" x14ac:dyDescent="0.25">
      <c r="A10" s="767"/>
      <c r="B10" s="776"/>
      <c r="C10" s="133" t="s">
        <v>1</v>
      </c>
      <c r="D10" s="756" t="s">
        <v>453</v>
      </c>
      <c r="E10" s="757"/>
      <c r="F10" s="756" t="s">
        <v>454</v>
      </c>
      <c r="G10" s="757"/>
      <c r="H10" s="756" t="s">
        <v>460</v>
      </c>
      <c r="I10" s="757"/>
      <c r="J10" s="748" t="s">
        <v>202</v>
      </c>
      <c r="K10" s="749"/>
    </row>
    <row r="11" spans="1:11" s="146" customFormat="1" ht="24" x14ac:dyDescent="0.25">
      <c r="A11" s="768"/>
      <c r="B11" s="777"/>
      <c r="C11" s="134"/>
      <c r="D11" s="389" t="s">
        <v>625</v>
      </c>
      <c r="E11" s="389" t="s">
        <v>626</v>
      </c>
      <c r="F11" s="389" t="s">
        <v>625</v>
      </c>
      <c r="G11" s="389" t="s">
        <v>626</v>
      </c>
      <c r="H11" s="389" t="s">
        <v>625</v>
      </c>
      <c r="I11" s="389" t="s">
        <v>626</v>
      </c>
      <c r="J11" s="389" t="s">
        <v>625</v>
      </c>
      <c r="K11" s="389" t="s">
        <v>626</v>
      </c>
    </row>
    <row r="12" spans="1:11" s="153" customFormat="1" ht="13.2" x14ac:dyDescent="0.25">
      <c r="A12" s="132" t="s">
        <v>0</v>
      </c>
      <c r="B12" s="135" t="s">
        <v>247</v>
      </c>
      <c r="C12" s="136" t="s">
        <v>248</v>
      </c>
      <c r="D12" s="114"/>
      <c r="E12" s="114"/>
      <c r="F12" s="114"/>
      <c r="G12" s="114"/>
      <c r="H12" s="114"/>
      <c r="I12" s="118"/>
      <c r="J12" s="115">
        <f t="shared" ref="J12:K14" si="0">D12+F12+H12</f>
        <v>0</v>
      </c>
      <c r="K12" s="115">
        <f t="shared" si="0"/>
        <v>0</v>
      </c>
    </row>
    <row r="13" spans="1:11" s="153" customFormat="1" ht="13.2" x14ac:dyDescent="0.25">
      <c r="A13" s="132" t="s">
        <v>6</v>
      </c>
      <c r="B13" s="135" t="s">
        <v>257</v>
      </c>
      <c r="C13" s="136" t="s">
        <v>258</v>
      </c>
      <c r="D13" s="114"/>
      <c r="E13" s="114"/>
      <c r="F13" s="114"/>
      <c r="G13" s="114"/>
      <c r="H13" s="114"/>
      <c r="I13" s="118"/>
      <c r="J13" s="115">
        <f t="shared" si="0"/>
        <v>0</v>
      </c>
      <c r="K13" s="115">
        <f t="shared" si="0"/>
        <v>0</v>
      </c>
    </row>
    <row r="14" spans="1:11" s="127" customFormat="1" ht="13.2" x14ac:dyDescent="0.25">
      <c r="A14" s="132" t="s">
        <v>14</v>
      </c>
      <c r="B14" s="132" t="s">
        <v>269</v>
      </c>
      <c r="C14" s="137" t="s">
        <v>270</v>
      </c>
      <c r="D14" s="116"/>
      <c r="E14" s="116"/>
      <c r="F14" s="116"/>
      <c r="G14" s="116"/>
      <c r="H14" s="116"/>
      <c r="I14" s="117"/>
      <c r="J14" s="117">
        <f t="shared" si="0"/>
        <v>0</v>
      </c>
      <c r="K14" s="117">
        <f t="shared" si="0"/>
        <v>0</v>
      </c>
    </row>
    <row r="15" spans="1:11" s="127" customFormat="1" ht="13.2" x14ac:dyDescent="0.25">
      <c r="A15" s="132" t="s">
        <v>17</v>
      </c>
      <c r="B15" s="132" t="s">
        <v>273</v>
      </c>
      <c r="C15" s="137" t="s">
        <v>274</v>
      </c>
      <c r="D15" s="116"/>
      <c r="E15" s="116"/>
      <c r="F15" s="116"/>
      <c r="G15" s="116"/>
      <c r="H15" s="116"/>
      <c r="I15" s="117"/>
      <c r="J15" s="117">
        <f t="shared" ref="J15:J33" si="1">D15+F15+H15</f>
        <v>0</v>
      </c>
      <c r="K15" s="117">
        <f t="shared" ref="K15:K33" si="2">E15+G15+I15</f>
        <v>0</v>
      </c>
    </row>
    <row r="16" spans="1:11" s="127" customFormat="1" ht="13.2" x14ac:dyDescent="0.25">
      <c r="A16" s="132" t="s">
        <v>34</v>
      </c>
      <c r="B16" s="132" t="s">
        <v>277</v>
      </c>
      <c r="C16" s="137" t="s">
        <v>278</v>
      </c>
      <c r="D16" s="116"/>
      <c r="E16" s="116"/>
      <c r="F16" s="116"/>
      <c r="G16" s="116"/>
      <c r="H16" s="116"/>
      <c r="I16" s="117"/>
      <c r="J16" s="117">
        <f t="shared" si="1"/>
        <v>0</v>
      </c>
      <c r="K16" s="117">
        <f t="shared" si="2"/>
        <v>0</v>
      </c>
    </row>
    <row r="17" spans="1:11" s="127" customFormat="1" ht="13.2" x14ac:dyDescent="0.25">
      <c r="A17" s="132" t="s">
        <v>36</v>
      </c>
      <c r="B17" s="132" t="s">
        <v>281</v>
      </c>
      <c r="C17" s="137" t="s">
        <v>282</v>
      </c>
      <c r="D17" s="116"/>
      <c r="E17" s="116"/>
      <c r="F17" s="116">
        <v>100</v>
      </c>
      <c r="G17" s="116">
        <v>100</v>
      </c>
      <c r="H17" s="116"/>
      <c r="I17" s="117"/>
      <c r="J17" s="117">
        <f t="shared" si="1"/>
        <v>100</v>
      </c>
      <c r="K17" s="117">
        <f t="shared" si="2"/>
        <v>100</v>
      </c>
    </row>
    <row r="18" spans="1:11" s="127" customFormat="1" ht="13.2" x14ac:dyDescent="0.25">
      <c r="A18" s="132" t="s">
        <v>31</v>
      </c>
      <c r="B18" s="132" t="s">
        <v>283</v>
      </c>
      <c r="C18" s="137" t="s">
        <v>284</v>
      </c>
      <c r="D18" s="116"/>
      <c r="E18" s="116"/>
      <c r="F18" s="116"/>
      <c r="G18" s="116"/>
      <c r="H18" s="116"/>
      <c r="I18" s="117"/>
      <c r="J18" s="117">
        <f t="shared" si="1"/>
        <v>0</v>
      </c>
      <c r="K18" s="117">
        <f t="shared" si="2"/>
        <v>0</v>
      </c>
    </row>
    <row r="19" spans="1:11" s="127" customFormat="1" ht="13.2" x14ac:dyDescent="0.25">
      <c r="A19" s="132" t="s">
        <v>18</v>
      </c>
      <c r="B19" s="132" t="s">
        <v>285</v>
      </c>
      <c r="C19" s="137" t="s">
        <v>286</v>
      </c>
      <c r="D19" s="116"/>
      <c r="E19" s="116"/>
      <c r="F19" s="116">
        <v>50</v>
      </c>
      <c r="G19" s="116">
        <v>50</v>
      </c>
      <c r="H19" s="116"/>
      <c r="I19" s="117"/>
      <c r="J19" s="117">
        <f t="shared" si="1"/>
        <v>50</v>
      </c>
      <c r="K19" s="117">
        <f t="shared" si="2"/>
        <v>50</v>
      </c>
    </row>
    <row r="20" spans="1:11" s="153" customFormat="1" ht="13.2" x14ac:dyDescent="0.25">
      <c r="A20" s="132" t="s">
        <v>19</v>
      </c>
      <c r="B20" s="135" t="s">
        <v>287</v>
      </c>
      <c r="C20" s="138" t="s">
        <v>2</v>
      </c>
      <c r="D20" s="114">
        <f t="shared" ref="D20:I20" si="3">SUM(D14:D19)</f>
        <v>0</v>
      </c>
      <c r="E20" s="114">
        <f t="shared" si="3"/>
        <v>0</v>
      </c>
      <c r="F20" s="114">
        <f t="shared" si="3"/>
        <v>150</v>
      </c>
      <c r="G20" s="114">
        <f t="shared" si="3"/>
        <v>150</v>
      </c>
      <c r="H20" s="114">
        <f t="shared" si="3"/>
        <v>0</v>
      </c>
      <c r="I20" s="114">
        <f t="shared" si="3"/>
        <v>0</v>
      </c>
      <c r="J20" s="426">
        <f t="shared" si="1"/>
        <v>150</v>
      </c>
      <c r="K20" s="426">
        <f t="shared" si="2"/>
        <v>150</v>
      </c>
    </row>
    <row r="21" spans="1:11" s="127" customFormat="1" ht="13.2" x14ac:dyDescent="0.25">
      <c r="A21" s="132" t="s">
        <v>20</v>
      </c>
      <c r="B21" s="132" t="s">
        <v>290</v>
      </c>
      <c r="C21" s="137" t="s">
        <v>291</v>
      </c>
      <c r="D21" s="116"/>
      <c r="E21" s="116"/>
      <c r="F21" s="116"/>
      <c r="G21" s="116"/>
      <c r="H21" s="116"/>
      <c r="I21" s="117"/>
      <c r="J21" s="117">
        <f t="shared" si="1"/>
        <v>0</v>
      </c>
      <c r="K21" s="117">
        <f t="shared" si="2"/>
        <v>0</v>
      </c>
    </row>
    <row r="22" spans="1:11" s="153" customFormat="1" ht="13.2" x14ac:dyDescent="0.25">
      <c r="A22" s="132" t="s">
        <v>21</v>
      </c>
      <c r="B22" s="135" t="s">
        <v>292</v>
      </c>
      <c r="C22" s="136" t="s">
        <v>3</v>
      </c>
      <c r="D22" s="114">
        <f t="shared" ref="D22:I22" si="4">SUM(D21:D21)</f>
        <v>0</v>
      </c>
      <c r="E22" s="114">
        <f t="shared" si="4"/>
        <v>0</v>
      </c>
      <c r="F22" s="114">
        <f t="shared" si="4"/>
        <v>0</v>
      </c>
      <c r="G22" s="114">
        <f t="shared" si="4"/>
        <v>0</v>
      </c>
      <c r="H22" s="114">
        <f t="shared" si="4"/>
        <v>0</v>
      </c>
      <c r="I22" s="114">
        <f t="shared" si="4"/>
        <v>0</v>
      </c>
      <c r="J22" s="426">
        <f t="shared" si="1"/>
        <v>0</v>
      </c>
      <c r="K22" s="426">
        <f t="shared" si="2"/>
        <v>0</v>
      </c>
    </row>
    <row r="23" spans="1:11" s="127" customFormat="1" ht="13.2" x14ac:dyDescent="0.25">
      <c r="A23" s="132" t="s">
        <v>32</v>
      </c>
      <c r="B23" s="132" t="s">
        <v>293</v>
      </c>
      <c r="C23" s="137" t="s">
        <v>294</v>
      </c>
      <c r="D23" s="116"/>
      <c r="E23" s="116"/>
      <c r="F23" s="116"/>
      <c r="G23" s="116"/>
      <c r="H23" s="116"/>
      <c r="I23" s="117"/>
      <c r="J23" s="117">
        <f t="shared" si="1"/>
        <v>0</v>
      </c>
      <c r="K23" s="117">
        <f t="shared" si="2"/>
        <v>0</v>
      </c>
    </row>
    <row r="24" spans="1:11" s="127" customFormat="1" ht="13.2" x14ac:dyDescent="0.25">
      <c r="A24" s="132" t="s">
        <v>22</v>
      </c>
      <c r="B24" s="132" t="s">
        <v>295</v>
      </c>
      <c r="C24" s="137" t="s">
        <v>296</v>
      </c>
      <c r="D24" s="116"/>
      <c r="E24" s="116"/>
      <c r="F24" s="116"/>
      <c r="G24" s="116"/>
      <c r="H24" s="116"/>
      <c r="I24" s="117"/>
      <c r="J24" s="117">
        <f t="shared" si="1"/>
        <v>0</v>
      </c>
      <c r="K24" s="117">
        <f t="shared" si="2"/>
        <v>0</v>
      </c>
    </row>
    <row r="25" spans="1:11" s="153" customFormat="1" ht="13.2" x14ac:dyDescent="0.25">
      <c r="A25" s="132" t="s">
        <v>24</v>
      </c>
      <c r="B25" s="135" t="s">
        <v>297</v>
      </c>
      <c r="C25" s="138" t="s">
        <v>298</v>
      </c>
      <c r="D25" s="114">
        <f t="shared" ref="D25:I25" si="5">SUM(D23:D24)</f>
        <v>0</v>
      </c>
      <c r="E25" s="114">
        <f t="shared" si="5"/>
        <v>0</v>
      </c>
      <c r="F25" s="114">
        <f t="shared" si="5"/>
        <v>0</v>
      </c>
      <c r="G25" s="114">
        <f t="shared" si="5"/>
        <v>0</v>
      </c>
      <c r="H25" s="114">
        <f t="shared" si="5"/>
        <v>0</v>
      </c>
      <c r="I25" s="114">
        <f t="shared" si="5"/>
        <v>0</v>
      </c>
      <c r="J25" s="426">
        <f t="shared" si="1"/>
        <v>0</v>
      </c>
      <c r="K25" s="426">
        <f t="shared" si="2"/>
        <v>0</v>
      </c>
    </row>
    <row r="26" spans="1:11" s="127" customFormat="1" ht="13.2" x14ac:dyDescent="0.25">
      <c r="A26" s="132" t="s">
        <v>40</v>
      </c>
      <c r="B26" s="132" t="s">
        <v>299</v>
      </c>
      <c r="C26" s="137" t="s">
        <v>300</v>
      </c>
      <c r="D26" s="116"/>
      <c r="E26" s="116"/>
      <c r="F26" s="116"/>
      <c r="G26" s="116"/>
      <c r="H26" s="116"/>
      <c r="I26" s="117"/>
      <c r="J26" s="117">
        <f t="shared" si="1"/>
        <v>0</v>
      </c>
      <c r="K26" s="117">
        <f t="shared" si="2"/>
        <v>0</v>
      </c>
    </row>
    <row r="27" spans="1:11" s="127" customFormat="1" ht="13.2" x14ac:dyDescent="0.25">
      <c r="A27" s="132" t="s">
        <v>41</v>
      </c>
      <c r="B27" s="132" t="s">
        <v>301</v>
      </c>
      <c r="C27" s="137" t="s">
        <v>302</v>
      </c>
      <c r="D27" s="116"/>
      <c r="E27" s="116"/>
      <c r="F27" s="116"/>
      <c r="G27" s="116"/>
      <c r="H27" s="116"/>
      <c r="I27" s="117"/>
      <c r="J27" s="117">
        <f t="shared" si="1"/>
        <v>0</v>
      </c>
      <c r="K27" s="117">
        <f t="shared" si="2"/>
        <v>0</v>
      </c>
    </row>
    <row r="28" spans="1:11" s="153" customFormat="1" ht="13.2" x14ac:dyDescent="0.25">
      <c r="A28" s="132" t="s">
        <v>42</v>
      </c>
      <c r="B28" s="135" t="s">
        <v>303</v>
      </c>
      <c r="C28" s="138" t="s">
        <v>304</v>
      </c>
      <c r="D28" s="114">
        <f t="shared" ref="D28:I28" si="6">SUM(D26:D27)</f>
        <v>0</v>
      </c>
      <c r="E28" s="114">
        <f t="shared" si="6"/>
        <v>0</v>
      </c>
      <c r="F28" s="114">
        <f t="shared" si="6"/>
        <v>0</v>
      </c>
      <c r="G28" s="114">
        <f t="shared" si="6"/>
        <v>0</v>
      </c>
      <c r="H28" s="114">
        <f t="shared" si="6"/>
        <v>0</v>
      </c>
      <c r="I28" s="114">
        <f t="shared" si="6"/>
        <v>0</v>
      </c>
      <c r="J28" s="426">
        <f t="shared" si="1"/>
        <v>0</v>
      </c>
      <c r="K28" s="426">
        <f t="shared" si="2"/>
        <v>0</v>
      </c>
    </row>
    <row r="29" spans="1:11" s="146" customFormat="1" ht="13.2" x14ac:dyDescent="0.25">
      <c r="A29" s="132" t="s">
        <v>43</v>
      </c>
      <c r="B29" s="132" t="s">
        <v>305</v>
      </c>
      <c r="C29" s="137" t="s">
        <v>306</v>
      </c>
      <c r="D29" s="116"/>
      <c r="E29" s="116"/>
      <c r="F29" s="116"/>
      <c r="G29" s="116"/>
      <c r="H29" s="116"/>
      <c r="I29" s="117"/>
      <c r="J29" s="117">
        <f t="shared" si="1"/>
        <v>0</v>
      </c>
      <c r="K29" s="117">
        <f t="shared" si="2"/>
        <v>0</v>
      </c>
    </row>
    <row r="30" spans="1:11" s="146" customFormat="1" ht="13.2" x14ac:dyDescent="0.25">
      <c r="A30" s="132" t="s">
        <v>44</v>
      </c>
      <c r="B30" s="132" t="s">
        <v>307</v>
      </c>
      <c r="C30" s="137" t="s">
        <v>308</v>
      </c>
      <c r="D30" s="116"/>
      <c r="E30" s="116"/>
      <c r="F30" s="116">
        <v>60833</v>
      </c>
      <c r="G30" s="116">
        <v>60833</v>
      </c>
      <c r="H30" s="116"/>
      <c r="I30" s="117"/>
      <c r="J30" s="117">
        <f t="shared" si="1"/>
        <v>60833</v>
      </c>
      <c r="K30" s="117">
        <f t="shared" si="2"/>
        <v>60833</v>
      </c>
    </row>
    <row r="31" spans="1:11" s="146" customFormat="1" ht="13.2" x14ac:dyDescent="0.25">
      <c r="A31" s="132" t="s">
        <v>45</v>
      </c>
      <c r="B31" s="132" t="s">
        <v>457</v>
      </c>
      <c r="C31" s="137" t="s">
        <v>458</v>
      </c>
      <c r="D31" s="116"/>
      <c r="E31" s="116"/>
      <c r="F31" s="116"/>
      <c r="G31" s="116"/>
      <c r="H31" s="116">
        <f>'16.m. Önk. rovat+cofog'!AL142</f>
        <v>21078850</v>
      </c>
      <c r="I31" s="116">
        <f>'16.m. Önk. rovat+cofog'!AM142</f>
        <v>19703850.25</v>
      </c>
      <c r="J31" s="117">
        <f t="shared" si="1"/>
        <v>21078850</v>
      </c>
      <c r="K31" s="117">
        <f t="shared" si="2"/>
        <v>19703850.25</v>
      </c>
    </row>
    <row r="32" spans="1:11" s="153" customFormat="1" ht="13.2" x14ac:dyDescent="0.25">
      <c r="A32" s="132" t="s">
        <v>46</v>
      </c>
      <c r="B32" s="135" t="s">
        <v>309</v>
      </c>
      <c r="C32" s="138" t="s">
        <v>310</v>
      </c>
      <c r="D32" s="114">
        <f t="shared" ref="D32:I32" si="7">SUM(D29:D31)</f>
        <v>0</v>
      </c>
      <c r="E32" s="114">
        <f t="shared" si="7"/>
        <v>0</v>
      </c>
      <c r="F32" s="114">
        <f t="shared" si="7"/>
        <v>60833</v>
      </c>
      <c r="G32" s="114">
        <f t="shared" si="7"/>
        <v>60833</v>
      </c>
      <c r="H32" s="114">
        <f t="shared" si="7"/>
        <v>21078850</v>
      </c>
      <c r="I32" s="114">
        <f t="shared" si="7"/>
        <v>19703850.25</v>
      </c>
      <c r="J32" s="426">
        <f t="shared" si="1"/>
        <v>21139683</v>
      </c>
      <c r="K32" s="426">
        <f t="shared" si="2"/>
        <v>19764683.25</v>
      </c>
    </row>
    <row r="33" spans="1:11" s="153" customFormat="1" ht="24.75" customHeight="1" x14ac:dyDescent="0.25">
      <c r="A33" s="107"/>
      <c r="B33" s="784" t="s">
        <v>311</v>
      </c>
      <c r="C33" s="785"/>
      <c r="D33" s="114">
        <f t="shared" ref="D33:I33" si="8">D12+D13+D20+D22+D25+D28+D32</f>
        <v>0</v>
      </c>
      <c r="E33" s="114">
        <f t="shared" si="8"/>
        <v>0</v>
      </c>
      <c r="F33" s="114">
        <f t="shared" si="8"/>
        <v>60983</v>
      </c>
      <c r="G33" s="114">
        <f t="shared" si="8"/>
        <v>60983</v>
      </c>
      <c r="H33" s="114">
        <f t="shared" si="8"/>
        <v>21078850</v>
      </c>
      <c r="I33" s="114">
        <f t="shared" si="8"/>
        <v>19703850.25</v>
      </c>
      <c r="J33" s="426">
        <f t="shared" si="1"/>
        <v>21139833</v>
      </c>
      <c r="K33" s="426">
        <f t="shared" si="2"/>
        <v>19764833.25</v>
      </c>
    </row>
    <row r="34" spans="1:11" s="127" customFormat="1" ht="13.2" x14ac:dyDescent="0.25">
      <c r="A34" s="126"/>
      <c r="B34" s="139"/>
      <c r="C34" s="140"/>
      <c r="D34" s="140"/>
      <c r="E34" s="140"/>
      <c r="F34" s="140"/>
      <c r="G34" s="140"/>
      <c r="H34" s="140"/>
      <c r="I34" s="140"/>
      <c r="J34" s="140"/>
      <c r="K34" s="140"/>
    </row>
    <row r="35" spans="1:11" s="127" customFormat="1" ht="13.5" customHeight="1" x14ac:dyDescent="0.25">
      <c r="A35" s="129" t="s">
        <v>312</v>
      </c>
      <c r="B35" s="129"/>
      <c r="C35" s="129"/>
      <c r="D35" s="140"/>
      <c r="E35" s="140"/>
      <c r="F35" s="140"/>
      <c r="G35" s="140"/>
      <c r="H35" s="140"/>
      <c r="I35" s="140"/>
      <c r="J35" s="140"/>
      <c r="K35" s="140"/>
    </row>
    <row r="36" spans="1:11" s="154" customFormat="1" ht="14.25" customHeight="1" x14ac:dyDescent="0.25">
      <c r="A36" s="141"/>
      <c r="B36" s="780"/>
      <c r="C36" s="780"/>
      <c r="D36" s="754" t="s">
        <v>179</v>
      </c>
      <c r="E36" s="755"/>
      <c r="F36" s="754" t="s">
        <v>451</v>
      </c>
      <c r="G36" s="755"/>
      <c r="H36" s="754" t="s">
        <v>182</v>
      </c>
      <c r="I36" s="755"/>
      <c r="J36" s="754"/>
      <c r="K36" s="755"/>
    </row>
    <row r="37" spans="1:11" s="152" customFormat="1" ht="14.25" customHeight="1" x14ac:dyDescent="0.25">
      <c r="A37" s="130"/>
      <c r="B37" s="782" t="s">
        <v>183</v>
      </c>
      <c r="C37" s="783"/>
      <c r="D37" s="760" t="s">
        <v>452</v>
      </c>
      <c r="E37" s="761"/>
      <c r="F37" s="760" t="s">
        <v>452</v>
      </c>
      <c r="G37" s="761"/>
      <c r="H37" s="760" t="s">
        <v>200</v>
      </c>
      <c r="I37" s="761"/>
      <c r="J37" s="746" t="s">
        <v>654</v>
      </c>
      <c r="K37" s="747"/>
    </row>
    <row r="38" spans="1:11" s="152" customFormat="1" ht="14.25" customHeight="1" x14ac:dyDescent="0.25">
      <c r="A38" s="130"/>
      <c r="B38" s="742"/>
      <c r="C38" s="743"/>
      <c r="D38" s="762" t="s">
        <v>453</v>
      </c>
      <c r="E38" s="763"/>
      <c r="F38" s="762" t="s">
        <v>454</v>
      </c>
      <c r="G38" s="763"/>
      <c r="H38" s="762" t="s">
        <v>455</v>
      </c>
      <c r="I38" s="763"/>
      <c r="J38" s="786" t="s">
        <v>653</v>
      </c>
      <c r="K38" s="787"/>
    </row>
    <row r="39" spans="1:11" s="127" customFormat="1" ht="15" customHeight="1" x14ac:dyDescent="0.25">
      <c r="A39" s="766" t="s">
        <v>214</v>
      </c>
      <c r="B39" s="788" t="s">
        <v>215</v>
      </c>
      <c r="C39" s="142"/>
      <c r="D39" s="746" t="s">
        <v>165</v>
      </c>
      <c r="E39" s="747"/>
      <c r="F39" s="746" t="s">
        <v>456</v>
      </c>
      <c r="G39" s="747"/>
      <c r="H39" s="746" t="s">
        <v>220</v>
      </c>
      <c r="I39" s="747"/>
      <c r="J39" s="756" t="s">
        <v>165</v>
      </c>
      <c r="K39" s="757"/>
    </row>
    <row r="40" spans="1:11" s="146" customFormat="1" ht="15.75" customHeight="1" x14ac:dyDescent="0.25">
      <c r="A40" s="767"/>
      <c r="B40" s="788"/>
      <c r="C40" s="133" t="s">
        <v>1</v>
      </c>
      <c r="D40" s="756" t="s">
        <v>453</v>
      </c>
      <c r="E40" s="757"/>
      <c r="F40" s="756" t="s">
        <v>454</v>
      </c>
      <c r="G40" s="757"/>
      <c r="H40" s="756" t="s">
        <v>460</v>
      </c>
      <c r="I40" s="757"/>
      <c r="J40" s="748" t="s">
        <v>202</v>
      </c>
      <c r="K40" s="749"/>
    </row>
    <row r="41" spans="1:11" s="146" customFormat="1" ht="24" x14ac:dyDescent="0.25">
      <c r="A41" s="768"/>
      <c r="B41" s="788"/>
      <c r="C41" s="134"/>
      <c r="D41" s="389" t="s">
        <v>625</v>
      </c>
      <c r="E41" s="389" t="s">
        <v>626</v>
      </c>
      <c r="F41" s="389" t="s">
        <v>625</v>
      </c>
      <c r="G41" s="389" t="s">
        <v>626</v>
      </c>
      <c r="H41" s="389" t="s">
        <v>625</v>
      </c>
      <c r="I41" s="389" t="s">
        <v>626</v>
      </c>
      <c r="J41" s="389" t="s">
        <v>625</v>
      </c>
      <c r="K41" s="389" t="s">
        <v>626</v>
      </c>
    </row>
    <row r="42" spans="1:11" s="127" customFormat="1" ht="14.25" customHeight="1" x14ac:dyDescent="0.25">
      <c r="A42" s="143" t="s">
        <v>0</v>
      </c>
      <c r="B42" s="143" t="s">
        <v>313</v>
      </c>
      <c r="C42" s="144" t="s">
        <v>314</v>
      </c>
      <c r="D42" s="119">
        <f>'aládolgozó számítások'!I31</f>
        <v>15340565</v>
      </c>
      <c r="E42" s="119">
        <f>'aládolgozó számítások'!J44-140540</f>
        <v>14385565</v>
      </c>
      <c r="F42" s="119"/>
      <c r="G42" s="119"/>
      <c r="H42" s="119"/>
      <c r="I42" s="120"/>
      <c r="J42" s="423">
        <f>D42+F42+H42</f>
        <v>15340565</v>
      </c>
      <c r="K42" s="119">
        <f>E42+G42+I42</f>
        <v>14385565</v>
      </c>
    </row>
    <row r="43" spans="1:11" s="127" customFormat="1" ht="14.25" customHeight="1" x14ac:dyDescent="0.25">
      <c r="A43" s="143" t="s">
        <v>6</v>
      </c>
      <c r="B43" s="143" t="s">
        <v>603</v>
      </c>
      <c r="C43" s="144" t="s">
        <v>604</v>
      </c>
      <c r="D43" s="119">
        <v>0</v>
      </c>
      <c r="E43" s="119">
        <f>'aládolgozó számítások'!J45</f>
        <v>0</v>
      </c>
      <c r="F43" s="119"/>
      <c r="G43" s="119"/>
      <c r="H43" s="119"/>
      <c r="I43" s="120"/>
      <c r="J43" s="423">
        <f t="shared" ref="J43:J99" si="9">D43+F43+H43</f>
        <v>0</v>
      </c>
      <c r="K43" s="119">
        <f t="shared" ref="K43:K99" si="10">E43+G43+I43</f>
        <v>0</v>
      </c>
    </row>
    <row r="44" spans="1:11" s="127" customFormat="1" ht="14.25" customHeight="1" x14ac:dyDescent="0.25">
      <c r="A44" s="143" t="s">
        <v>14</v>
      </c>
      <c r="B44" s="143" t="s">
        <v>315</v>
      </c>
      <c r="C44" s="144" t="s">
        <v>316</v>
      </c>
      <c r="D44" s="119">
        <f>'aládolgozó számítások'!I33</f>
        <v>0</v>
      </c>
      <c r="E44" s="119">
        <f>'aládolgozó számítások'!J46</f>
        <v>0</v>
      </c>
      <c r="F44" s="119"/>
      <c r="G44" s="119"/>
      <c r="H44" s="119"/>
      <c r="I44" s="120"/>
      <c r="J44" s="423">
        <f t="shared" si="9"/>
        <v>0</v>
      </c>
      <c r="K44" s="119">
        <f t="shared" si="10"/>
        <v>0</v>
      </c>
    </row>
    <row r="45" spans="1:11" s="127" customFormat="1" ht="14.25" customHeight="1" x14ac:dyDescent="0.25">
      <c r="A45" s="143" t="s">
        <v>17</v>
      </c>
      <c r="B45" s="143" t="s">
        <v>317</v>
      </c>
      <c r="C45" s="144" t="s">
        <v>318</v>
      </c>
      <c r="D45" s="119">
        <f>'aládolgozó számítások'!I34</f>
        <v>0</v>
      </c>
      <c r="E45" s="119">
        <f>'aládolgozó számítások'!J47</f>
        <v>0</v>
      </c>
      <c r="F45" s="119"/>
      <c r="G45" s="119"/>
      <c r="H45" s="119"/>
      <c r="I45" s="120"/>
      <c r="J45" s="423">
        <f t="shared" si="9"/>
        <v>0</v>
      </c>
      <c r="K45" s="119">
        <f t="shared" si="10"/>
        <v>0</v>
      </c>
    </row>
    <row r="46" spans="1:11" s="127" customFormat="1" ht="14.25" customHeight="1" x14ac:dyDescent="0.25">
      <c r="A46" s="143" t="s">
        <v>34</v>
      </c>
      <c r="B46" s="143" t="s">
        <v>319</v>
      </c>
      <c r="C46" s="144" t="s">
        <v>585</v>
      </c>
      <c r="D46" s="119">
        <f>'aládolgozó számítások'!I35</f>
        <v>0</v>
      </c>
      <c r="E46" s="119">
        <f>'aládolgozó számítások'!J48</f>
        <v>0</v>
      </c>
      <c r="F46" s="119"/>
      <c r="G46" s="119"/>
      <c r="H46" s="119"/>
      <c r="I46" s="120"/>
      <c r="J46" s="423">
        <f t="shared" si="9"/>
        <v>0</v>
      </c>
      <c r="K46" s="119">
        <f t="shared" si="10"/>
        <v>0</v>
      </c>
    </row>
    <row r="47" spans="1:11" s="127" customFormat="1" ht="14.25" customHeight="1" x14ac:dyDescent="0.25">
      <c r="A47" s="143" t="s">
        <v>36</v>
      </c>
      <c r="B47" s="143" t="s">
        <v>320</v>
      </c>
      <c r="C47" s="144" t="s">
        <v>321</v>
      </c>
      <c r="D47" s="119">
        <f>'aládolgozó számítások'!I36</f>
        <v>214600</v>
      </c>
      <c r="E47" s="119">
        <v>164600</v>
      </c>
      <c r="F47" s="119"/>
      <c r="G47" s="119"/>
      <c r="H47" s="119"/>
      <c r="I47" s="120"/>
      <c r="J47" s="423">
        <f t="shared" si="9"/>
        <v>214600</v>
      </c>
      <c r="K47" s="119">
        <f t="shared" si="10"/>
        <v>164600</v>
      </c>
    </row>
    <row r="48" spans="1:11" s="127" customFormat="1" ht="14.25" customHeight="1" x14ac:dyDescent="0.25">
      <c r="A48" s="143" t="s">
        <v>31</v>
      </c>
      <c r="B48" s="143" t="s">
        <v>322</v>
      </c>
      <c r="C48" s="144" t="s">
        <v>323</v>
      </c>
      <c r="D48" s="119">
        <f>'aládolgozó számítások'!I37</f>
        <v>0</v>
      </c>
      <c r="E48" s="119">
        <f>'aládolgozó számítások'!J50</f>
        <v>0</v>
      </c>
      <c r="F48" s="119"/>
      <c r="G48" s="119"/>
      <c r="H48" s="119"/>
      <c r="I48" s="120"/>
      <c r="J48" s="423">
        <f t="shared" si="9"/>
        <v>0</v>
      </c>
      <c r="K48" s="119">
        <f t="shared" si="10"/>
        <v>0</v>
      </c>
    </row>
    <row r="49" spans="1:11" s="127" customFormat="1" ht="14.25" customHeight="1" x14ac:dyDescent="0.25">
      <c r="A49" s="143" t="s">
        <v>18</v>
      </c>
      <c r="B49" s="143" t="s">
        <v>324</v>
      </c>
      <c r="C49" s="144" t="s">
        <v>703</v>
      </c>
      <c r="D49" s="119">
        <f>'aládolgozó számítások'!I38</f>
        <v>0</v>
      </c>
      <c r="E49" s="119">
        <v>90000</v>
      </c>
      <c r="F49" s="119"/>
      <c r="G49" s="119"/>
      <c r="H49" s="119"/>
      <c r="I49" s="120"/>
      <c r="J49" s="423">
        <f t="shared" si="9"/>
        <v>0</v>
      </c>
      <c r="K49" s="119">
        <f t="shared" si="10"/>
        <v>90000</v>
      </c>
    </row>
    <row r="50" spans="1:11" s="127" customFormat="1" ht="14.25" customHeight="1" x14ac:dyDescent="0.25">
      <c r="A50" s="143" t="s">
        <v>19</v>
      </c>
      <c r="B50" s="135" t="s">
        <v>461</v>
      </c>
      <c r="C50" s="136" t="s">
        <v>462</v>
      </c>
      <c r="D50" s="97">
        <f t="shared" ref="D50:I50" si="11">SUM(D42:D49)</f>
        <v>15555165</v>
      </c>
      <c r="E50" s="97">
        <f t="shared" si="11"/>
        <v>14640165</v>
      </c>
      <c r="F50" s="97">
        <f t="shared" si="11"/>
        <v>0</v>
      </c>
      <c r="G50" s="97">
        <f t="shared" si="11"/>
        <v>0</v>
      </c>
      <c r="H50" s="97">
        <f t="shared" si="11"/>
        <v>0</v>
      </c>
      <c r="I50" s="97">
        <f t="shared" si="11"/>
        <v>0</v>
      </c>
      <c r="J50" s="425">
        <f t="shared" si="9"/>
        <v>15555165</v>
      </c>
      <c r="K50" s="429">
        <f t="shared" si="10"/>
        <v>14640165</v>
      </c>
    </row>
    <row r="51" spans="1:11" s="127" customFormat="1" ht="14.25" customHeight="1" x14ac:dyDescent="0.25">
      <c r="A51" s="143" t="s">
        <v>20</v>
      </c>
      <c r="B51" s="143" t="s">
        <v>327</v>
      </c>
      <c r="C51" s="144" t="s">
        <v>328</v>
      </c>
      <c r="D51" s="119"/>
      <c r="E51" s="119"/>
      <c r="F51" s="119"/>
      <c r="G51" s="119"/>
      <c r="H51" s="119"/>
      <c r="I51" s="120"/>
      <c r="J51" s="423">
        <f t="shared" si="9"/>
        <v>0</v>
      </c>
      <c r="K51" s="119">
        <f t="shared" si="10"/>
        <v>0</v>
      </c>
    </row>
    <row r="52" spans="1:11" s="127" customFormat="1" ht="14.25" customHeight="1" x14ac:dyDescent="0.25">
      <c r="A52" s="143" t="s">
        <v>21</v>
      </c>
      <c r="B52" s="143" t="s">
        <v>329</v>
      </c>
      <c r="C52" s="144" t="s">
        <v>330</v>
      </c>
      <c r="D52" s="119"/>
      <c r="E52" s="119"/>
      <c r="F52" s="119"/>
      <c r="G52" s="119"/>
      <c r="H52" s="119"/>
      <c r="I52" s="120"/>
      <c r="J52" s="423">
        <f t="shared" si="9"/>
        <v>0</v>
      </c>
      <c r="K52" s="119">
        <f t="shared" si="10"/>
        <v>0</v>
      </c>
    </row>
    <row r="53" spans="1:11" s="127" customFormat="1" ht="14.25" customHeight="1" x14ac:dyDescent="0.25">
      <c r="A53" s="143" t="s">
        <v>32</v>
      </c>
      <c r="B53" s="135" t="s">
        <v>463</v>
      </c>
      <c r="C53" s="136" t="s">
        <v>464</v>
      </c>
      <c r="D53" s="97">
        <f t="shared" ref="D53:I53" si="12">SUM(D51:D52)</f>
        <v>0</v>
      </c>
      <c r="E53" s="97">
        <f t="shared" si="12"/>
        <v>0</v>
      </c>
      <c r="F53" s="97">
        <f t="shared" si="12"/>
        <v>0</v>
      </c>
      <c r="G53" s="97">
        <f t="shared" si="12"/>
        <v>0</v>
      </c>
      <c r="H53" s="97">
        <f t="shared" si="12"/>
        <v>0</v>
      </c>
      <c r="I53" s="97">
        <f t="shared" si="12"/>
        <v>0</v>
      </c>
      <c r="J53" s="425">
        <f t="shared" si="9"/>
        <v>0</v>
      </c>
      <c r="K53" s="429">
        <f t="shared" si="10"/>
        <v>0</v>
      </c>
    </row>
    <row r="54" spans="1:11" s="153" customFormat="1" ht="14.25" customHeight="1" x14ac:dyDescent="0.25">
      <c r="A54" s="143" t="s">
        <v>22</v>
      </c>
      <c r="B54" s="135" t="s">
        <v>331</v>
      </c>
      <c r="C54" s="136" t="s">
        <v>332</v>
      </c>
      <c r="D54" s="114">
        <f t="shared" ref="D54:I54" si="13">D50+D53</f>
        <v>15555165</v>
      </c>
      <c r="E54" s="114">
        <f t="shared" si="13"/>
        <v>14640165</v>
      </c>
      <c r="F54" s="114">
        <f t="shared" si="13"/>
        <v>0</v>
      </c>
      <c r="G54" s="114">
        <f t="shared" si="13"/>
        <v>0</v>
      </c>
      <c r="H54" s="114">
        <f t="shared" si="13"/>
        <v>0</v>
      </c>
      <c r="I54" s="114">
        <f t="shared" si="13"/>
        <v>0</v>
      </c>
      <c r="J54" s="425">
        <f t="shared" si="9"/>
        <v>15555165</v>
      </c>
      <c r="K54" s="429">
        <f t="shared" si="10"/>
        <v>14640165</v>
      </c>
    </row>
    <row r="55" spans="1:11" s="146" customFormat="1" ht="14.25" customHeight="1" x14ac:dyDescent="0.25">
      <c r="A55" s="143" t="s">
        <v>24</v>
      </c>
      <c r="B55" s="132" t="s">
        <v>333</v>
      </c>
      <c r="C55" s="145" t="s">
        <v>706</v>
      </c>
      <c r="D55" s="96">
        <f>D42*0.175</f>
        <v>2684598.875</v>
      </c>
      <c r="E55" s="96">
        <f>'aládolgozó számítások'!K44*0.175+'aládolgozó számítások'!L44*0.155+22938</f>
        <v>2434598.5750000002</v>
      </c>
      <c r="F55" s="96"/>
      <c r="G55" s="96"/>
      <c r="H55" s="112"/>
      <c r="I55" s="422"/>
      <c r="J55" s="423">
        <f t="shared" si="9"/>
        <v>2684598.875</v>
      </c>
      <c r="K55" s="119">
        <f t="shared" si="10"/>
        <v>2434598.5750000002</v>
      </c>
    </row>
    <row r="56" spans="1:11" s="146" customFormat="1" ht="14.25" customHeight="1" x14ac:dyDescent="0.25">
      <c r="A56" s="143" t="s">
        <v>40</v>
      </c>
      <c r="B56" s="132" t="s">
        <v>333</v>
      </c>
      <c r="C56" s="145" t="s">
        <v>702</v>
      </c>
      <c r="D56" s="96">
        <f>D46*1.18*0.14</f>
        <v>0</v>
      </c>
      <c r="E56" s="96"/>
      <c r="F56" s="96"/>
      <c r="G56" s="96"/>
      <c r="H56" s="112"/>
      <c r="I56" s="422"/>
      <c r="J56" s="423">
        <f t="shared" si="9"/>
        <v>0</v>
      </c>
      <c r="K56" s="119">
        <f t="shared" si="10"/>
        <v>0</v>
      </c>
    </row>
    <row r="57" spans="1:11" s="146" customFormat="1" ht="14.25" customHeight="1" x14ac:dyDescent="0.25">
      <c r="A57" s="143" t="s">
        <v>41</v>
      </c>
      <c r="B57" s="132" t="s">
        <v>333</v>
      </c>
      <c r="C57" s="145" t="s">
        <v>490</v>
      </c>
      <c r="D57" s="96">
        <f>D46*1.18*0.15</f>
        <v>0</v>
      </c>
      <c r="E57" s="96"/>
      <c r="F57" s="96"/>
      <c r="G57" s="96"/>
      <c r="H57" s="112"/>
      <c r="I57" s="422"/>
      <c r="J57" s="423">
        <f t="shared" si="9"/>
        <v>0</v>
      </c>
      <c r="K57" s="119">
        <f t="shared" si="10"/>
        <v>0</v>
      </c>
    </row>
    <row r="58" spans="1:11" s="153" customFormat="1" ht="14.25" customHeight="1" x14ac:dyDescent="0.25">
      <c r="A58" s="143" t="s">
        <v>42</v>
      </c>
      <c r="B58" s="135" t="s">
        <v>333</v>
      </c>
      <c r="C58" s="136" t="s">
        <v>334</v>
      </c>
      <c r="D58" s="114">
        <f t="shared" ref="D58:I58" si="14">SUM(D55:D57)</f>
        <v>2684598.875</v>
      </c>
      <c r="E58" s="114">
        <f t="shared" si="14"/>
        <v>2434598.5750000002</v>
      </c>
      <c r="F58" s="114">
        <f t="shared" si="14"/>
        <v>0</v>
      </c>
      <c r="G58" s="114">
        <f t="shared" si="14"/>
        <v>0</v>
      </c>
      <c r="H58" s="114">
        <f t="shared" si="14"/>
        <v>0</v>
      </c>
      <c r="I58" s="114">
        <f t="shared" si="14"/>
        <v>0</v>
      </c>
      <c r="J58" s="425">
        <f t="shared" si="9"/>
        <v>2684598.875</v>
      </c>
      <c r="K58" s="429">
        <f t="shared" si="10"/>
        <v>2434598.5750000002</v>
      </c>
    </row>
    <row r="59" spans="1:11" s="127" customFormat="1" ht="14.25" customHeight="1" x14ac:dyDescent="0.25">
      <c r="A59" s="143" t="s">
        <v>43</v>
      </c>
      <c r="B59" s="143" t="s">
        <v>335</v>
      </c>
      <c r="C59" s="144" t="s">
        <v>336</v>
      </c>
      <c r="D59" s="119">
        <v>200000</v>
      </c>
      <c r="E59" s="119">
        <v>50000</v>
      </c>
      <c r="F59" s="119"/>
      <c r="G59" s="119">
        <v>50000</v>
      </c>
      <c r="H59" s="119"/>
      <c r="I59" s="120"/>
      <c r="J59" s="423">
        <f t="shared" si="9"/>
        <v>200000</v>
      </c>
      <c r="K59" s="119">
        <f t="shared" si="10"/>
        <v>100000</v>
      </c>
    </row>
    <row r="60" spans="1:11" s="127" customFormat="1" ht="14.25" customHeight="1" x14ac:dyDescent="0.25">
      <c r="A60" s="143" t="s">
        <v>44</v>
      </c>
      <c r="B60" s="143" t="s">
        <v>337</v>
      </c>
      <c r="C60" s="144" t="s">
        <v>338</v>
      </c>
      <c r="D60" s="119">
        <v>200000</v>
      </c>
      <c r="E60" s="119">
        <v>300000</v>
      </c>
      <c r="F60" s="119">
        <v>400000</v>
      </c>
      <c r="G60" s="119">
        <v>320000</v>
      </c>
      <c r="H60" s="119"/>
      <c r="I60" s="120"/>
      <c r="J60" s="423">
        <f t="shared" si="9"/>
        <v>600000</v>
      </c>
      <c r="K60" s="119">
        <f t="shared" si="10"/>
        <v>620000</v>
      </c>
    </row>
    <row r="61" spans="1:11" s="153" customFormat="1" ht="14.25" customHeight="1" x14ac:dyDescent="0.25">
      <c r="A61" s="143" t="s">
        <v>45</v>
      </c>
      <c r="B61" s="135" t="s">
        <v>341</v>
      </c>
      <c r="C61" s="136" t="s">
        <v>342</v>
      </c>
      <c r="D61" s="114">
        <f t="shared" ref="D61:I61" si="15">SUM(D59:D60)</f>
        <v>400000</v>
      </c>
      <c r="E61" s="114">
        <f t="shared" si="15"/>
        <v>350000</v>
      </c>
      <c r="F61" s="114">
        <f t="shared" si="15"/>
        <v>400000</v>
      </c>
      <c r="G61" s="114">
        <f t="shared" si="15"/>
        <v>370000</v>
      </c>
      <c r="H61" s="114">
        <f t="shared" si="15"/>
        <v>0</v>
      </c>
      <c r="I61" s="114">
        <f t="shared" si="15"/>
        <v>0</v>
      </c>
      <c r="J61" s="425">
        <f t="shared" si="9"/>
        <v>800000</v>
      </c>
      <c r="K61" s="429">
        <f t="shared" si="10"/>
        <v>720000</v>
      </c>
    </row>
    <row r="62" spans="1:11" s="127" customFormat="1" ht="14.25" customHeight="1" x14ac:dyDescent="0.25">
      <c r="A62" s="143" t="s">
        <v>46</v>
      </c>
      <c r="B62" s="143" t="s">
        <v>343</v>
      </c>
      <c r="C62" s="144" t="s">
        <v>344</v>
      </c>
      <c r="D62" s="119"/>
      <c r="E62" s="119"/>
      <c r="F62" s="119"/>
      <c r="G62" s="119"/>
      <c r="H62" s="119"/>
      <c r="I62" s="120"/>
      <c r="J62" s="423">
        <f t="shared" si="9"/>
        <v>0</v>
      </c>
      <c r="K62" s="119">
        <f t="shared" si="10"/>
        <v>0</v>
      </c>
    </row>
    <row r="63" spans="1:11" s="127" customFormat="1" ht="14.25" customHeight="1" x14ac:dyDescent="0.25">
      <c r="A63" s="143" t="s">
        <v>47</v>
      </c>
      <c r="B63" s="143" t="s">
        <v>345</v>
      </c>
      <c r="C63" s="144" t="s">
        <v>346</v>
      </c>
      <c r="D63" s="119"/>
      <c r="E63" s="119"/>
      <c r="F63" s="119">
        <v>50000</v>
      </c>
      <c r="G63" s="119">
        <v>20000</v>
      </c>
      <c r="H63" s="119"/>
      <c r="I63" s="120"/>
      <c r="J63" s="423">
        <f t="shared" si="9"/>
        <v>50000</v>
      </c>
      <c r="K63" s="119">
        <f t="shared" si="10"/>
        <v>20000</v>
      </c>
    </row>
    <row r="64" spans="1:11" s="153" customFormat="1" ht="14.25" customHeight="1" x14ac:dyDescent="0.25">
      <c r="A64" s="143" t="s">
        <v>48</v>
      </c>
      <c r="B64" s="135" t="s">
        <v>347</v>
      </c>
      <c r="C64" s="136" t="s">
        <v>348</v>
      </c>
      <c r="D64" s="114">
        <f t="shared" ref="D64:I64" si="16">SUM(D62:D63)</f>
        <v>0</v>
      </c>
      <c r="E64" s="114">
        <f t="shared" si="16"/>
        <v>0</v>
      </c>
      <c r="F64" s="114">
        <f t="shared" si="16"/>
        <v>50000</v>
      </c>
      <c r="G64" s="114">
        <f t="shared" si="16"/>
        <v>20000</v>
      </c>
      <c r="H64" s="114">
        <f t="shared" si="16"/>
        <v>0</v>
      </c>
      <c r="I64" s="114">
        <f t="shared" si="16"/>
        <v>0</v>
      </c>
      <c r="J64" s="425">
        <f t="shared" si="9"/>
        <v>50000</v>
      </c>
      <c r="K64" s="429">
        <f t="shared" si="10"/>
        <v>20000</v>
      </c>
    </row>
    <row r="65" spans="1:11" s="152" customFormat="1" ht="14.25" customHeight="1" x14ac:dyDescent="0.25">
      <c r="A65" s="143" t="s">
        <v>51</v>
      </c>
      <c r="B65" s="147" t="s">
        <v>349</v>
      </c>
      <c r="C65" s="148" t="s">
        <v>350</v>
      </c>
      <c r="D65" s="121"/>
      <c r="E65" s="121"/>
      <c r="F65" s="465">
        <v>90000</v>
      </c>
      <c r="G65" s="121">
        <v>108000</v>
      </c>
      <c r="H65" s="121"/>
      <c r="I65" s="161"/>
      <c r="J65" s="427">
        <f t="shared" si="9"/>
        <v>90000</v>
      </c>
      <c r="K65" s="121">
        <f t="shared" si="10"/>
        <v>108000</v>
      </c>
    </row>
    <row r="66" spans="1:11" s="152" customFormat="1" ht="14.25" customHeight="1" x14ac:dyDescent="0.25">
      <c r="A66" s="143" t="s">
        <v>53</v>
      </c>
      <c r="B66" s="147" t="s">
        <v>351</v>
      </c>
      <c r="C66" s="148" t="s">
        <v>352</v>
      </c>
      <c r="D66" s="121"/>
      <c r="E66" s="121"/>
      <c r="F66" s="465">
        <v>220000</v>
      </c>
      <c r="G66" s="121">
        <v>557000</v>
      </c>
      <c r="H66" s="121"/>
      <c r="I66" s="161"/>
      <c r="J66" s="427">
        <f t="shared" si="9"/>
        <v>220000</v>
      </c>
      <c r="K66" s="121">
        <f t="shared" si="10"/>
        <v>557000</v>
      </c>
    </row>
    <row r="67" spans="1:11" s="152" customFormat="1" ht="14.25" customHeight="1" x14ac:dyDescent="0.25">
      <c r="A67" s="143" t="s">
        <v>55</v>
      </c>
      <c r="B67" s="147" t="s">
        <v>353</v>
      </c>
      <c r="C67" s="148" t="s">
        <v>354</v>
      </c>
      <c r="D67" s="121"/>
      <c r="E67" s="121"/>
      <c r="F67" s="465">
        <v>30000</v>
      </c>
      <c r="G67" s="121">
        <v>45000</v>
      </c>
      <c r="H67" s="121"/>
      <c r="I67" s="161"/>
      <c r="J67" s="427">
        <f t="shared" si="9"/>
        <v>30000</v>
      </c>
      <c r="K67" s="121">
        <f t="shared" si="10"/>
        <v>45000</v>
      </c>
    </row>
    <row r="68" spans="1:11" s="127" customFormat="1" ht="14.25" customHeight="1" x14ac:dyDescent="0.25">
      <c r="A68" s="143" t="s">
        <v>57</v>
      </c>
      <c r="B68" s="143" t="s">
        <v>355</v>
      </c>
      <c r="C68" s="144" t="s">
        <v>356</v>
      </c>
      <c r="D68" s="119">
        <f t="shared" ref="D68:I68" si="17">SUM(D65:D67)</f>
        <v>0</v>
      </c>
      <c r="E68" s="119">
        <f t="shared" si="17"/>
        <v>0</v>
      </c>
      <c r="F68" s="119">
        <f t="shared" si="17"/>
        <v>340000</v>
      </c>
      <c r="G68" s="119">
        <f t="shared" si="17"/>
        <v>710000</v>
      </c>
      <c r="H68" s="119">
        <f t="shared" si="17"/>
        <v>0</v>
      </c>
      <c r="I68" s="119">
        <f t="shared" si="17"/>
        <v>0</v>
      </c>
      <c r="J68" s="423">
        <f t="shared" si="9"/>
        <v>340000</v>
      </c>
      <c r="K68" s="119">
        <f t="shared" si="10"/>
        <v>710000</v>
      </c>
    </row>
    <row r="69" spans="1:11" s="127" customFormat="1" ht="14.25" customHeight="1" x14ac:dyDescent="0.25">
      <c r="A69" s="143" t="s">
        <v>58</v>
      </c>
      <c r="B69" s="143" t="s">
        <v>357</v>
      </c>
      <c r="C69" s="144" t="s">
        <v>358</v>
      </c>
      <c r="D69" s="119"/>
      <c r="E69" s="119"/>
      <c r="F69" s="119"/>
      <c r="G69" s="119"/>
      <c r="H69" s="119"/>
      <c r="I69" s="120"/>
      <c r="J69" s="423">
        <f t="shared" si="9"/>
        <v>0</v>
      </c>
      <c r="K69" s="119">
        <f t="shared" si="10"/>
        <v>0</v>
      </c>
    </row>
    <row r="70" spans="1:11" s="127" customFormat="1" ht="14.25" customHeight="1" x14ac:dyDescent="0.25">
      <c r="A70" s="143" t="s">
        <v>59</v>
      </c>
      <c r="B70" s="143" t="s">
        <v>359</v>
      </c>
      <c r="C70" s="149" t="s">
        <v>360</v>
      </c>
      <c r="D70" s="119"/>
      <c r="E70" s="119"/>
      <c r="F70" s="119"/>
      <c r="G70" s="119"/>
      <c r="H70" s="119"/>
      <c r="I70" s="120"/>
      <c r="J70" s="423">
        <f t="shared" si="9"/>
        <v>0</v>
      </c>
      <c r="K70" s="119">
        <f t="shared" si="10"/>
        <v>0</v>
      </c>
    </row>
    <row r="71" spans="1:11" s="127" customFormat="1" ht="14.25" customHeight="1" x14ac:dyDescent="0.25">
      <c r="A71" s="143" t="s">
        <v>60</v>
      </c>
      <c r="B71" s="143" t="s">
        <v>361</v>
      </c>
      <c r="C71" s="149" t="s">
        <v>362</v>
      </c>
      <c r="D71" s="119"/>
      <c r="E71" s="119"/>
      <c r="F71" s="119">
        <v>200000</v>
      </c>
      <c r="G71" s="119">
        <v>0</v>
      </c>
      <c r="H71" s="119"/>
      <c r="I71" s="120"/>
      <c r="J71" s="423">
        <f t="shared" si="9"/>
        <v>200000</v>
      </c>
      <c r="K71" s="119">
        <f t="shared" si="10"/>
        <v>0</v>
      </c>
    </row>
    <row r="72" spans="1:11" s="127" customFormat="1" ht="14.25" customHeight="1" x14ac:dyDescent="0.25">
      <c r="A72" s="143" t="s">
        <v>66</v>
      </c>
      <c r="B72" s="143" t="s">
        <v>363</v>
      </c>
      <c r="C72" s="149" t="s">
        <v>364</v>
      </c>
      <c r="D72" s="119"/>
      <c r="E72" s="119"/>
      <c r="F72" s="119"/>
      <c r="G72" s="119"/>
      <c r="H72" s="119"/>
      <c r="I72" s="120"/>
      <c r="J72" s="423">
        <f t="shared" si="9"/>
        <v>0</v>
      </c>
      <c r="K72" s="119">
        <f t="shared" si="10"/>
        <v>0</v>
      </c>
    </row>
    <row r="73" spans="1:11" s="127" customFormat="1" ht="14.25" customHeight="1" x14ac:dyDescent="0.25">
      <c r="A73" s="143" t="s">
        <v>78</v>
      </c>
      <c r="B73" s="143" t="s">
        <v>365</v>
      </c>
      <c r="C73" s="149" t="s">
        <v>366</v>
      </c>
      <c r="D73" s="119">
        <v>100000</v>
      </c>
      <c r="E73" s="119"/>
      <c r="F73" s="119"/>
      <c r="G73" s="119"/>
      <c r="H73" s="119"/>
      <c r="I73" s="120"/>
      <c r="J73" s="423">
        <f t="shared" si="9"/>
        <v>100000</v>
      </c>
      <c r="K73" s="119">
        <f t="shared" si="10"/>
        <v>0</v>
      </c>
    </row>
    <row r="74" spans="1:11" s="127" customFormat="1" ht="14.25" customHeight="1" x14ac:dyDescent="0.25">
      <c r="A74" s="143" t="s">
        <v>79</v>
      </c>
      <c r="B74" s="143" t="s">
        <v>367</v>
      </c>
      <c r="C74" s="149" t="s">
        <v>368</v>
      </c>
      <c r="D74" s="119">
        <v>20000</v>
      </c>
      <c r="E74" s="119">
        <v>60000</v>
      </c>
      <c r="F74" s="119">
        <v>400000</v>
      </c>
      <c r="G74" s="119">
        <v>140000</v>
      </c>
      <c r="H74" s="119"/>
      <c r="I74" s="120"/>
      <c r="J74" s="423">
        <f t="shared" si="9"/>
        <v>420000</v>
      </c>
      <c r="K74" s="119">
        <f t="shared" si="10"/>
        <v>200000</v>
      </c>
    </row>
    <row r="75" spans="1:11" s="153" customFormat="1" ht="14.25" customHeight="1" x14ac:dyDescent="0.25">
      <c r="A75" s="143" t="s">
        <v>80</v>
      </c>
      <c r="B75" s="135" t="s">
        <v>369</v>
      </c>
      <c r="C75" s="138" t="s">
        <v>370</v>
      </c>
      <c r="D75" s="114">
        <f t="shared" ref="D75:I75" si="18">SUM(D68:D74)</f>
        <v>120000</v>
      </c>
      <c r="E75" s="114">
        <f t="shared" si="18"/>
        <v>60000</v>
      </c>
      <c r="F75" s="114">
        <f t="shared" si="18"/>
        <v>940000</v>
      </c>
      <c r="G75" s="114">
        <f t="shared" si="18"/>
        <v>850000</v>
      </c>
      <c r="H75" s="114">
        <f t="shared" si="18"/>
        <v>0</v>
      </c>
      <c r="I75" s="114">
        <f t="shared" si="18"/>
        <v>0</v>
      </c>
      <c r="J75" s="425">
        <f t="shared" si="9"/>
        <v>1060000</v>
      </c>
      <c r="K75" s="429">
        <f t="shared" si="10"/>
        <v>910000</v>
      </c>
    </row>
    <row r="76" spans="1:11" s="153" customFormat="1" ht="14.25" customHeight="1" x14ac:dyDescent="0.25">
      <c r="A76" s="143" t="s">
        <v>81</v>
      </c>
      <c r="B76" s="135" t="s">
        <v>371</v>
      </c>
      <c r="C76" s="138" t="s">
        <v>372</v>
      </c>
      <c r="D76" s="114">
        <v>30000</v>
      </c>
      <c r="E76" s="114">
        <v>10000</v>
      </c>
      <c r="F76" s="114"/>
      <c r="G76" s="114"/>
      <c r="H76" s="114"/>
      <c r="I76" s="118"/>
      <c r="J76" s="425">
        <f t="shared" si="9"/>
        <v>30000</v>
      </c>
      <c r="K76" s="429">
        <f t="shared" si="10"/>
        <v>10000</v>
      </c>
    </row>
    <row r="77" spans="1:11" s="153" customFormat="1" ht="14.25" customHeight="1" x14ac:dyDescent="0.25">
      <c r="A77" s="143" t="s">
        <v>82</v>
      </c>
      <c r="B77" s="135" t="s">
        <v>373</v>
      </c>
      <c r="C77" s="138" t="s">
        <v>374</v>
      </c>
      <c r="D77" s="114"/>
      <c r="E77" s="114"/>
      <c r="F77" s="114"/>
      <c r="G77" s="114"/>
      <c r="H77" s="114"/>
      <c r="I77" s="118"/>
      <c r="J77" s="425">
        <f t="shared" si="9"/>
        <v>0</v>
      </c>
      <c r="K77" s="429">
        <f t="shared" si="10"/>
        <v>0</v>
      </c>
    </row>
    <row r="78" spans="1:11" s="127" customFormat="1" ht="14.25" customHeight="1" x14ac:dyDescent="0.25">
      <c r="A78" s="143" t="s">
        <v>83</v>
      </c>
      <c r="B78" s="143" t="s">
        <v>375</v>
      </c>
      <c r="C78" s="149" t="s">
        <v>376</v>
      </c>
      <c r="D78" s="119">
        <f>(D61+D64+D75)*0.27</f>
        <v>140400</v>
      </c>
      <c r="E78" s="119">
        <f>(E61+E64+E75-140000)*0.27</f>
        <v>72900</v>
      </c>
      <c r="F78" s="119">
        <f>(F61+F64+F75)*0.27-181</f>
        <v>375119</v>
      </c>
      <c r="G78" s="119">
        <f>(G61+G64+G75)*0.27-2181</f>
        <v>332619</v>
      </c>
      <c r="H78" s="119"/>
      <c r="I78" s="120"/>
      <c r="J78" s="423">
        <f t="shared" si="9"/>
        <v>515519</v>
      </c>
      <c r="K78" s="119">
        <f t="shared" si="10"/>
        <v>405519</v>
      </c>
    </row>
    <row r="79" spans="1:11" s="127" customFormat="1" ht="14.25" customHeight="1" x14ac:dyDescent="0.25">
      <c r="A79" s="143" t="s">
        <v>84</v>
      </c>
      <c r="B79" s="143" t="s">
        <v>379</v>
      </c>
      <c r="C79" s="149" t="s">
        <v>380</v>
      </c>
      <c r="D79" s="119"/>
      <c r="E79" s="119"/>
      <c r="F79" s="119"/>
      <c r="G79" s="119"/>
      <c r="H79" s="119"/>
      <c r="I79" s="120"/>
      <c r="J79" s="423">
        <f t="shared" si="9"/>
        <v>0</v>
      </c>
      <c r="K79" s="119">
        <f t="shared" si="10"/>
        <v>0</v>
      </c>
    </row>
    <row r="80" spans="1:11" s="127" customFormat="1" ht="14.25" customHeight="1" x14ac:dyDescent="0.25">
      <c r="A80" s="143" t="s">
        <v>85</v>
      </c>
      <c r="B80" s="143" t="s">
        <v>381</v>
      </c>
      <c r="C80" s="149" t="s">
        <v>382</v>
      </c>
      <c r="D80" s="119"/>
      <c r="E80" s="119"/>
      <c r="F80" s="119"/>
      <c r="G80" s="119"/>
      <c r="H80" s="119"/>
      <c r="I80" s="120"/>
      <c r="J80" s="423">
        <f t="shared" si="9"/>
        <v>0</v>
      </c>
      <c r="K80" s="119">
        <f t="shared" si="10"/>
        <v>0</v>
      </c>
    </row>
    <row r="81" spans="1:11" s="127" customFormat="1" ht="14.25" customHeight="1" x14ac:dyDescent="0.25">
      <c r="A81" s="143" t="s">
        <v>86</v>
      </c>
      <c r="B81" s="143" t="s">
        <v>383</v>
      </c>
      <c r="C81" s="149" t="s">
        <v>384</v>
      </c>
      <c r="D81" s="119"/>
      <c r="E81" s="119">
        <v>25</v>
      </c>
      <c r="F81" s="119">
        <v>50</v>
      </c>
      <c r="G81" s="119">
        <v>25</v>
      </c>
      <c r="H81" s="119"/>
      <c r="I81" s="120"/>
      <c r="J81" s="423">
        <f t="shared" si="9"/>
        <v>50</v>
      </c>
      <c r="K81" s="119">
        <f t="shared" si="10"/>
        <v>50</v>
      </c>
    </row>
    <row r="82" spans="1:11" s="153" customFormat="1" ht="14.25" customHeight="1" x14ac:dyDescent="0.25">
      <c r="A82" s="143" t="s">
        <v>87</v>
      </c>
      <c r="B82" s="135" t="s">
        <v>385</v>
      </c>
      <c r="C82" s="136" t="s">
        <v>386</v>
      </c>
      <c r="D82" s="114">
        <f t="shared" ref="D82:I82" si="19">SUM(D78:D81)</f>
        <v>140400</v>
      </c>
      <c r="E82" s="114">
        <f t="shared" si="19"/>
        <v>72925</v>
      </c>
      <c r="F82" s="114">
        <f t="shared" si="19"/>
        <v>375169</v>
      </c>
      <c r="G82" s="114">
        <f t="shared" si="19"/>
        <v>332644</v>
      </c>
      <c r="H82" s="114">
        <f t="shared" si="19"/>
        <v>0</v>
      </c>
      <c r="I82" s="114">
        <f t="shared" si="19"/>
        <v>0</v>
      </c>
      <c r="J82" s="425">
        <f t="shared" si="9"/>
        <v>515569</v>
      </c>
      <c r="K82" s="429">
        <f t="shared" si="10"/>
        <v>405569</v>
      </c>
    </row>
    <row r="83" spans="1:11" s="153" customFormat="1" ht="14.25" customHeight="1" x14ac:dyDescent="0.25">
      <c r="A83" s="143" t="s">
        <v>88</v>
      </c>
      <c r="B83" s="135" t="s">
        <v>387</v>
      </c>
      <c r="C83" s="136" t="s">
        <v>388</v>
      </c>
      <c r="D83" s="114">
        <f t="shared" ref="D83:I83" si="20">D61+D64+D75+D76+D77+D82</f>
        <v>690400</v>
      </c>
      <c r="E83" s="114">
        <f t="shared" si="20"/>
        <v>492925</v>
      </c>
      <c r="F83" s="114">
        <f t="shared" si="20"/>
        <v>1765169</v>
      </c>
      <c r="G83" s="114">
        <f t="shared" si="20"/>
        <v>1572644</v>
      </c>
      <c r="H83" s="114">
        <f t="shared" si="20"/>
        <v>0</v>
      </c>
      <c r="I83" s="114">
        <f t="shared" si="20"/>
        <v>0</v>
      </c>
      <c r="J83" s="425">
        <f t="shared" si="9"/>
        <v>2455569</v>
      </c>
      <c r="K83" s="429">
        <f t="shared" si="10"/>
        <v>2065569</v>
      </c>
    </row>
    <row r="84" spans="1:11" s="153" customFormat="1" ht="14.25" customHeight="1" x14ac:dyDescent="0.25">
      <c r="A84" s="143" t="s">
        <v>135</v>
      </c>
      <c r="B84" s="135" t="s">
        <v>404</v>
      </c>
      <c r="C84" s="138" t="s">
        <v>121</v>
      </c>
      <c r="D84" s="114">
        <v>0</v>
      </c>
      <c r="E84" s="114">
        <v>0</v>
      </c>
      <c r="F84" s="114">
        <v>0</v>
      </c>
      <c r="G84" s="114">
        <v>0</v>
      </c>
      <c r="H84" s="114">
        <v>0</v>
      </c>
      <c r="I84" s="114">
        <v>0</v>
      </c>
      <c r="J84" s="425">
        <f t="shared" si="9"/>
        <v>0</v>
      </c>
      <c r="K84" s="429">
        <f t="shared" si="10"/>
        <v>0</v>
      </c>
    </row>
    <row r="85" spans="1:11" s="127" customFormat="1" ht="14.25" customHeight="1" x14ac:dyDescent="0.25">
      <c r="A85" s="143" t="s">
        <v>136</v>
      </c>
      <c r="B85" s="143" t="s">
        <v>405</v>
      </c>
      <c r="C85" s="149" t="s">
        <v>406</v>
      </c>
      <c r="D85" s="119"/>
      <c r="E85" s="119"/>
      <c r="F85" s="119"/>
      <c r="G85" s="119"/>
      <c r="H85" s="119"/>
      <c r="I85" s="120"/>
      <c r="J85" s="423">
        <f t="shared" si="9"/>
        <v>0</v>
      </c>
      <c r="K85" s="119">
        <f t="shared" si="10"/>
        <v>0</v>
      </c>
    </row>
    <row r="86" spans="1:11" s="127" customFormat="1" ht="14.25" customHeight="1" x14ac:dyDescent="0.25">
      <c r="A86" s="143" t="s">
        <v>89</v>
      </c>
      <c r="B86" s="143" t="s">
        <v>407</v>
      </c>
      <c r="C86" s="149" t="s">
        <v>408</v>
      </c>
      <c r="D86" s="119"/>
      <c r="E86" s="119"/>
      <c r="F86" s="119"/>
      <c r="G86" s="119"/>
      <c r="H86" s="119"/>
      <c r="I86" s="120"/>
      <c r="J86" s="423">
        <f t="shared" si="9"/>
        <v>0</v>
      </c>
      <c r="K86" s="119">
        <f t="shared" si="10"/>
        <v>0</v>
      </c>
    </row>
    <row r="87" spans="1:11" s="127" customFormat="1" ht="14.25" customHeight="1" x14ac:dyDescent="0.25">
      <c r="A87" s="143" t="s">
        <v>90</v>
      </c>
      <c r="B87" s="143" t="s">
        <v>409</v>
      </c>
      <c r="C87" s="149" t="s">
        <v>410</v>
      </c>
      <c r="D87" s="119"/>
      <c r="E87" s="119"/>
      <c r="F87" s="119"/>
      <c r="G87" s="119"/>
      <c r="H87" s="119"/>
      <c r="I87" s="120"/>
      <c r="J87" s="423">
        <f t="shared" si="9"/>
        <v>0</v>
      </c>
      <c r="K87" s="119">
        <f t="shared" si="10"/>
        <v>0</v>
      </c>
    </row>
    <row r="88" spans="1:11" s="127" customFormat="1" ht="14.25" customHeight="1" x14ac:dyDescent="0.25">
      <c r="A88" s="143" t="s">
        <v>91</v>
      </c>
      <c r="B88" s="143" t="s">
        <v>411</v>
      </c>
      <c r="C88" s="149" t="s">
        <v>412</v>
      </c>
      <c r="D88" s="119">
        <v>350000</v>
      </c>
      <c r="E88" s="119">
        <v>328000</v>
      </c>
      <c r="F88" s="119"/>
      <c r="G88" s="119">
        <v>162000</v>
      </c>
      <c r="H88" s="119"/>
      <c r="I88" s="120"/>
      <c r="J88" s="423">
        <f t="shared" si="9"/>
        <v>350000</v>
      </c>
      <c r="K88" s="119">
        <f t="shared" si="10"/>
        <v>490000</v>
      </c>
    </row>
    <row r="89" spans="1:11" s="127" customFormat="1" ht="14.25" customHeight="1" x14ac:dyDescent="0.25">
      <c r="A89" s="143" t="s">
        <v>92</v>
      </c>
      <c r="B89" s="143" t="s">
        <v>413</v>
      </c>
      <c r="C89" s="149" t="s">
        <v>414</v>
      </c>
      <c r="D89" s="119">
        <f>D88*0.27</f>
        <v>94500</v>
      </c>
      <c r="E89" s="119">
        <v>89000</v>
      </c>
      <c r="F89" s="119">
        <f>F88*0.27</f>
        <v>0</v>
      </c>
      <c r="G89" s="119">
        <v>45500</v>
      </c>
      <c r="H89" s="119"/>
      <c r="I89" s="120"/>
      <c r="J89" s="423">
        <f t="shared" si="9"/>
        <v>94500</v>
      </c>
      <c r="K89" s="119">
        <f t="shared" si="10"/>
        <v>134500</v>
      </c>
    </row>
    <row r="90" spans="1:11" s="153" customFormat="1" ht="14.25" customHeight="1" x14ac:dyDescent="0.25">
      <c r="A90" s="143" t="s">
        <v>137</v>
      </c>
      <c r="B90" s="135" t="s">
        <v>415</v>
      </c>
      <c r="C90" s="138" t="s">
        <v>416</v>
      </c>
      <c r="D90" s="114">
        <f t="shared" ref="D90:I90" si="21">SUM(D85:D89)</f>
        <v>444500</v>
      </c>
      <c r="E90" s="114">
        <f t="shared" si="21"/>
        <v>417000</v>
      </c>
      <c r="F90" s="114">
        <f t="shared" si="21"/>
        <v>0</v>
      </c>
      <c r="G90" s="114">
        <f t="shared" si="21"/>
        <v>207500</v>
      </c>
      <c r="H90" s="114">
        <f t="shared" si="21"/>
        <v>0</v>
      </c>
      <c r="I90" s="114">
        <f t="shared" si="21"/>
        <v>0</v>
      </c>
      <c r="J90" s="425">
        <f t="shared" si="9"/>
        <v>444500</v>
      </c>
      <c r="K90" s="429">
        <f t="shared" si="10"/>
        <v>624500</v>
      </c>
    </row>
    <row r="91" spans="1:11" s="153" customFormat="1" ht="14.25" customHeight="1" x14ac:dyDescent="0.25">
      <c r="A91" s="143" t="s">
        <v>138</v>
      </c>
      <c r="B91" s="135" t="s">
        <v>425</v>
      </c>
      <c r="C91" s="138" t="s">
        <v>426</v>
      </c>
      <c r="D91" s="114"/>
      <c r="E91" s="114"/>
      <c r="F91" s="114"/>
      <c r="G91" s="114"/>
      <c r="H91" s="114"/>
      <c r="I91" s="118"/>
      <c r="J91" s="425">
        <f t="shared" si="9"/>
        <v>0</v>
      </c>
      <c r="K91" s="429">
        <f t="shared" si="10"/>
        <v>0</v>
      </c>
    </row>
    <row r="92" spans="1:11" s="153" customFormat="1" ht="14.25" customHeight="1" x14ac:dyDescent="0.25">
      <c r="A92" s="143" t="s">
        <v>139</v>
      </c>
      <c r="B92" s="135" t="s">
        <v>433</v>
      </c>
      <c r="C92" s="138" t="s">
        <v>70</v>
      </c>
      <c r="D92" s="114"/>
      <c r="E92" s="114"/>
      <c r="F92" s="114"/>
      <c r="G92" s="114"/>
      <c r="H92" s="114"/>
      <c r="I92" s="118"/>
      <c r="J92" s="425">
        <f t="shared" si="9"/>
        <v>0</v>
      </c>
      <c r="K92" s="429">
        <f t="shared" si="10"/>
        <v>0</v>
      </c>
    </row>
    <row r="93" spans="1:11" s="153" customFormat="1" ht="14.25" customHeight="1" x14ac:dyDescent="0.25">
      <c r="A93" s="143" t="s">
        <v>140</v>
      </c>
      <c r="B93" s="135" t="s">
        <v>441</v>
      </c>
      <c r="C93" s="138" t="s">
        <v>442</v>
      </c>
      <c r="D93" s="114"/>
      <c r="E93" s="114"/>
      <c r="F93" s="114"/>
      <c r="G93" s="114"/>
      <c r="H93" s="114"/>
      <c r="I93" s="118"/>
      <c r="J93" s="425">
        <f t="shared" si="9"/>
        <v>0</v>
      </c>
      <c r="K93" s="429">
        <f t="shared" si="10"/>
        <v>0</v>
      </c>
    </row>
    <row r="94" spans="1:11" s="153" customFormat="1" ht="18.75" customHeight="1" x14ac:dyDescent="0.25">
      <c r="A94" s="143" t="s">
        <v>152</v>
      </c>
      <c r="B94" s="135" t="s">
        <v>444</v>
      </c>
      <c r="C94" s="138" t="s">
        <v>445</v>
      </c>
      <c r="D94" s="114">
        <f t="shared" ref="D94:I94" si="22">D54+D58+D83+D84+D90+D91+D92+D93</f>
        <v>19374663.875</v>
      </c>
      <c r="E94" s="114">
        <f t="shared" si="22"/>
        <v>17984688.574999999</v>
      </c>
      <c r="F94" s="114">
        <f t="shared" si="22"/>
        <v>1765169</v>
      </c>
      <c r="G94" s="114">
        <f t="shared" si="22"/>
        <v>1780144</v>
      </c>
      <c r="H94" s="114">
        <f t="shared" si="22"/>
        <v>0</v>
      </c>
      <c r="I94" s="114">
        <f t="shared" si="22"/>
        <v>0</v>
      </c>
      <c r="J94" s="428">
        <f t="shared" si="9"/>
        <v>21139832.875</v>
      </c>
      <c r="K94" s="429">
        <f t="shared" si="10"/>
        <v>19764832.574999999</v>
      </c>
    </row>
    <row r="95" spans="1:11" s="127" customFormat="1" ht="16.5" customHeight="1" x14ac:dyDescent="0.25">
      <c r="A95" s="143" t="s">
        <v>153</v>
      </c>
      <c r="B95" s="143"/>
      <c r="C95" s="150" t="s">
        <v>447</v>
      </c>
      <c r="D95" s="122">
        <v>5</v>
      </c>
      <c r="E95" s="122">
        <v>5</v>
      </c>
      <c r="F95" s="122"/>
      <c r="G95" s="122"/>
      <c r="H95" s="122"/>
      <c r="I95" s="155"/>
      <c r="J95" s="122">
        <f t="shared" si="9"/>
        <v>5</v>
      </c>
      <c r="K95" s="122">
        <f t="shared" si="10"/>
        <v>5</v>
      </c>
    </row>
    <row r="96" spans="1:11" s="127" customFormat="1" ht="13.2" x14ac:dyDescent="0.25">
      <c r="A96" s="126"/>
      <c r="B96" s="126"/>
      <c r="D96" s="123"/>
      <c r="E96" s="123"/>
      <c r="F96" s="123"/>
      <c r="G96" s="123"/>
      <c r="H96" s="123"/>
      <c r="I96" s="123"/>
      <c r="J96" s="124"/>
      <c r="K96" s="124"/>
    </row>
    <row r="97" spans="1:11" s="153" customFormat="1" ht="24.75" customHeight="1" x14ac:dyDescent="0.25">
      <c r="A97" s="107"/>
      <c r="B97" s="151"/>
      <c r="C97" s="106" t="s">
        <v>448</v>
      </c>
      <c r="D97" s="114">
        <f t="shared" ref="D97:I97" si="23">D33</f>
        <v>0</v>
      </c>
      <c r="E97" s="114">
        <f t="shared" si="23"/>
        <v>0</v>
      </c>
      <c r="F97" s="114">
        <f t="shared" si="23"/>
        <v>60983</v>
      </c>
      <c r="G97" s="114">
        <f t="shared" si="23"/>
        <v>60983</v>
      </c>
      <c r="H97" s="114">
        <f t="shared" si="23"/>
        <v>21078850</v>
      </c>
      <c r="I97" s="114">
        <f t="shared" si="23"/>
        <v>19703850.25</v>
      </c>
      <c r="J97" s="429">
        <f t="shared" si="9"/>
        <v>21139833</v>
      </c>
      <c r="K97" s="429">
        <f t="shared" si="10"/>
        <v>19764833.25</v>
      </c>
    </row>
    <row r="98" spans="1:11" s="153" customFormat="1" ht="24.75" customHeight="1" x14ac:dyDescent="0.25">
      <c r="A98" s="107"/>
      <c r="B98" s="151"/>
      <c r="C98" s="106" t="s">
        <v>449</v>
      </c>
      <c r="D98" s="114">
        <f t="shared" ref="D98:I98" si="24">D94</f>
        <v>19374663.875</v>
      </c>
      <c r="E98" s="114">
        <f t="shared" si="24"/>
        <v>17984688.574999999</v>
      </c>
      <c r="F98" s="114">
        <f t="shared" si="24"/>
        <v>1765169</v>
      </c>
      <c r="G98" s="114">
        <f t="shared" si="24"/>
        <v>1780144</v>
      </c>
      <c r="H98" s="114">
        <f t="shared" si="24"/>
        <v>0</v>
      </c>
      <c r="I98" s="114">
        <f t="shared" si="24"/>
        <v>0</v>
      </c>
      <c r="J98" s="425">
        <f t="shared" si="9"/>
        <v>21139832.875</v>
      </c>
      <c r="K98" s="429">
        <f t="shared" si="10"/>
        <v>19764832.574999999</v>
      </c>
    </row>
    <row r="99" spans="1:11" s="127" customFormat="1" ht="24.75" customHeight="1" x14ac:dyDescent="0.25">
      <c r="A99" s="143"/>
      <c r="B99" s="156"/>
      <c r="C99" s="113" t="s">
        <v>459</v>
      </c>
      <c r="D99" s="116">
        <f t="shared" ref="D99:I99" si="25">D97-D98</f>
        <v>-19374663.875</v>
      </c>
      <c r="E99" s="116">
        <f t="shared" si="25"/>
        <v>-17984688.574999999</v>
      </c>
      <c r="F99" s="116">
        <f t="shared" si="25"/>
        <v>-1704186</v>
      </c>
      <c r="G99" s="116">
        <f t="shared" si="25"/>
        <v>-1719161</v>
      </c>
      <c r="H99" s="116">
        <f t="shared" si="25"/>
        <v>21078850</v>
      </c>
      <c r="I99" s="116">
        <f t="shared" si="25"/>
        <v>19703850.25</v>
      </c>
      <c r="J99" s="423">
        <f t="shared" si="9"/>
        <v>0.125</v>
      </c>
      <c r="K99" s="119">
        <f t="shared" si="10"/>
        <v>0.67500000074505806</v>
      </c>
    </row>
    <row r="101" spans="1:11" x14ac:dyDescent="0.25">
      <c r="J101" s="123"/>
      <c r="K101" s="123"/>
    </row>
  </sheetData>
  <mergeCells count="51">
    <mergeCell ref="B38:C38"/>
    <mergeCell ref="B6:C6"/>
    <mergeCell ref="B7:C7"/>
    <mergeCell ref="B8:C8"/>
    <mergeCell ref="A9:A11"/>
    <mergeCell ref="B9:B11"/>
    <mergeCell ref="A39:A41"/>
    <mergeCell ref="B39:B41"/>
    <mergeCell ref="B33:C33"/>
    <mergeCell ref="B36:C36"/>
    <mergeCell ref="B37:C37"/>
    <mergeCell ref="D6:E6"/>
    <mergeCell ref="D7:E7"/>
    <mergeCell ref="D8:E8"/>
    <mergeCell ref="D9:E9"/>
    <mergeCell ref="D10:E10"/>
    <mergeCell ref="F7:G7"/>
    <mergeCell ref="F8:G8"/>
    <mergeCell ref="F9:G9"/>
    <mergeCell ref="F10:G10"/>
    <mergeCell ref="H6:I6"/>
    <mergeCell ref="H7:I7"/>
    <mergeCell ref="H8:I8"/>
    <mergeCell ref="H9:I9"/>
    <mergeCell ref="H10:I10"/>
    <mergeCell ref="J6:K6"/>
    <mergeCell ref="J7:K7"/>
    <mergeCell ref="J8:K8"/>
    <mergeCell ref="J9:K9"/>
    <mergeCell ref="J10:K10"/>
    <mergeCell ref="D36:E36"/>
    <mergeCell ref="F36:G36"/>
    <mergeCell ref="H36:I36"/>
    <mergeCell ref="J36:K36"/>
    <mergeCell ref="F6:G6"/>
    <mergeCell ref="D37:E37"/>
    <mergeCell ref="F37:G37"/>
    <mergeCell ref="H37:I37"/>
    <mergeCell ref="J37:K37"/>
    <mergeCell ref="D38:E38"/>
    <mergeCell ref="F38:G38"/>
    <mergeCell ref="H38:I38"/>
    <mergeCell ref="J38:K38"/>
    <mergeCell ref="D39:E39"/>
    <mergeCell ref="F39:G39"/>
    <mergeCell ref="H39:I39"/>
    <mergeCell ref="J39:K39"/>
    <mergeCell ref="D40:E40"/>
    <mergeCell ref="F40:G40"/>
    <mergeCell ref="H40:I40"/>
    <mergeCell ref="J40:K40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view="pageBreakPreview" zoomScaleNormal="100" zoomScaleSheetLayoutView="100" workbookViewId="0">
      <pane xSplit="3" ySplit="11" topLeftCell="D24" activePane="bottomRight" state="frozen"/>
      <selection pane="topRight" activeCell="D1" sqref="D1"/>
      <selection pane="bottomLeft" activeCell="A11" sqref="A11"/>
      <selection pane="bottomRight" activeCell="I83" sqref="I83"/>
    </sheetView>
  </sheetViews>
  <sheetFormatPr defaultColWidth="9.109375" defaultRowHeight="14.4" x14ac:dyDescent="0.25"/>
  <cols>
    <col min="1" max="1" width="7" style="126" customWidth="1"/>
    <col min="2" max="2" width="10.44140625" style="126" bestFit="1" customWidth="1"/>
    <col min="3" max="3" width="60.5546875" style="127" bestFit="1" customWidth="1"/>
    <col min="4" max="11" width="13.6640625" style="127" customWidth="1"/>
    <col min="12" max="16384" width="9.109375" style="128"/>
  </cols>
  <sheetData>
    <row r="1" spans="1:11" x14ac:dyDescent="0.25">
      <c r="A1" s="214" t="s">
        <v>766</v>
      </c>
      <c r="B1" s="214"/>
      <c r="C1" s="214"/>
    </row>
    <row r="2" spans="1:11" ht="18" x14ac:dyDescent="0.25">
      <c r="A2" s="125" t="s">
        <v>798</v>
      </c>
    </row>
    <row r="3" spans="1:11" ht="18" x14ac:dyDescent="0.25">
      <c r="A3" s="312" t="s">
        <v>579</v>
      </c>
    </row>
    <row r="5" spans="1:11" ht="15.6" x14ac:dyDescent="0.25">
      <c r="A5" s="129" t="s">
        <v>167</v>
      </c>
      <c r="B5" s="129"/>
      <c r="C5" s="129"/>
    </row>
    <row r="6" spans="1:11" s="152" customFormat="1" ht="13.8" x14ac:dyDescent="0.25">
      <c r="A6" s="130"/>
      <c r="B6" s="781"/>
      <c r="C6" s="781"/>
      <c r="D6" s="754" t="s">
        <v>168</v>
      </c>
      <c r="E6" s="755"/>
      <c r="F6" s="754" t="s">
        <v>511</v>
      </c>
      <c r="G6" s="755"/>
      <c r="H6" s="754" t="s">
        <v>595</v>
      </c>
      <c r="I6" s="755"/>
      <c r="J6" s="789" t="s">
        <v>226</v>
      </c>
      <c r="K6" s="790"/>
    </row>
    <row r="7" spans="1:11" s="152" customFormat="1" ht="13.8" x14ac:dyDescent="0.25">
      <c r="A7" s="130"/>
      <c r="B7" s="778" t="s">
        <v>183</v>
      </c>
      <c r="C7" s="779"/>
      <c r="D7" s="760" t="s">
        <v>184</v>
      </c>
      <c r="E7" s="761"/>
      <c r="F7" s="760" t="s">
        <v>512</v>
      </c>
      <c r="G7" s="761"/>
      <c r="H7" s="760" t="s">
        <v>596</v>
      </c>
      <c r="I7" s="761"/>
      <c r="J7" s="752"/>
      <c r="K7" s="753"/>
    </row>
    <row r="8" spans="1:11" s="152" customFormat="1" ht="13.8" x14ac:dyDescent="0.25">
      <c r="A8" s="130"/>
      <c r="B8" s="762"/>
      <c r="C8" s="763"/>
      <c r="D8" s="762" t="s">
        <v>201</v>
      </c>
      <c r="E8" s="763"/>
      <c r="F8" s="762" t="s">
        <v>513</v>
      </c>
      <c r="G8" s="763"/>
      <c r="H8" s="762" t="s">
        <v>597</v>
      </c>
      <c r="I8" s="763"/>
      <c r="J8" s="786" t="s">
        <v>580</v>
      </c>
      <c r="K8" s="787"/>
    </row>
    <row r="9" spans="1:11" ht="15" customHeight="1" x14ac:dyDescent="0.25">
      <c r="A9" s="766" t="s">
        <v>214</v>
      </c>
      <c r="B9" s="775" t="s">
        <v>215</v>
      </c>
      <c r="C9" s="131"/>
      <c r="D9" s="746" t="s">
        <v>216</v>
      </c>
      <c r="E9" s="747"/>
      <c r="F9" s="746" t="s">
        <v>514</v>
      </c>
      <c r="G9" s="747"/>
      <c r="H9" s="746" t="s">
        <v>217</v>
      </c>
      <c r="I9" s="747"/>
      <c r="J9" s="756" t="s">
        <v>581</v>
      </c>
      <c r="K9" s="757"/>
    </row>
    <row r="10" spans="1:11" s="146" customFormat="1" ht="13.2" x14ac:dyDescent="0.25">
      <c r="A10" s="767"/>
      <c r="B10" s="776"/>
      <c r="C10" s="133" t="s">
        <v>1</v>
      </c>
      <c r="D10" s="748" t="s">
        <v>221</v>
      </c>
      <c r="E10" s="749"/>
      <c r="F10" s="748" t="s">
        <v>221</v>
      </c>
      <c r="G10" s="749"/>
      <c r="H10" s="748" t="s">
        <v>221</v>
      </c>
      <c r="I10" s="749"/>
      <c r="J10" s="748" t="s">
        <v>202</v>
      </c>
      <c r="K10" s="749"/>
    </row>
    <row r="11" spans="1:11" s="146" customFormat="1" ht="24" x14ac:dyDescent="0.25">
      <c r="A11" s="768"/>
      <c r="B11" s="777"/>
      <c r="C11" s="134"/>
      <c r="D11" s="389" t="s">
        <v>625</v>
      </c>
      <c r="E11" s="389" t="s">
        <v>626</v>
      </c>
      <c r="F11" s="389" t="s">
        <v>625</v>
      </c>
      <c r="G11" s="389" t="s">
        <v>626</v>
      </c>
      <c r="H11" s="389" t="s">
        <v>625</v>
      </c>
      <c r="I11" s="389" t="s">
        <v>626</v>
      </c>
      <c r="J11" s="389" t="s">
        <v>625</v>
      </c>
      <c r="K11" s="389" t="s">
        <v>626</v>
      </c>
    </row>
    <row r="12" spans="1:11" s="153" customFormat="1" ht="13.2" x14ac:dyDescent="0.25">
      <c r="A12" s="132" t="s">
        <v>0</v>
      </c>
      <c r="B12" s="135" t="s">
        <v>247</v>
      </c>
      <c r="C12" s="136" t="s">
        <v>248</v>
      </c>
      <c r="D12" s="114"/>
      <c r="E12" s="114"/>
      <c r="F12" s="114"/>
      <c r="G12" s="114"/>
      <c r="H12" s="114"/>
      <c r="I12" s="118"/>
      <c r="J12" s="118">
        <f t="shared" ref="J12:K14" si="0">D12+F12+H12</f>
        <v>0</v>
      </c>
      <c r="K12" s="118">
        <f t="shared" si="0"/>
        <v>0</v>
      </c>
    </row>
    <row r="13" spans="1:11" s="153" customFormat="1" ht="13.2" x14ac:dyDescent="0.25">
      <c r="A13" s="132" t="s">
        <v>6</v>
      </c>
      <c r="B13" s="135" t="s">
        <v>257</v>
      </c>
      <c r="C13" s="136" t="s">
        <v>258</v>
      </c>
      <c r="D13" s="114"/>
      <c r="E13" s="114"/>
      <c r="F13" s="114"/>
      <c r="G13" s="114"/>
      <c r="H13" s="114"/>
      <c r="I13" s="118"/>
      <c r="J13" s="118">
        <f t="shared" si="0"/>
        <v>0</v>
      </c>
      <c r="K13" s="118">
        <f t="shared" si="0"/>
        <v>0</v>
      </c>
    </row>
    <row r="14" spans="1:11" s="153" customFormat="1" ht="13.2" x14ac:dyDescent="0.25">
      <c r="A14" s="132" t="s">
        <v>14</v>
      </c>
      <c r="B14" s="132" t="s">
        <v>267</v>
      </c>
      <c r="C14" s="145" t="s">
        <v>268</v>
      </c>
      <c r="D14" s="313"/>
      <c r="E14" s="313"/>
      <c r="F14" s="313"/>
      <c r="G14" s="313"/>
      <c r="H14" s="313"/>
      <c r="I14" s="424"/>
      <c r="J14" s="117">
        <f t="shared" si="0"/>
        <v>0</v>
      </c>
      <c r="K14" s="117">
        <f t="shared" si="0"/>
        <v>0</v>
      </c>
    </row>
    <row r="15" spans="1:11" s="127" customFormat="1" ht="13.2" x14ac:dyDescent="0.25">
      <c r="A15" s="132" t="s">
        <v>17</v>
      </c>
      <c r="B15" s="132" t="s">
        <v>269</v>
      </c>
      <c r="C15" s="137" t="s">
        <v>270</v>
      </c>
      <c r="D15" s="116"/>
      <c r="E15" s="116"/>
      <c r="F15" s="116"/>
      <c r="G15" s="116"/>
      <c r="H15" s="116">
        <f>'aládolgozó számítások'!D92</f>
        <v>9021185</v>
      </c>
      <c r="I15" s="117">
        <f>3447866+'aládolgozó számítások'!D135</f>
        <v>12271085</v>
      </c>
      <c r="J15" s="117">
        <f t="shared" ref="J15:J37" si="1">D15+F15+H15</f>
        <v>9021185</v>
      </c>
      <c r="K15" s="117">
        <f t="shared" ref="K15:K37" si="2">E15+G15+I15</f>
        <v>12271085</v>
      </c>
    </row>
    <row r="16" spans="1:11" s="127" customFormat="1" ht="13.2" x14ac:dyDescent="0.25">
      <c r="A16" s="132" t="s">
        <v>34</v>
      </c>
      <c r="B16" s="132" t="s">
        <v>271</v>
      </c>
      <c r="C16" s="137" t="s">
        <v>272</v>
      </c>
      <c r="D16" s="116"/>
      <c r="E16" s="116">
        <v>707191</v>
      </c>
      <c r="F16" s="116"/>
      <c r="G16" s="116"/>
      <c r="H16" s="116"/>
      <c r="I16" s="117"/>
      <c r="J16" s="117">
        <f t="shared" si="1"/>
        <v>0</v>
      </c>
      <c r="K16" s="117">
        <f t="shared" si="2"/>
        <v>707191</v>
      </c>
    </row>
    <row r="17" spans="1:11" s="127" customFormat="1" ht="13.2" x14ac:dyDescent="0.25">
      <c r="A17" s="132" t="s">
        <v>36</v>
      </c>
      <c r="B17" s="132" t="s">
        <v>273</v>
      </c>
      <c r="C17" s="137" t="s">
        <v>274</v>
      </c>
      <c r="D17" s="116"/>
      <c r="E17" s="116"/>
      <c r="F17" s="116"/>
      <c r="G17" s="116"/>
      <c r="H17" s="116"/>
      <c r="I17" s="117"/>
      <c r="J17" s="117">
        <f t="shared" si="1"/>
        <v>0</v>
      </c>
      <c r="K17" s="117">
        <f t="shared" si="2"/>
        <v>0</v>
      </c>
    </row>
    <row r="18" spans="1:11" s="127" customFormat="1" ht="13.2" x14ac:dyDescent="0.25">
      <c r="A18" s="132" t="s">
        <v>31</v>
      </c>
      <c r="B18" s="132" t="s">
        <v>275</v>
      </c>
      <c r="C18" s="137" t="s">
        <v>276</v>
      </c>
      <c r="D18" s="116">
        <f>'aládolgozó számítások'!D85</f>
        <v>2864522.5</v>
      </c>
      <c r="E18" s="116">
        <f>'aládolgozó számítások'!D127+128730</f>
        <v>2307652.5</v>
      </c>
      <c r="F18" s="116"/>
      <c r="G18" s="116"/>
      <c r="H18" s="116"/>
      <c r="I18" s="117"/>
      <c r="J18" s="117">
        <f t="shared" si="1"/>
        <v>2864522.5</v>
      </c>
      <c r="K18" s="117">
        <f>E18+G18+I18</f>
        <v>2307652.5</v>
      </c>
    </row>
    <row r="19" spans="1:11" s="127" customFormat="1" ht="13.2" x14ac:dyDescent="0.25">
      <c r="A19" s="132" t="s">
        <v>18</v>
      </c>
      <c r="B19" s="132" t="s">
        <v>277</v>
      </c>
      <c r="C19" s="137" t="s">
        <v>278</v>
      </c>
      <c r="D19" s="116">
        <f>D18*0.27</f>
        <v>773421.07500000007</v>
      </c>
      <c r="E19" s="116">
        <f>E18*0.27+76363</f>
        <v>699429.17500000005</v>
      </c>
      <c r="F19" s="116"/>
      <c r="G19" s="116"/>
      <c r="H19" s="116">
        <f>H15*0.27</f>
        <v>2435719.9500000002</v>
      </c>
      <c r="I19" s="116">
        <f>I15*0.27+79225</f>
        <v>3392417.95</v>
      </c>
      <c r="J19" s="117">
        <f t="shared" si="1"/>
        <v>3209141.0250000004</v>
      </c>
      <c r="K19" s="117">
        <f t="shared" si="2"/>
        <v>4091847.125</v>
      </c>
    </row>
    <row r="20" spans="1:11" s="127" customFormat="1" ht="13.2" x14ac:dyDescent="0.25">
      <c r="A20" s="132" t="s">
        <v>19</v>
      </c>
      <c r="B20" s="132" t="s">
        <v>279</v>
      </c>
      <c r="C20" s="137" t="s">
        <v>280</v>
      </c>
      <c r="D20" s="116"/>
      <c r="E20" s="116"/>
      <c r="F20" s="116"/>
      <c r="G20" s="116"/>
      <c r="H20" s="116"/>
      <c r="I20" s="117"/>
      <c r="J20" s="117">
        <f t="shared" si="1"/>
        <v>0</v>
      </c>
      <c r="K20" s="117">
        <f t="shared" si="2"/>
        <v>0</v>
      </c>
    </row>
    <row r="21" spans="1:11" s="127" customFormat="1" ht="13.2" x14ac:dyDescent="0.25">
      <c r="A21" s="132" t="s">
        <v>20</v>
      </c>
      <c r="B21" s="132" t="s">
        <v>281</v>
      </c>
      <c r="C21" s="137" t="s">
        <v>282</v>
      </c>
      <c r="D21" s="116"/>
      <c r="E21" s="116"/>
      <c r="F21" s="116"/>
      <c r="G21" s="116"/>
      <c r="H21" s="116">
        <v>200</v>
      </c>
      <c r="I21" s="117">
        <v>200</v>
      </c>
      <c r="J21" s="117">
        <f t="shared" si="1"/>
        <v>200</v>
      </c>
      <c r="K21" s="117">
        <f t="shared" si="2"/>
        <v>200</v>
      </c>
    </row>
    <row r="22" spans="1:11" s="127" customFormat="1" ht="13.2" x14ac:dyDescent="0.25">
      <c r="A22" s="132" t="s">
        <v>21</v>
      </c>
      <c r="B22" s="132" t="s">
        <v>283</v>
      </c>
      <c r="C22" s="137" t="s">
        <v>284</v>
      </c>
      <c r="D22" s="116"/>
      <c r="E22" s="116"/>
      <c r="F22" s="116"/>
      <c r="G22" s="116"/>
      <c r="H22" s="116"/>
      <c r="I22" s="117"/>
      <c r="J22" s="117">
        <f t="shared" si="1"/>
        <v>0</v>
      </c>
      <c r="K22" s="117">
        <f t="shared" si="2"/>
        <v>0</v>
      </c>
    </row>
    <row r="23" spans="1:11" s="127" customFormat="1" ht="13.2" x14ac:dyDescent="0.25">
      <c r="A23" s="132" t="s">
        <v>32</v>
      </c>
      <c r="B23" s="132" t="s">
        <v>285</v>
      </c>
      <c r="C23" s="137" t="s">
        <v>286</v>
      </c>
      <c r="D23" s="116">
        <v>50</v>
      </c>
      <c r="E23" s="116">
        <v>50</v>
      </c>
      <c r="F23" s="116"/>
      <c r="G23" s="116"/>
      <c r="H23" s="116">
        <v>50</v>
      </c>
      <c r="I23" s="117">
        <v>50</v>
      </c>
      <c r="J23" s="117">
        <f t="shared" si="1"/>
        <v>100</v>
      </c>
      <c r="K23" s="117">
        <f t="shared" si="2"/>
        <v>100</v>
      </c>
    </row>
    <row r="24" spans="1:11" s="153" customFormat="1" ht="13.2" x14ac:dyDescent="0.25">
      <c r="A24" s="132" t="s">
        <v>22</v>
      </c>
      <c r="B24" s="135" t="s">
        <v>287</v>
      </c>
      <c r="C24" s="138" t="s">
        <v>2</v>
      </c>
      <c r="D24" s="114">
        <f t="shared" ref="D24:I24" si="3">SUM(D14:D23)</f>
        <v>3637993.5750000002</v>
      </c>
      <c r="E24" s="114">
        <f t="shared" si="3"/>
        <v>3714322.6749999998</v>
      </c>
      <c r="F24" s="114">
        <f t="shared" si="3"/>
        <v>0</v>
      </c>
      <c r="G24" s="114">
        <f t="shared" si="3"/>
        <v>0</v>
      </c>
      <c r="H24" s="114">
        <f t="shared" si="3"/>
        <v>11457154.949999999</v>
      </c>
      <c r="I24" s="114">
        <f t="shared" si="3"/>
        <v>15663752.949999999</v>
      </c>
      <c r="J24" s="426">
        <f t="shared" si="1"/>
        <v>15095148.524999999</v>
      </c>
      <c r="K24" s="426">
        <f t="shared" si="2"/>
        <v>19378075.625</v>
      </c>
    </row>
    <row r="25" spans="1:11" s="127" customFormat="1" ht="13.2" x14ac:dyDescent="0.25">
      <c r="A25" s="132" t="s">
        <v>24</v>
      </c>
      <c r="B25" s="132" t="s">
        <v>290</v>
      </c>
      <c r="C25" s="137" t="s">
        <v>291</v>
      </c>
      <c r="D25" s="116"/>
      <c r="E25" s="116"/>
      <c r="F25" s="116"/>
      <c r="G25" s="116"/>
      <c r="H25" s="116"/>
      <c r="I25" s="117"/>
      <c r="J25" s="117">
        <f t="shared" si="1"/>
        <v>0</v>
      </c>
      <c r="K25" s="117">
        <f t="shared" si="2"/>
        <v>0</v>
      </c>
    </row>
    <row r="26" spans="1:11" s="153" customFormat="1" ht="13.2" x14ac:dyDescent="0.25">
      <c r="A26" s="132" t="s">
        <v>40</v>
      </c>
      <c r="B26" s="135" t="s">
        <v>292</v>
      </c>
      <c r="C26" s="136" t="s">
        <v>3</v>
      </c>
      <c r="D26" s="114">
        <f t="shared" ref="D26:I26" si="4">SUM(D25:D25)</f>
        <v>0</v>
      </c>
      <c r="E26" s="114">
        <f t="shared" si="4"/>
        <v>0</v>
      </c>
      <c r="F26" s="114">
        <f t="shared" si="4"/>
        <v>0</v>
      </c>
      <c r="G26" s="114">
        <f t="shared" si="4"/>
        <v>0</v>
      </c>
      <c r="H26" s="114">
        <f t="shared" si="4"/>
        <v>0</v>
      </c>
      <c r="I26" s="114">
        <f t="shared" si="4"/>
        <v>0</v>
      </c>
      <c r="J26" s="426">
        <f t="shared" si="1"/>
        <v>0</v>
      </c>
      <c r="K26" s="426">
        <f t="shared" si="2"/>
        <v>0</v>
      </c>
    </row>
    <row r="27" spans="1:11" s="127" customFormat="1" ht="13.2" x14ac:dyDescent="0.25">
      <c r="A27" s="132" t="s">
        <v>41</v>
      </c>
      <c r="B27" s="132" t="s">
        <v>293</v>
      </c>
      <c r="C27" s="137" t="s">
        <v>294</v>
      </c>
      <c r="D27" s="116"/>
      <c r="E27" s="116"/>
      <c r="F27" s="116"/>
      <c r="G27" s="116"/>
      <c r="H27" s="116"/>
      <c r="I27" s="117"/>
      <c r="J27" s="117">
        <f t="shared" si="1"/>
        <v>0</v>
      </c>
      <c r="K27" s="117">
        <f t="shared" si="2"/>
        <v>0</v>
      </c>
    </row>
    <row r="28" spans="1:11" s="127" customFormat="1" ht="13.2" x14ac:dyDescent="0.25">
      <c r="A28" s="132" t="s">
        <v>42</v>
      </c>
      <c r="B28" s="132" t="s">
        <v>295</v>
      </c>
      <c r="C28" s="137" t="s">
        <v>296</v>
      </c>
      <c r="D28" s="116"/>
      <c r="E28" s="116"/>
      <c r="F28" s="116"/>
      <c r="G28" s="116"/>
      <c r="H28" s="116"/>
      <c r="I28" s="117"/>
      <c r="J28" s="117">
        <f t="shared" si="1"/>
        <v>0</v>
      </c>
      <c r="K28" s="117">
        <f t="shared" si="2"/>
        <v>0</v>
      </c>
    </row>
    <row r="29" spans="1:11" s="153" customFormat="1" ht="13.2" x14ac:dyDescent="0.25">
      <c r="A29" s="132" t="s">
        <v>43</v>
      </c>
      <c r="B29" s="135" t="s">
        <v>297</v>
      </c>
      <c r="C29" s="138" t="s">
        <v>298</v>
      </c>
      <c r="D29" s="114">
        <f t="shared" ref="D29:I29" si="5">SUM(D27:D28)</f>
        <v>0</v>
      </c>
      <c r="E29" s="114">
        <f t="shared" si="5"/>
        <v>0</v>
      </c>
      <c r="F29" s="114">
        <f t="shared" si="5"/>
        <v>0</v>
      </c>
      <c r="G29" s="114">
        <f t="shared" si="5"/>
        <v>0</v>
      </c>
      <c r="H29" s="114">
        <f t="shared" si="5"/>
        <v>0</v>
      </c>
      <c r="I29" s="114">
        <f t="shared" si="5"/>
        <v>0</v>
      </c>
      <c r="J29" s="426">
        <f t="shared" si="1"/>
        <v>0</v>
      </c>
      <c r="K29" s="426">
        <f t="shared" si="2"/>
        <v>0</v>
      </c>
    </row>
    <row r="30" spans="1:11" s="127" customFormat="1" ht="13.2" x14ac:dyDescent="0.25">
      <c r="A30" s="132" t="s">
        <v>44</v>
      </c>
      <c r="B30" s="132" t="s">
        <v>299</v>
      </c>
      <c r="C30" s="137" t="s">
        <v>300</v>
      </c>
      <c r="D30" s="116"/>
      <c r="E30" s="116"/>
      <c r="F30" s="116"/>
      <c r="G30" s="116"/>
      <c r="H30" s="116"/>
      <c r="I30" s="117"/>
      <c r="J30" s="117">
        <f t="shared" si="1"/>
        <v>0</v>
      </c>
      <c r="K30" s="117">
        <f t="shared" si="2"/>
        <v>0</v>
      </c>
    </row>
    <row r="31" spans="1:11" s="127" customFormat="1" ht="13.2" x14ac:dyDescent="0.25">
      <c r="A31" s="132" t="s">
        <v>45</v>
      </c>
      <c r="B31" s="132" t="s">
        <v>301</v>
      </c>
      <c r="C31" s="137" t="s">
        <v>302</v>
      </c>
      <c r="D31" s="116"/>
      <c r="E31" s="116"/>
      <c r="F31" s="116"/>
      <c r="G31" s="116"/>
      <c r="H31" s="116"/>
      <c r="I31" s="117"/>
      <c r="J31" s="117">
        <f t="shared" si="1"/>
        <v>0</v>
      </c>
      <c r="K31" s="117">
        <f t="shared" si="2"/>
        <v>0</v>
      </c>
    </row>
    <row r="32" spans="1:11" s="153" customFormat="1" ht="13.2" x14ac:dyDescent="0.25">
      <c r="A32" s="132" t="s">
        <v>46</v>
      </c>
      <c r="B32" s="135" t="s">
        <v>303</v>
      </c>
      <c r="C32" s="138" t="s">
        <v>304</v>
      </c>
      <c r="D32" s="114">
        <f t="shared" ref="D32:I32" si="6">SUM(D30:D31)</f>
        <v>0</v>
      </c>
      <c r="E32" s="114">
        <f t="shared" si="6"/>
        <v>0</v>
      </c>
      <c r="F32" s="114">
        <f t="shared" si="6"/>
        <v>0</v>
      </c>
      <c r="G32" s="114">
        <f t="shared" si="6"/>
        <v>0</v>
      </c>
      <c r="H32" s="114">
        <f t="shared" si="6"/>
        <v>0</v>
      </c>
      <c r="I32" s="114">
        <f t="shared" si="6"/>
        <v>0</v>
      </c>
      <c r="J32" s="426">
        <f t="shared" si="1"/>
        <v>0</v>
      </c>
      <c r="K32" s="426">
        <f t="shared" si="2"/>
        <v>0</v>
      </c>
    </row>
    <row r="33" spans="1:11" s="146" customFormat="1" ht="13.2" x14ac:dyDescent="0.25">
      <c r="A33" s="132" t="s">
        <v>47</v>
      </c>
      <c r="B33" s="132" t="s">
        <v>305</v>
      </c>
      <c r="C33" s="137" t="s">
        <v>306</v>
      </c>
      <c r="D33" s="116"/>
      <c r="E33" s="116"/>
      <c r="F33" s="116"/>
      <c r="G33" s="116"/>
      <c r="H33" s="116"/>
      <c r="I33" s="117"/>
      <c r="J33" s="117">
        <f t="shared" si="1"/>
        <v>0</v>
      </c>
      <c r="K33" s="117">
        <f t="shared" si="2"/>
        <v>0</v>
      </c>
    </row>
    <row r="34" spans="1:11" s="146" customFormat="1" ht="13.2" x14ac:dyDescent="0.25">
      <c r="A34" s="132" t="s">
        <v>48</v>
      </c>
      <c r="B34" s="132" t="s">
        <v>307</v>
      </c>
      <c r="C34" s="137" t="s">
        <v>308</v>
      </c>
      <c r="D34" s="116"/>
      <c r="E34" s="116"/>
      <c r="F34" s="116"/>
      <c r="G34" s="116"/>
      <c r="H34" s="116">
        <v>120873</v>
      </c>
      <c r="I34" s="117">
        <v>120873</v>
      </c>
      <c r="J34" s="117">
        <f t="shared" si="1"/>
        <v>120873</v>
      </c>
      <c r="K34" s="117">
        <f t="shared" si="2"/>
        <v>120873</v>
      </c>
    </row>
    <row r="35" spans="1:11" s="146" customFormat="1" ht="13.2" x14ac:dyDescent="0.25">
      <c r="A35" s="132" t="s">
        <v>51</v>
      </c>
      <c r="B35" s="132" t="s">
        <v>457</v>
      </c>
      <c r="C35" s="137" t="s">
        <v>458</v>
      </c>
      <c r="D35" s="96">
        <f>9768000+9127999-50000+1278525</f>
        <v>20124524</v>
      </c>
      <c r="E35" s="96">
        <f>8316000+10562050+642400</f>
        <v>19520450</v>
      </c>
      <c r="F35" s="116">
        <v>303260</v>
      </c>
      <c r="G35" s="116">
        <f>289560+23470</f>
        <v>313030</v>
      </c>
      <c r="H35" s="116">
        <v>401568</v>
      </c>
      <c r="I35" s="117">
        <v>1254975</v>
      </c>
      <c r="J35" s="117">
        <f>D35+F35+H35</f>
        <v>20829352</v>
      </c>
      <c r="K35" s="117">
        <f t="shared" si="2"/>
        <v>21088455</v>
      </c>
    </row>
    <row r="36" spans="1:11" s="153" customFormat="1" ht="13.2" x14ac:dyDescent="0.25">
      <c r="A36" s="132" t="s">
        <v>53</v>
      </c>
      <c r="B36" s="135" t="s">
        <v>309</v>
      </c>
      <c r="C36" s="138" t="s">
        <v>310</v>
      </c>
      <c r="D36" s="114">
        <f t="shared" ref="D36:I36" si="7">SUM(D33:D35)</f>
        <v>20124524</v>
      </c>
      <c r="E36" s="114">
        <f t="shared" si="7"/>
        <v>19520450</v>
      </c>
      <c r="F36" s="114">
        <f t="shared" si="7"/>
        <v>303260</v>
      </c>
      <c r="G36" s="114">
        <f t="shared" si="7"/>
        <v>313030</v>
      </c>
      <c r="H36" s="114">
        <f t="shared" si="7"/>
        <v>522441</v>
      </c>
      <c r="I36" s="114">
        <f t="shared" si="7"/>
        <v>1375848</v>
      </c>
      <c r="J36" s="426">
        <f t="shared" si="1"/>
        <v>20950225</v>
      </c>
      <c r="K36" s="426">
        <f t="shared" si="2"/>
        <v>21209328</v>
      </c>
    </row>
    <row r="37" spans="1:11" s="153" customFormat="1" ht="24.75" customHeight="1" x14ac:dyDescent="0.25">
      <c r="A37" s="107"/>
      <c r="B37" s="784" t="s">
        <v>311</v>
      </c>
      <c r="C37" s="785"/>
      <c r="D37" s="114">
        <f t="shared" ref="D37:I37" si="8">D12+D13+D24+D26+D29+D32+D36</f>
        <v>23762517.574999999</v>
      </c>
      <c r="E37" s="114">
        <f t="shared" si="8"/>
        <v>23234772.675000001</v>
      </c>
      <c r="F37" s="114">
        <f t="shared" si="8"/>
        <v>303260</v>
      </c>
      <c r="G37" s="114">
        <f t="shared" si="8"/>
        <v>313030</v>
      </c>
      <c r="H37" s="114">
        <f t="shared" si="8"/>
        <v>11979595.949999999</v>
      </c>
      <c r="I37" s="114">
        <f t="shared" si="8"/>
        <v>17039600.949999999</v>
      </c>
      <c r="J37" s="426">
        <f t="shared" si="1"/>
        <v>36045373.524999999</v>
      </c>
      <c r="K37" s="426">
        <f t="shared" si="2"/>
        <v>40587403.625</v>
      </c>
    </row>
    <row r="38" spans="1:11" s="127" customFormat="1" ht="13.2" x14ac:dyDescent="0.25">
      <c r="A38" s="126"/>
      <c r="B38" s="139"/>
      <c r="C38" s="140"/>
      <c r="D38" s="140"/>
      <c r="E38" s="140"/>
      <c r="F38" s="140"/>
      <c r="G38" s="140"/>
      <c r="H38" s="140"/>
      <c r="I38" s="140"/>
      <c r="J38" s="140"/>
      <c r="K38" s="140"/>
    </row>
    <row r="39" spans="1:11" s="127" customFormat="1" ht="13.5" customHeight="1" x14ac:dyDescent="0.25">
      <c r="A39" s="129" t="s">
        <v>312</v>
      </c>
      <c r="B39" s="129"/>
      <c r="C39" s="129"/>
      <c r="D39" s="140"/>
      <c r="E39" s="140"/>
      <c r="F39" s="140"/>
      <c r="G39" s="140"/>
      <c r="H39" s="140"/>
      <c r="I39" s="140"/>
      <c r="J39" s="140"/>
      <c r="K39" s="140"/>
    </row>
    <row r="40" spans="1:11" s="154" customFormat="1" ht="14.25" customHeight="1" x14ac:dyDescent="0.25">
      <c r="A40" s="141"/>
      <c r="B40" s="780"/>
      <c r="C40" s="780"/>
      <c r="D40" s="754" t="s">
        <v>168</v>
      </c>
      <c r="E40" s="755"/>
      <c r="F40" s="754" t="s">
        <v>511</v>
      </c>
      <c r="G40" s="755"/>
      <c r="H40" s="754" t="s">
        <v>595</v>
      </c>
      <c r="I40" s="755"/>
      <c r="J40" s="789" t="s">
        <v>226</v>
      </c>
      <c r="K40" s="790"/>
    </row>
    <row r="41" spans="1:11" s="152" customFormat="1" ht="14.25" customHeight="1" x14ac:dyDescent="0.25">
      <c r="A41" s="130"/>
      <c r="B41" s="782" t="s">
        <v>183</v>
      </c>
      <c r="C41" s="783"/>
      <c r="D41" s="760" t="s">
        <v>184</v>
      </c>
      <c r="E41" s="761"/>
      <c r="F41" s="760" t="s">
        <v>512</v>
      </c>
      <c r="G41" s="761"/>
      <c r="H41" s="760" t="s">
        <v>596</v>
      </c>
      <c r="I41" s="761"/>
      <c r="J41" s="752"/>
      <c r="K41" s="753"/>
    </row>
    <row r="42" spans="1:11" s="152" customFormat="1" ht="14.25" customHeight="1" x14ac:dyDescent="0.25">
      <c r="A42" s="130"/>
      <c r="B42" s="742"/>
      <c r="C42" s="743"/>
      <c r="D42" s="762" t="s">
        <v>201</v>
      </c>
      <c r="E42" s="763"/>
      <c r="F42" s="762" t="s">
        <v>513</v>
      </c>
      <c r="G42" s="763"/>
      <c r="H42" s="762" t="s">
        <v>597</v>
      </c>
      <c r="I42" s="763"/>
      <c r="J42" s="786" t="s">
        <v>580</v>
      </c>
      <c r="K42" s="787"/>
    </row>
    <row r="43" spans="1:11" s="127" customFormat="1" ht="15" customHeight="1" x14ac:dyDescent="0.25">
      <c r="A43" s="766" t="s">
        <v>214</v>
      </c>
      <c r="B43" s="788" t="s">
        <v>215</v>
      </c>
      <c r="C43" s="142"/>
      <c r="D43" s="746" t="s">
        <v>216</v>
      </c>
      <c r="E43" s="747"/>
      <c r="F43" s="746" t="s">
        <v>514</v>
      </c>
      <c r="G43" s="747"/>
      <c r="H43" s="746" t="s">
        <v>217</v>
      </c>
      <c r="I43" s="747"/>
      <c r="J43" s="756" t="s">
        <v>581</v>
      </c>
      <c r="K43" s="757"/>
    </row>
    <row r="44" spans="1:11" s="146" customFormat="1" ht="15.75" customHeight="1" x14ac:dyDescent="0.25">
      <c r="A44" s="767"/>
      <c r="B44" s="788"/>
      <c r="C44" s="133" t="s">
        <v>1</v>
      </c>
      <c r="D44" s="748" t="s">
        <v>221</v>
      </c>
      <c r="E44" s="749"/>
      <c r="F44" s="748" t="s">
        <v>221</v>
      </c>
      <c r="G44" s="749"/>
      <c r="H44" s="748" t="s">
        <v>221</v>
      </c>
      <c r="I44" s="749"/>
      <c r="J44" s="748" t="s">
        <v>202</v>
      </c>
      <c r="K44" s="749"/>
    </row>
    <row r="45" spans="1:11" s="146" customFormat="1" ht="24" x14ac:dyDescent="0.25">
      <c r="A45" s="768"/>
      <c r="B45" s="788"/>
      <c r="C45" s="134"/>
      <c r="D45" s="389" t="s">
        <v>625</v>
      </c>
      <c r="E45" s="389" t="s">
        <v>626</v>
      </c>
      <c r="F45" s="389" t="s">
        <v>625</v>
      </c>
      <c r="G45" s="389" t="s">
        <v>626</v>
      </c>
      <c r="H45" s="389" t="s">
        <v>625</v>
      </c>
      <c r="I45" s="389" t="s">
        <v>626</v>
      </c>
      <c r="J45" s="389" t="s">
        <v>625</v>
      </c>
      <c r="K45" s="389" t="s">
        <v>626</v>
      </c>
    </row>
    <row r="46" spans="1:11" s="127" customFormat="1" ht="14.25" customHeight="1" x14ac:dyDescent="0.25">
      <c r="A46" s="143" t="s">
        <v>0</v>
      </c>
      <c r="B46" s="143" t="s">
        <v>313</v>
      </c>
      <c r="C46" s="144" t="s">
        <v>314</v>
      </c>
      <c r="D46" s="119">
        <f>'aládolgozó számítások'!I5</f>
        <v>10720200</v>
      </c>
      <c r="E46" s="119">
        <f>K46*0.53</f>
        <v>5628706</v>
      </c>
      <c r="F46" s="119"/>
      <c r="G46" s="119"/>
      <c r="H46" s="119"/>
      <c r="I46" s="120">
        <f>K46*0.47</f>
        <v>4991494</v>
      </c>
      <c r="J46" s="120">
        <f>D46+F46+H46</f>
        <v>10720200</v>
      </c>
      <c r="K46" s="119">
        <f>'aládolgozó számítások'!I18-100000</f>
        <v>10620200</v>
      </c>
    </row>
    <row r="47" spans="1:11" s="127" customFormat="1" ht="14.25" customHeight="1" x14ac:dyDescent="0.25">
      <c r="A47" s="143" t="s">
        <v>6</v>
      </c>
      <c r="B47" s="143" t="s">
        <v>603</v>
      </c>
      <c r="C47" s="144" t="s">
        <v>604</v>
      </c>
      <c r="D47" s="119">
        <f>'aládolgozó számítások'!I6</f>
        <v>0</v>
      </c>
      <c r="E47" s="119"/>
      <c r="F47" s="119"/>
      <c r="G47" s="119"/>
      <c r="H47" s="119"/>
      <c r="I47" s="120"/>
      <c r="J47" s="120">
        <f t="shared" ref="J47:J65" si="9">D47+F47+H47</f>
        <v>0</v>
      </c>
      <c r="K47" s="120">
        <f t="shared" ref="K47:K62" si="10">E47+G47+I47</f>
        <v>0</v>
      </c>
    </row>
    <row r="48" spans="1:11" s="127" customFormat="1" ht="14.25" customHeight="1" x14ac:dyDescent="0.25">
      <c r="A48" s="143" t="s">
        <v>14</v>
      </c>
      <c r="B48" s="143" t="s">
        <v>315</v>
      </c>
      <c r="C48" s="144" t="s">
        <v>316</v>
      </c>
      <c r="D48" s="119">
        <f>'aládolgozó számítások'!I7</f>
        <v>0</v>
      </c>
      <c r="E48" s="119"/>
      <c r="F48" s="119"/>
      <c r="G48" s="119"/>
      <c r="H48" s="119"/>
      <c r="I48" s="120"/>
      <c r="J48" s="120">
        <f t="shared" si="9"/>
        <v>0</v>
      </c>
      <c r="K48" s="120">
        <f t="shared" si="10"/>
        <v>0</v>
      </c>
    </row>
    <row r="49" spans="1:11" s="127" customFormat="1" ht="14.25" customHeight="1" x14ac:dyDescent="0.25">
      <c r="A49" s="143" t="s">
        <v>17</v>
      </c>
      <c r="B49" s="143" t="s">
        <v>317</v>
      </c>
      <c r="C49" s="144" t="s">
        <v>318</v>
      </c>
      <c r="D49" s="119">
        <f>'aládolgozó számítások'!I8</f>
        <v>0</v>
      </c>
      <c r="E49" s="119"/>
      <c r="F49" s="119"/>
      <c r="G49" s="119"/>
      <c r="H49" s="119"/>
      <c r="I49" s="120"/>
      <c r="J49" s="120">
        <f t="shared" si="9"/>
        <v>0</v>
      </c>
      <c r="K49" s="120">
        <f t="shared" si="10"/>
        <v>0</v>
      </c>
    </row>
    <row r="50" spans="1:11" s="127" customFormat="1" ht="14.25" customHeight="1" x14ac:dyDescent="0.25">
      <c r="A50" s="143" t="s">
        <v>34</v>
      </c>
      <c r="B50" s="143" t="s">
        <v>319</v>
      </c>
      <c r="C50" s="144" t="s">
        <v>585</v>
      </c>
      <c r="D50" s="119">
        <f>'aládolgozó számítások'!I9</f>
        <v>0</v>
      </c>
      <c r="E50" s="119"/>
      <c r="F50" s="119"/>
      <c r="G50" s="119"/>
      <c r="H50" s="119"/>
      <c r="I50" s="120"/>
      <c r="J50" s="120">
        <f t="shared" si="9"/>
        <v>0</v>
      </c>
      <c r="K50" s="120">
        <f t="shared" si="10"/>
        <v>0</v>
      </c>
    </row>
    <row r="51" spans="1:11" s="127" customFormat="1" ht="14.25" customHeight="1" x14ac:dyDescent="0.25">
      <c r="A51" s="143" t="s">
        <v>36</v>
      </c>
      <c r="B51" s="143" t="s">
        <v>320</v>
      </c>
      <c r="C51" s="144" t="s">
        <v>321</v>
      </c>
      <c r="D51" s="119">
        <f>'aládolgozó számítások'!I10</f>
        <v>0</v>
      </c>
      <c r="E51" s="119"/>
      <c r="F51" s="119"/>
      <c r="G51" s="119"/>
      <c r="H51" s="119"/>
      <c r="I51" s="120"/>
      <c r="J51" s="120">
        <f t="shared" si="9"/>
        <v>0</v>
      </c>
      <c r="K51" s="120">
        <f t="shared" si="10"/>
        <v>0</v>
      </c>
    </row>
    <row r="52" spans="1:11" s="127" customFormat="1" ht="14.25" customHeight="1" x14ac:dyDescent="0.25">
      <c r="A52" s="143" t="s">
        <v>31</v>
      </c>
      <c r="B52" s="143" t="s">
        <v>322</v>
      </c>
      <c r="C52" s="144" t="s">
        <v>323</v>
      </c>
      <c r="D52" s="119">
        <f>'aládolgozó számítások'!I11</f>
        <v>0</v>
      </c>
      <c r="E52" s="119"/>
      <c r="F52" s="119"/>
      <c r="G52" s="119"/>
      <c r="H52" s="119"/>
      <c r="I52" s="120"/>
      <c r="J52" s="120">
        <f t="shared" si="9"/>
        <v>0</v>
      </c>
      <c r="K52" s="120">
        <f t="shared" si="10"/>
        <v>0</v>
      </c>
    </row>
    <row r="53" spans="1:11" s="127" customFormat="1" ht="14.25" customHeight="1" x14ac:dyDescent="0.25">
      <c r="A53" s="143" t="s">
        <v>18</v>
      </c>
      <c r="B53" s="143" t="s">
        <v>324</v>
      </c>
      <c r="C53" s="144" t="s">
        <v>703</v>
      </c>
      <c r="D53" s="119">
        <f>'aládolgozó számítások'!I12</f>
        <v>0</v>
      </c>
      <c r="E53" s="119">
        <f>K53*0.53</f>
        <v>132500</v>
      </c>
      <c r="F53" s="119"/>
      <c r="G53" s="119"/>
      <c r="H53" s="119"/>
      <c r="I53" s="120">
        <f>K53*0.47</f>
        <v>117500</v>
      </c>
      <c r="J53" s="120">
        <f t="shared" si="9"/>
        <v>0</v>
      </c>
      <c r="K53" s="120">
        <v>250000</v>
      </c>
    </row>
    <row r="54" spans="1:11" s="127" customFormat="1" ht="14.25" customHeight="1" x14ac:dyDescent="0.25">
      <c r="A54" s="143" t="s">
        <v>19</v>
      </c>
      <c r="B54" s="135" t="s">
        <v>461</v>
      </c>
      <c r="C54" s="136" t="s">
        <v>462</v>
      </c>
      <c r="D54" s="97">
        <f t="shared" ref="D54:I54" si="11">SUM(D46:D53)</f>
        <v>10720200</v>
      </c>
      <c r="E54" s="97">
        <f t="shared" si="11"/>
        <v>5761206</v>
      </c>
      <c r="F54" s="97">
        <f t="shared" si="11"/>
        <v>0</v>
      </c>
      <c r="G54" s="97">
        <f t="shared" si="11"/>
        <v>0</v>
      </c>
      <c r="H54" s="97">
        <f t="shared" si="11"/>
        <v>0</v>
      </c>
      <c r="I54" s="97">
        <f t="shared" si="11"/>
        <v>5108994</v>
      </c>
      <c r="J54" s="426">
        <f t="shared" si="9"/>
        <v>10720200</v>
      </c>
      <c r="K54" s="426">
        <f t="shared" si="10"/>
        <v>10870200</v>
      </c>
    </row>
    <row r="55" spans="1:11" s="127" customFormat="1" ht="14.25" customHeight="1" x14ac:dyDescent="0.25">
      <c r="A55" s="143" t="s">
        <v>20</v>
      </c>
      <c r="B55" s="143" t="s">
        <v>327</v>
      </c>
      <c r="C55" s="144" t="s">
        <v>328</v>
      </c>
      <c r="D55" s="119"/>
      <c r="E55" s="119"/>
      <c r="F55" s="119"/>
      <c r="G55" s="119"/>
      <c r="H55" s="119"/>
      <c r="I55" s="120"/>
      <c r="J55" s="120">
        <f t="shared" si="9"/>
        <v>0</v>
      </c>
      <c r="K55" s="120">
        <f t="shared" si="10"/>
        <v>0</v>
      </c>
    </row>
    <row r="56" spans="1:11" s="127" customFormat="1" ht="14.25" customHeight="1" x14ac:dyDescent="0.25">
      <c r="A56" s="143" t="s">
        <v>21</v>
      </c>
      <c r="B56" s="143" t="s">
        <v>329</v>
      </c>
      <c r="C56" s="144" t="s">
        <v>330</v>
      </c>
      <c r="D56" s="119"/>
      <c r="E56" s="119"/>
      <c r="F56" s="119"/>
      <c r="G56" s="119"/>
      <c r="H56" s="119"/>
      <c r="I56" s="120"/>
      <c r="J56" s="120">
        <f>D56+F56+H56</f>
        <v>0</v>
      </c>
      <c r="K56" s="120">
        <f t="shared" si="10"/>
        <v>0</v>
      </c>
    </row>
    <row r="57" spans="1:11" s="127" customFormat="1" ht="14.25" customHeight="1" x14ac:dyDescent="0.25">
      <c r="A57" s="143" t="s">
        <v>32</v>
      </c>
      <c r="B57" s="135" t="s">
        <v>463</v>
      </c>
      <c r="C57" s="136" t="s">
        <v>464</v>
      </c>
      <c r="D57" s="97">
        <f t="shared" ref="D57:I57" si="12">SUM(D55:D56)</f>
        <v>0</v>
      </c>
      <c r="E57" s="97">
        <f t="shared" si="12"/>
        <v>0</v>
      </c>
      <c r="F57" s="97">
        <f t="shared" si="12"/>
        <v>0</v>
      </c>
      <c r="G57" s="97">
        <f t="shared" si="12"/>
        <v>0</v>
      </c>
      <c r="H57" s="97">
        <f t="shared" si="12"/>
        <v>0</v>
      </c>
      <c r="I57" s="97">
        <f t="shared" si="12"/>
        <v>0</v>
      </c>
      <c r="J57" s="426">
        <f t="shared" si="9"/>
        <v>0</v>
      </c>
      <c r="K57" s="426">
        <f t="shared" si="10"/>
        <v>0</v>
      </c>
    </row>
    <row r="58" spans="1:11" s="153" customFormat="1" ht="14.25" customHeight="1" x14ac:dyDescent="0.25">
      <c r="A58" s="143" t="s">
        <v>22</v>
      </c>
      <c r="B58" s="135" t="s">
        <v>331</v>
      </c>
      <c r="C58" s="136" t="s">
        <v>332</v>
      </c>
      <c r="D58" s="114">
        <f t="shared" ref="D58:I58" si="13">D54+D57</f>
        <v>10720200</v>
      </c>
      <c r="E58" s="114">
        <f t="shared" si="13"/>
        <v>5761206</v>
      </c>
      <c r="F58" s="114">
        <f t="shared" si="13"/>
        <v>0</v>
      </c>
      <c r="G58" s="114">
        <f t="shared" si="13"/>
        <v>0</v>
      </c>
      <c r="H58" s="114">
        <f t="shared" si="13"/>
        <v>0</v>
      </c>
      <c r="I58" s="114">
        <f t="shared" si="13"/>
        <v>5108994</v>
      </c>
      <c r="J58" s="426">
        <f t="shared" si="9"/>
        <v>10720200</v>
      </c>
      <c r="K58" s="426">
        <f t="shared" si="10"/>
        <v>10870200</v>
      </c>
    </row>
    <row r="59" spans="1:11" s="146" customFormat="1" ht="14.25" customHeight="1" x14ac:dyDescent="0.25">
      <c r="A59" s="143" t="s">
        <v>24</v>
      </c>
      <c r="B59" s="132" t="s">
        <v>333</v>
      </c>
      <c r="C59" s="145" t="s">
        <v>799</v>
      </c>
      <c r="D59" s="96">
        <f>D46*0.175</f>
        <v>1876034.9999999998</v>
      </c>
      <c r="E59" s="96">
        <f>K59*0.53</f>
        <v>978398.55</v>
      </c>
      <c r="F59" s="96"/>
      <c r="G59" s="96"/>
      <c r="H59" s="96">
        <f>H46*0.175</f>
        <v>0</v>
      </c>
      <c r="I59" s="98">
        <f>K59*0.47</f>
        <v>867636.45</v>
      </c>
      <c r="J59" s="120">
        <f>D59+F59+H59</f>
        <v>1876034.9999999998</v>
      </c>
      <c r="K59" s="96">
        <f>'aládolgozó számítások'!J5*0.175+'aládolgozó számítások'!K5*0.155+53560</f>
        <v>1846035</v>
      </c>
    </row>
    <row r="60" spans="1:11" s="146" customFormat="1" ht="14.25" customHeight="1" x14ac:dyDescent="0.25">
      <c r="A60" s="143" t="s">
        <v>40</v>
      </c>
      <c r="B60" s="132" t="s">
        <v>333</v>
      </c>
      <c r="C60" s="145" t="s">
        <v>702</v>
      </c>
      <c r="D60" s="96"/>
      <c r="E60" s="96">
        <f>K60*0.53</f>
        <v>15900</v>
      </c>
      <c r="F60" s="96"/>
      <c r="G60" s="96"/>
      <c r="H60" s="96"/>
      <c r="I60" s="98">
        <f>K60*0.47</f>
        <v>14100</v>
      </c>
      <c r="J60" s="120">
        <f t="shared" si="9"/>
        <v>0</v>
      </c>
      <c r="K60" s="120">
        <v>30000</v>
      </c>
    </row>
    <row r="61" spans="1:11" s="146" customFormat="1" ht="14.25" customHeight="1" x14ac:dyDescent="0.25">
      <c r="A61" s="143" t="s">
        <v>41</v>
      </c>
      <c r="B61" s="132" t="s">
        <v>333</v>
      </c>
      <c r="C61" s="145" t="s">
        <v>490</v>
      </c>
      <c r="D61" s="96">
        <f>D50*0.15</f>
        <v>0</v>
      </c>
      <c r="E61" s="96"/>
      <c r="F61" s="96"/>
      <c r="G61" s="96"/>
      <c r="H61" s="96">
        <f>H50*0.15</f>
        <v>0</v>
      </c>
      <c r="I61" s="98"/>
      <c r="J61" s="120">
        <f t="shared" si="9"/>
        <v>0</v>
      </c>
      <c r="K61" s="120">
        <f t="shared" si="10"/>
        <v>0</v>
      </c>
    </row>
    <row r="62" spans="1:11" s="153" customFormat="1" ht="14.25" customHeight="1" x14ac:dyDescent="0.25">
      <c r="A62" s="143" t="s">
        <v>42</v>
      </c>
      <c r="B62" s="135" t="s">
        <v>333</v>
      </c>
      <c r="C62" s="136" t="s">
        <v>334</v>
      </c>
      <c r="D62" s="114">
        <f t="shared" ref="D62:I62" si="14">SUM(D59:D61)</f>
        <v>1876034.9999999998</v>
      </c>
      <c r="E62" s="114">
        <f t="shared" si="14"/>
        <v>994298.55</v>
      </c>
      <c r="F62" s="114">
        <f t="shared" si="14"/>
        <v>0</v>
      </c>
      <c r="G62" s="114">
        <f t="shared" si="14"/>
        <v>0</v>
      </c>
      <c r="H62" s="114">
        <f t="shared" si="14"/>
        <v>0</v>
      </c>
      <c r="I62" s="114">
        <f t="shared" si="14"/>
        <v>881736.45</v>
      </c>
      <c r="J62" s="426">
        <f t="shared" si="9"/>
        <v>1876034.9999999998</v>
      </c>
      <c r="K62" s="426">
        <f t="shared" si="10"/>
        <v>1876035</v>
      </c>
    </row>
    <row r="63" spans="1:11" s="127" customFormat="1" ht="14.25" customHeight="1" x14ac:dyDescent="0.25">
      <c r="A63" s="143" t="s">
        <v>43</v>
      </c>
      <c r="B63" s="143" t="s">
        <v>335</v>
      </c>
      <c r="C63" s="144" t="s">
        <v>336</v>
      </c>
      <c r="D63" s="119"/>
      <c r="E63" s="119">
        <f>K63*0.53</f>
        <v>42400</v>
      </c>
      <c r="F63" s="119"/>
      <c r="G63" s="119"/>
      <c r="H63" s="119"/>
      <c r="I63" s="120">
        <f>K63*0.47</f>
        <v>37600</v>
      </c>
      <c r="J63" s="120">
        <f t="shared" si="9"/>
        <v>0</v>
      </c>
      <c r="K63" s="120">
        <v>80000</v>
      </c>
    </row>
    <row r="64" spans="1:11" s="127" customFormat="1" ht="14.25" customHeight="1" x14ac:dyDescent="0.25">
      <c r="A64" s="143" t="s">
        <v>44</v>
      </c>
      <c r="B64" s="143" t="s">
        <v>337</v>
      </c>
      <c r="C64" s="144" t="s">
        <v>338</v>
      </c>
      <c r="D64" s="119">
        <f>'aládolgozó számítások'!D64+100000</f>
        <v>6837150</v>
      </c>
      <c r="E64" s="119">
        <f>'aládolgozó számítások'!D105+2000000</f>
        <v>8746007</v>
      </c>
      <c r="F64" s="119">
        <v>257000</v>
      </c>
      <c r="G64" s="119">
        <v>246480</v>
      </c>
      <c r="H64" s="119">
        <f>'aládolgozó számítások'!D71+100000</f>
        <v>7829900</v>
      </c>
      <c r="I64" s="120">
        <f>'aládolgozó számítások'!D113+553883</f>
        <v>7845403</v>
      </c>
      <c r="J64" s="120">
        <f>D64+F64+H64</f>
        <v>14924050</v>
      </c>
      <c r="K64" s="120">
        <f>E64+G64+I64</f>
        <v>16837890</v>
      </c>
    </row>
    <row r="65" spans="1:11" s="153" customFormat="1" ht="14.25" customHeight="1" x14ac:dyDescent="0.25">
      <c r="A65" s="143" t="s">
        <v>45</v>
      </c>
      <c r="B65" s="135" t="s">
        <v>341</v>
      </c>
      <c r="C65" s="136" t="s">
        <v>342</v>
      </c>
      <c r="D65" s="114">
        <f t="shared" ref="D65:I65" si="15">SUM(D63:D64)</f>
        <v>6837150</v>
      </c>
      <c r="E65" s="114">
        <f t="shared" si="15"/>
        <v>8788407</v>
      </c>
      <c r="F65" s="114">
        <f t="shared" si="15"/>
        <v>257000</v>
      </c>
      <c r="G65" s="114">
        <f t="shared" si="15"/>
        <v>246480</v>
      </c>
      <c r="H65" s="114">
        <f t="shared" si="15"/>
        <v>7829900</v>
      </c>
      <c r="I65" s="114">
        <f t="shared" si="15"/>
        <v>7883003</v>
      </c>
      <c r="J65" s="426">
        <f t="shared" si="9"/>
        <v>14924050</v>
      </c>
      <c r="K65" s="426">
        <f>E65+G65+I65</f>
        <v>16917890</v>
      </c>
    </row>
    <row r="66" spans="1:11" s="127" customFormat="1" ht="14.25" customHeight="1" x14ac:dyDescent="0.25">
      <c r="A66" s="143" t="s">
        <v>46</v>
      </c>
      <c r="B66" s="143" t="s">
        <v>343</v>
      </c>
      <c r="C66" s="144" t="s">
        <v>344</v>
      </c>
      <c r="D66" s="119">
        <f>J66*0.66</f>
        <v>165000</v>
      </c>
      <c r="E66" s="119">
        <f>K66*0.53</f>
        <v>106000</v>
      </c>
      <c r="F66" s="119"/>
      <c r="G66" s="119"/>
      <c r="H66" s="119">
        <f>J66*0.34</f>
        <v>85000</v>
      </c>
      <c r="I66" s="119">
        <f>K66*0.47</f>
        <v>94000</v>
      </c>
      <c r="J66" s="120">
        <v>250000</v>
      </c>
      <c r="K66" s="120">
        <v>200000</v>
      </c>
    </row>
    <row r="67" spans="1:11" s="127" customFormat="1" ht="14.25" customHeight="1" x14ac:dyDescent="0.25">
      <c r="A67" s="143" t="s">
        <v>47</v>
      </c>
      <c r="B67" s="143" t="s">
        <v>345</v>
      </c>
      <c r="C67" s="144" t="s">
        <v>346</v>
      </c>
      <c r="D67" s="119">
        <f>J67*0.4</f>
        <v>0</v>
      </c>
      <c r="E67" s="119"/>
      <c r="F67" s="119"/>
      <c r="G67" s="119"/>
      <c r="H67" s="119">
        <f>J67*0.6</f>
        <v>0</v>
      </c>
      <c r="I67" s="120"/>
      <c r="J67" s="120"/>
      <c r="K67" s="120">
        <f>E67+G67+I67</f>
        <v>0</v>
      </c>
    </row>
    <row r="68" spans="1:11" s="153" customFormat="1" ht="14.25" customHeight="1" x14ac:dyDescent="0.25">
      <c r="A68" s="143" t="s">
        <v>48</v>
      </c>
      <c r="B68" s="135" t="s">
        <v>347</v>
      </c>
      <c r="C68" s="136" t="s">
        <v>348</v>
      </c>
      <c r="D68" s="114">
        <f t="shared" ref="D68:I68" si="16">SUM(D66:D67)</f>
        <v>165000</v>
      </c>
      <c r="E68" s="114">
        <f t="shared" si="16"/>
        <v>106000</v>
      </c>
      <c r="F68" s="114">
        <f t="shared" si="16"/>
        <v>0</v>
      </c>
      <c r="G68" s="114">
        <f t="shared" si="16"/>
        <v>0</v>
      </c>
      <c r="H68" s="114">
        <f t="shared" si="16"/>
        <v>85000</v>
      </c>
      <c r="I68" s="114">
        <f t="shared" si="16"/>
        <v>94000</v>
      </c>
      <c r="J68" s="426">
        <f>D68+F68+H68</f>
        <v>250000</v>
      </c>
      <c r="K68" s="426">
        <f>E68+G68+I68</f>
        <v>200000</v>
      </c>
    </row>
    <row r="69" spans="1:11" s="152" customFormat="1" ht="14.25" customHeight="1" x14ac:dyDescent="0.25">
      <c r="A69" s="143" t="s">
        <v>51</v>
      </c>
      <c r="B69" s="147" t="s">
        <v>349</v>
      </c>
      <c r="C69" s="148" t="s">
        <v>350</v>
      </c>
      <c r="D69" s="121">
        <f>J69*0.66</f>
        <v>198000</v>
      </c>
      <c r="E69" s="121">
        <f>K69*0.53</f>
        <v>90100</v>
      </c>
      <c r="F69" s="121"/>
      <c r="G69" s="121"/>
      <c r="H69" s="121">
        <f>J69*0.34</f>
        <v>102000.00000000001</v>
      </c>
      <c r="I69" s="121">
        <f>K69*0.47</f>
        <v>79900</v>
      </c>
      <c r="J69" s="161">
        <v>300000</v>
      </c>
      <c r="K69" s="161">
        <v>170000</v>
      </c>
    </row>
    <row r="70" spans="1:11" s="152" customFormat="1" ht="14.25" customHeight="1" x14ac:dyDescent="0.25">
      <c r="A70" s="143" t="s">
        <v>53</v>
      </c>
      <c r="B70" s="147" t="s">
        <v>351</v>
      </c>
      <c r="C70" s="148" t="s">
        <v>352</v>
      </c>
      <c r="D70" s="121">
        <f>J70*0.66</f>
        <v>528000</v>
      </c>
      <c r="E70" s="121">
        <f>K70*0.53</f>
        <v>621058.77</v>
      </c>
      <c r="F70" s="121"/>
      <c r="G70" s="121"/>
      <c r="H70" s="121">
        <f>J70*0.34</f>
        <v>272000</v>
      </c>
      <c r="I70" s="121">
        <f>K70*0.47</f>
        <v>550750.23</v>
      </c>
      <c r="J70" s="161">
        <v>800000</v>
      </c>
      <c r="K70" s="161">
        <v>1171809</v>
      </c>
    </row>
    <row r="71" spans="1:11" s="152" customFormat="1" ht="14.25" customHeight="1" x14ac:dyDescent="0.25">
      <c r="A71" s="143" t="s">
        <v>55</v>
      </c>
      <c r="B71" s="147" t="s">
        <v>353</v>
      </c>
      <c r="C71" s="148" t="s">
        <v>354</v>
      </c>
      <c r="D71" s="121">
        <f>J71*0.66</f>
        <v>99000</v>
      </c>
      <c r="E71" s="121">
        <f>K71*0.53</f>
        <v>34980</v>
      </c>
      <c r="F71" s="121"/>
      <c r="G71" s="121"/>
      <c r="H71" s="121">
        <f>J71*0.34</f>
        <v>51000.000000000007</v>
      </c>
      <c r="I71" s="121">
        <f>K71*0.47</f>
        <v>31020</v>
      </c>
      <c r="J71" s="161">
        <v>150000</v>
      </c>
      <c r="K71" s="161">
        <v>66000</v>
      </c>
    </row>
    <row r="72" spans="1:11" s="127" customFormat="1" ht="14.25" customHeight="1" x14ac:dyDescent="0.25">
      <c r="A72" s="143" t="s">
        <v>57</v>
      </c>
      <c r="B72" s="143" t="s">
        <v>355</v>
      </c>
      <c r="C72" s="144" t="s">
        <v>356</v>
      </c>
      <c r="D72" s="119">
        <f t="shared" ref="D72:I72" si="17">SUM(D69:D71)</f>
        <v>825000</v>
      </c>
      <c r="E72" s="119">
        <f t="shared" si="17"/>
        <v>746138.77</v>
      </c>
      <c r="F72" s="119">
        <f t="shared" si="17"/>
        <v>0</v>
      </c>
      <c r="G72" s="119">
        <f t="shared" si="17"/>
        <v>0</v>
      </c>
      <c r="H72" s="119">
        <f t="shared" si="17"/>
        <v>425000</v>
      </c>
      <c r="I72" s="119">
        <f t="shared" si="17"/>
        <v>661670.23</v>
      </c>
      <c r="J72" s="120">
        <f>D72+F72+H72</f>
        <v>1250000</v>
      </c>
      <c r="K72" s="120">
        <f>E72+G72+I72</f>
        <v>1407809</v>
      </c>
    </row>
    <row r="73" spans="1:11" s="127" customFormat="1" ht="14.25" customHeight="1" x14ac:dyDescent="0.25">
      <c r="A73" s="143" t="s">
        <v>58</v>
      </c>
      <c r="B73" s="143" t="s">
        <v>357</v>
      </c>
      <c r="C73" s="144" t="s">
        <v>358</v>
      </c>
      <c r="D73" s="119">
        <f>J73*0.3845</f>
        <v>0</v>
      </c>
      <c r="E73" s="119">
        <f>K73*0.53</f>
        <v>63600</v>
      </c>
      <c r="F73" s="119"/>
      <c r="G73" s="119"/>
      <c r="H73" s="119">
        <f>J73*0.6155</f>
        <v>0</v>
      </c>
      <c r="I73" s="120">
        <f>K73*0.47</f>
        <v>56400</v>
      </c>
      <c r="J73" s="120"/>
      <c r="K73" s="120">
        <v>120000</v>
      </c>
    </row>
    <row r="74" spans="1:11" s="127" customFormat="1" ht="14.25" customHeight="1" x14ac:dyDescent="0.25">
      <c r="A74" s="143" t="s">
        <v>59</v>
      </c>
      <c r="B74" s="143" t="s">
        <v>359</v>
      </c>
      <c r="C74" s="149" t="s">
        <v>360</v>
      </c>
      <c r="D74" s="119">
        <f>J74*0.3845</f>
        <v>0</v>
      </c>
      <c r="E74" s="119"/>
      <c r="F74" s="119"/>
      <c r="G74" s="119"/>
      <c r="H74" s="119">
        <f>J74*0.6155</f>
        <v>0</v>
      </c>
      <c r="I74" s="120"/>
      <c r="J74" s="120">
        <v>0</v>
      </c>
      <c r="K74" s="120">
        <f>E74+G74+I74</f>
        <v>0</v>
      </c>
    </row>
    <row r="75" spans="1:11" s="127" customFormat="1" ht="14.25" customHeight="1" x14ac:dyDescent="0.25">
      <c r="A75" s="143" t="s">
        <v>60</v>
      </c>
      <c r="B75" s="143" t="s">
        <v>361</v>
      </c>
      <c r="C75" s="149" t="s">
        <v>362</v>
      </c>
      <c r="D75" s="119">
        <f>J75*0.66</f>
        <v>132000</v>
      </c>
      <c r="E75" s="119">
        <f>K75*0.53</f>
        <v>77014.3</v>
      </c>
      <c r="F75" s="119"/>
      <c r="G75" s="119"/>
      <c r="H75" s="119">
        <f>J75*0.34</f>
        <v>68000</v>
      </c>
      <c r="I75" s="119">
        <f>K75*0.47</f>
        <v>68295.7</v>
      </c>
      <c r="J75" s="120">
        <v>200000</v>
      </c>
      <c r="K75" s="120">
        <v>145310</v>
      </c>
    </row>
    <row r="76" spans="1:11" s="127" customFormat="1" ht="14.25" customHeight="1" x14ac:dyDescent="0.25">
      <c r="A76" s="143" t="s">
        <v>66</v>
      </c>
      <c r="B76" s="143" t="s">
        <v>363</v>
      </c>
      <c r="C76" s="149" t="s">
        <v>364</v>
      </c>
      <c r="D76" s="119"/>
      <c r="E76" s="119">
        <f>K76*0.53</f>
        <v>442667.13</v>
      </c>
      <c r="F76" s="119"/>
      <c r="G76" s="119"/>
      <c r="H76" s="119">
        <v>0</v>
      </c>
      <c r="I76" s="119">
        <f>K76*0.47</f>
        <v>392553.87</v>
      </c>
      <c r="J76" s="120">
        <f>D76+F76+H76</f>
        <v>0</v>
      </c>
      <c r="K76" s="120">
        <v>835221</v>
      </c>
    </row>
    <row r="77" spans="1:11" s="127" customFormat="1" ht="14.25" customHeight="1" x14ac:dyDescent="0.25">
      <c r="A77" s="143" t="s">
        <v>78</v>
      </c>
      <c r="B77" s="143" t="s">
        <v>365</v>
      </c>
      <c r="C77" s="149" t="s">
        <v>366</v>
      </c>
      <c r="D77" s="119"/>
      <c r="E77" s="119"/>
      <c r="F77" s="119"/>
      <c r="G77" s="119"/>
      <c r="H77" s="119"/>
      <c r="I77" s="119"/>
      <c r="J77" s="120">
        <f>D77+F77+H77</f>
        <v>0</v>
      </c>
      <c r="K77" s="120">
        <f>E77+G77+I77</f>
        <v>0</v>
      </c>
    </row>
    <row r="78" spans="1:11" s="127" customFormat="1" ht="14.25" customHeight="1" x14ac:dyDescent="0.25">
      <c r="A78" s="143" t="s">
        <v>79</v>
      </c>
      <c r="B78" s="143" t="s">
        <v>367</v>
      </c>
      <c r="C78" s="149" t="s">
        <v>368</v>
      </c>
      <c r="D78" s="119">
        <f>J78*0.66</f>
        <v>330000</v>
      </c>
      <c r="E78" s="119">
        <f>K78*0.53</f>
        <v>339200</v>
      </c>
      <c r="F78" s="119"/>
      <c r="G78" s="119"/>
      <c r="H78" s="119">
        <f>J78*0.34</f>
        <v>170000</v>
      </c>
      <c r="I78" s="119">
        <f>K78*0.47</f>
        <v>300800</v>
      </c>
      <c r="J78" s="120">
        <v>500000</v>
      </c>
      <c r="K78" s="120">
        <v>640000</v>
      </c>
    </row>
    <row r="79" spans="1:11" s="153" customFormat="1" ht="14.25" customHeight="1" x14ac:dyDescent="0.25">
      <c r="A79" s="143" t="s">
        <v>80</v>
      </c>
      <c r="B79" s="135" t="s">
        <v>369</v>
      </c>
      <c r="C79" s="138" t="s">
        <v>370</v>
      </c>
      <c r="D79" s="114">
        <f t="shared" ref="D79:I79" si="18">SUM(D72:D78)</f>
        <v>1287000</v>
      </c>
      <c r="E79" s="114">
        <f t="shared" si="18"/>
        <v>1668620.2000000002</v>
      </c>
      <c r="F79" s="114">
        <f t="shared" si="18"/>
        <v>0</v>
      </c>
      <c r="G79" s="114">
        <f t="shared" si="18"/>
        <v>0</v>
      </c>
      <c r="H79" s="114">
        <f t="shared" si="18"/>
        <v>663000</v>
      </c>
      <c r="I79" s="114">
        <f t="shared" si="18"/>
        <v>1479719.7999999998</v>
      </c>
      <c r="J79" s="118">
        <f t="shared" ref="J79:K82" si="19">D79+F79+H79</f>
        <v>1950000</v>
      </c>
      <c r="K79" s="426">
        <f t="shared" si="19"/>
        <v>3148340</v>
      </c>
    </row>
    <row r="80" spans="1:11" s="153" customFormat="1" ht="14.25" customHeight="1" x14ac:dyDescent="0.25">
      <c r="A80" s="143" t="s">
        <v>81</v>
      </c>
      <c r="B80" s="135" t="s">
        <v>371</v>
      </c>
      <c r="C80" s="138" t="s">
        <v>372</v>
      </c>
      <c r="D80" s="114">
        <v>30000</v>
      </c>
      <c r="E80" s="114">
        <v>30000</v>
      </c>
      <c r="F80" s="114"/>
      <c r="G80" s="114"/>
      <c r="H80" s="114"/>
      <c r="I80" s="118"/>
      <c r="J80" s="118">
        <f t="shared" si="19"/>
        <v>30000</v>
      </c>
      <c r="K80" s="118">
        <f t="shared" si="19"/>
        <v>30000</v>
      </c>
    </row>
    <row r="81" spans="1:11" s="153" customFormat="1" ht="14.25" customHeight="1" x14ac:dyDescent="0.25">
      <c r="A81" s="143" t="s">
        <v>82</v>
      </c>
      <c r="B81" s="135" t="s">
        <v>373</v>
      </c>
      <c r="C81" s="138" t="s">
        <v>374</v>
      </c>
      <c r="D81" s="114"/>
      <c r="E81" s="114"/>
      <c r="F81" s="114"/>
      <c r="G81" s="114"/>
      <c r="H81" s="114"/>
      <c r="I81" s="118"/>
      <c r="J81" s="118">
        <f t="shared" si="19"/>
        <v>0</v>
      </c>
      <c r="K81" s="426">
        <f t="shared" si="19"/>
        <v>0</v>
      </c>
    </row>
    <row r="82" spans="1:11" s="127" customFormat="1" ht="14.25" customHeight="1" x14ac:dyDescent="0.25">
      <c r="A82" s="143" t="s">
        <v>83</v>
      </c>
      <c r="B82" s="143" t="s">
        <v>375</v>
      </c>
      <c r="C82" s="149" t="s">
        <v>376</v>
      </c>
      <c r="D82" s="119">
        <f>'aládolgozó számítások'!H64+(D68+D79-200000)*0.27</f>
        <v>1783832.3900000001</v>
      </c>
      <c r="E82" s="119">
        <f>'aládolgozó számítások'!H105+('18.m. Konyha rovat+cofog'!E68+'18.m. Konyha rovat+cofog'!E79)*0.27+215910</f>
        <v>2142750.5562000005</v>
      </c>
      <c r="F82" s="119">
        <f>F65*0.18</f>
        <v>46260</v>
      </c>
      <c r="G82" s="119">
        <f>G65*0.27</f>
        <v>66549.600000000006</v>
      </c>
      <c r="H82" s="119">
        <f>'aládolgozó számítások'!H71+(H68+H79-200000)*0.27</f>
        <v>1806796.54</v>
      </c>
      <c r="I82" s="120">
        <f>'aládolgozó számítások'!H113+('18.m. Konyha rovat+cofog'!I68+'18.m. Konyha rovat+cofog'!I79)*0.27-122076</f>
        <v>1867588.5379999999</v>
      </c>
      <c r="J82" s="120">
        <f t="shared" si="19"/>
        <v>3636888.93</v>
      </c>
      <c r="K82" s="120">
        <f t="shared" si="19"/>
        <v>4076888.6942000007</v>
      </c>
    </row>
    <row r="83" spans="1:11" s="127" customFormat="1" ht="14.25" customHeight="1" x14ac:dyDescent="0.25">
      <c r="A83" s="143" t="s">
        <v>84</v>
      </c>
      <c r="B83" s="143" t="s">
        <v>377</v>
      </c>
      <c r="C83" s="149" t="s">
        <v>378</v>
      </c>
      <c r="D83" s="119">
        <f>J83*0.4</f>
        <v>1063200</v>
      </c>
      <c r="E83" s="119">
        <f>K83*0.53</f>
        <v>1366340</v>
      </c>
      <c r="F83" s="119"/>
      <c r="G83" s="119"/>
      <c r="H83" s="119">
        <f>J83*0.6</f>
        <v>1594800</v>
      </c>
      <c r="I83" s="119">
        <f>K83*0.47</f>
        <v>1211660</v>
      </c>
      <c r="J83" s="120">
        <v>2658000</v>
      </c>
      <c r="K83" s="120">
        <v>2578000</v>
      </c>
    </row>
    <row r="84" spans="1:11" s="127" customFormat="1" ht="14.25" customHeight="1" x14ac:dyDescent="0.25">
      <c r="A84" s="143" t="s">
        <v>85</v>
      </c>
      <c r="B84" s="143" t="s">
        <v>379</v>
      </c>
      <c r="C84" s="149" t="s">
        <v>380</v>
      </c>
      <c r="D84" s="119"/>
      <c r="E84" s="119"/>
      <c r="F84" s="119"/>
      <c r="G84" s="119"/>
      <c r="H84" s="119"/>
      <c r="I84" s="120"/>
      <c r="J84" s="120">
        <f>SUM(D84:H84)</f>
        <v>0</v>
      </c>
      <c r="K84" s="120">
        <f t="shared" ref="K84:K92" si="20">E84+G84+I84</f>
        <v>0</v>
      </c>
    </row>
    <row r="85" spans="1:11" s="127" customFormat="1" ht="14.25" customHeight="1" x14ac:dyDescent="0.25">
      <c r="A85" s="143" t="s">
        <v>86</v>
      </c>
      <c r="B85" s="143" t="s">
        <v>381</v>
      </c>
      <c r="C85" s="149" t="s">
        <v>382</v>
      </c>
      <c r="D85" s="119"/>
      <c r="E85" s="119"/>
      <c r="F85" s="119"/>
      <c r="G85" s="119"/>
      <c r="H85" s="119"/>
      <c r="I85" s="120"/>
      <c r="J85" s="120">
        <f>SUM(D85:H85)</f>
        <v>0</v>
      </c>
      <c r="K85" s="120">
        <f t="shared" si="20"/>
        <v>0</v>
      </c>
    </row>
    <row r="86" spans="1:11" s="127" customFormat="1" ht="14.25" customHeight="1" x14ac:dyDescent="0.25">
      <c r="A86" s="143" t="s">
        <v>87</v>
      </c>
      <c r="B86" s="143" t="s">
        <v>383</v>
      </c>
      <c r="C86" s="149" t="s">
        <v>384</v>
      </c>
      <c r="D86" s="119">
        <v>100</v>
      </c>
      <c r="E86" s="119">
        <f>K86*0.53</f>
        <v>556.5</v>
      </c>
      <c r="F86" s="119"/>
      <c r="G86" s="119"/>
      <c r="H86" s="119">
        <v>100</v>
      </c>
      <c r="I86" s="120">
        <f>K86*0.47</f>
        <v>493.5</v>
      </c>
      <c r="J86" s="120">
        <f>D86+F86+H86</f>
        <v>200</v>
      </c>
      <c r="K86" s="120">
        <v>1050</v>
      </c>
    </row>
    <row r="87" spans="1:11" s="153" customFormat="1" ht="14.25" customHeight="1" x14ac:dyDescent="0.25">
      <c r="A87" s="143" t="s">
        <v>88</v>
      </c>
      <c r="B87" s="135" t="s">
        <v>385</v>
      </c>
      <c r="C87" s="136" t="s">
        <v>386</v>
      </c>
      <c r="D87" s="114">
        <f t="shared" ref="D87:I87" si="21">SUM(D82:D86)</f>
        <v>2847132.39</v>
      </c>
      <c r="E87" s="114">
        <f t="shared" si="21"/>
        <v>3509647.0562000005</v>
      </c>
      <c r="F87" s="114">
        <f t="shared" si="21"/>
        <v>46260</v>
      </c>
      <c r="G87" s="114">
        <f t="shared" si="21"/>
        <v>66549.600000000006</v>
      </c>
      <c r="H87" s="114">
        <f t="shared" si="21"/>
        <v>3401696.54</v>
      </c>
      <c r="I87" s="114">
        <f t="shared" si="21"/>
        <v>3079742.0379999997</v>
      </c>
      <c r="J87" s="118">
        <f>D87+F87+H87</f>
        <v>6295088.9299999997</v>
      </c>
      <c r="K87" s="426">
        <f t="shared" si="20"/>
        <v>6655938.6941999998</v>
      </c>
    </row>
    <row r="88" spans="1:11" s="153" customFormat="1" ht="14.25" customHeight="1" x14ac:dyDescent="0.25">
      <c r="A88" s="143" t="s">
        <v>135</v>
      </c>
      <c r="B88" s="135" t="s">
        <v>387</v>
      </c>
      <c r="C88" s="136" t="s">
        <v>388</v>
      </c>
      <c r="D88" s="114">
        <f t="shared" ref="D88:I88" si="22">D65+D68+D79+D80+D81+D87</f>
        <v>11166282.390000001</v>
      </c>
      <c r="E88" s="114">
        <f t="shared" si="22"/>
        <v>14102674.256200001</v>
      </c>
      <c r="F88" s="114">
        <f t="shared" si="22"/>
        <v>303260</v>
      </c>
      <c r="G88" s="114">
        <f t="shared" si="22"/>
        <v>313029.59999999998</v>
      </c>
      <c r="H88" s="114">
        <f t="shared" si="22"/>
        <v>11979596.539999999</v>
      </c>
      <c r="I88" s="114">
        <f t="shared" si="22"/>
        <v>12536464.838</v>
      </c>
      <c r="J88" s="118">
        <f>D88+F88+H88</f>
        <v>23449138.93</v>
      </c>
      <c r="K88" s="426">
        <f t="shared" si="20"/>
        <v>26952168.694200002</v>
      </c>
    </row>
    <row r="89" spans="1:11" s="153" customFormat="1" ht="14.25" customHeight="1" x14ac:dyDescent="0.25">
      <c r="A89" s="143" t="s">
        <v>89</v>
      </c>
      <c r="B89" s="135" t="s">
        <v>404</v>
      </c>
      <c r="C89" s="138" t="s">
        <v>121</v>
      </c>
      <c r="D89" s="114"/>
      <c r="E89" s="114"/>
      <c r="F89" s="114"/>
      <c r="G89" s="114"/>
      <c r="H89" s="114"/>
      <c r="I89" s="114"/>
      <c r="J89" s="118">
        <f>D89+F89+H89</f>
        <v>0</v>
      </c>
      <c r="K89" s="426">
        <f t="shared" si="20"/>
        <v>0</v>
      </c>
    </row>
    <row r="90" spans="1:11" s="127" customFormat="1" ht="14.25" customHeight="1" x14ac:dyDescent="0.25">
      <c r="A90" s="143" t="s">
        <v>90</v>
      </c>
      <c r="B90" s="143" t="s">
        <v>405</v>
      </c>
      <c r="C90" s="149" t="s">
        <v>406</v>
      </c>
      <c r="D90" s="119"/>
      <c r="E90" s="119"/>
      <c r="F90" s="119"/>
      <c r="G90" s="119"/>
      <c r="H90" s="119"/>
      <c r="I90" s="120"/>
      <c r="J90" s="120">
        <f t="shared" ref="J90:J98" si="23">SUM(D90:H90)</f>
        <v>0</v>
      </c>
      <c r="K90" s="120">
        <f t="shared" si="20"/>
        <v>0</v>
      </c>
    </row>
    <row r="91" spans="1:11" s="127" customFormat="1" ht="14.25" customHeight="1" x14ac:dyDescent="0.25">
      <c r="A91" s="143" t="s">
        <v>91</v>
      </c>
      <c r="B91" s="143" t="s">
        <v>407</v>
      </c>
      <c r="C91" s="149" t="s">
        <v>408</v>
      </c>
      <c r="D91" s="119"/>
      <c r="E91" s="119"/>
      <c r="F91" s="119"/>
      <c r="G91" s="119"/>
      <c r="H91" s="119"/>
      <c r="I91" s="120"/>
      <c r="J91" s="120">
        <f t="shared" si="23"/>
        <v>0</v>
      </c>
      <c r="K91" s="120">
        <f t="shared" si="20"/>
        <v>0</v>
      </c>
    </row>
    <row r="92" spans="1:11" s="127" customFormat="1" ht="14.25" customHeight="1" x14ac:dyDescent="0.25">
      <c r="A92" s="143" t="s">
        <v>92</v>
      </c>
      <c r="B92" s="143" t="s">
        <v>409</v>
      </c>
      <c r="C92" s="149" t="s">
        <v>410</v>
      </c>
      <c r="D92" s="119"/>
      <c r="E92" s="119"/>
      <c r="F92" s="119"/>
      <c r="G92" s="119"/>
      <c r="H92" s="119"/>
      <c r="I92" s="120"/>
      <c r="J92" s="120">
        <f t="shared" si="23"/>
        <v>0</v>
      </c>
      <c r="K92" s="120">
        <f t="shared" si="20"/>
        <v>0</v>
      </c>
    </row>
    <row r="93" spans="1:11" s="127" customFormat="1" ht="14.25" customHeight="1" x14ac:dyDescent="0.25">
      <c r="A93" s="143" t="s">
        <v>137</v>
      </c>
      <c r="B93" s="143" t="s">
        <v>411</v>
      </c>
      <c r="C93" s="149" t="s">
        <v>412</v>
      </c>
      <c r="D93" s="119"/>
      <c r="E93" s="119">
        <f>K93*0.53</f>
        <v>371000</v>
      </c>
      <c r="F93" s="119"/>
      <c r="G93" s="119"/>
      <c r="H93" s="119"/>
      <c r="I93" s="120">
        <f>K93*0.47</f>
        <v>329000</v>
      </c>
      <c r="J93" s="120">
        <v>0</v>
      </c>
      <c r="K93" s="120">
        <v>700000</v>
      </c>
    </row>
    <row r="94" spans="1:11" s="127" customFormat="1" ht="14.25" customHeight="1" x14ac:dyDescent="0.25">
      <c r="A94" s="143" t="s">
        <v>138</v>
      </c>
      <c r="B94" s="143" t="s">
        <v>413</v>
      </c>
      <c r="C94" s="149" t="s">
        <v>414</v>
      </c>
      <c r="D94" s="119"/>
      <c r="E94" s="119">
        <f>K94*0.53</f>
        <v>100170</v>
      </c>
      <c r="F94" s="119"/>
      <c r="G94" s="119"/>
      <c r="H94" s="119"/>
      <c r="I94" s="120">
        <f>K94*0.47</f>
        <v>88830</v>
      </c>
      <c r="J94" s="120">
        <f>D94+F94+H94</f>
        <v>0</v>
      </c>
      <c r="K94" s="120">
        <f>K93*0.27</f>
        <v>189000</v>
      </c>
    </row>
    <row r="95" spans="1:11" s="153" customFormat="1" ht="14.25" customHeight="1" x14ac:dyDescent="0.25">
      <c r="A95" s="143" t="s">
        <v>139</v>
      </c>
      <c r="B95" s="135" t="s">
        <v>415</v>
      </c>
      <c r="C95" s="138" t="s">
        <v>416</v>
      </c>
      <c r="D95" s="114">
        <f t="shared" ref="D95:I95" si="24">SUM(D90:D94)</f>
        <v>0</v>
      </c>
      <c r="E95" s="114">
        <f t="shared" si="24"/>
        <v>471170</v>
      </c>
      <c r="F95" s="114">
        <f t="shared" si="24"/>
        <v>0</v>
      </c>
      <c r="G95" s="114">
        <f t="shared" si="24"/>
        <v>0</v>
      </c>
      <c r="H95" s="114">
        <f t="shared" si="24"/>
        <v>0</v>
      </c>
      <c r="I95" s="114">
        <f t="shared" si="24"/>
        <v>417830</v>
      </c>
      <c r="J95" s="426">
        <f>D95+F95+H95</f>
        <v>0</v>
      </c>
      <c r="K95" s="426">
        <f t="shared" ref="K95:K100" si="25">E95+G95+I95</f>
        <v>889000</v>
      </c>
    </row>
    <row r="96" spans="1:11" s="153" customFormat="1" ht="14.25" customHeight="1" x14ac:dyDescent="0.25">
      <c r="A96" s="143" t="s">
        <v>140</v>
      </c>
      <c r="B96" s="135" t="s">
        <v>425</v>
      </c>
      <c r="C96" s="138" t="s">
        <v>426</v>
      </c>
      <c r="D96" s="114"/>
      <c r="E96" s="114"/>
      <c r="F96" s="114"/>
      <c r="G96" s="114"/>
      <c r="H96" s="114"/>
      <c r="I96" s="118"/>
      <c r="J96" s="118">
        <f t="shared" si="23"/>
        <v>0</v>
      </c>
      <c r="K96" s="426">
        <f t="shared" si="25"/>
        <v>0</v>
      </c>
    </row>
    <row r="97" spans="1:11" s="153" customFormat="1" ht="14.25" customHeight="1" x14ac:dyDescent="0.25">
      <c r="A97" s="143" t="s">
        <v>152</v>
      </c>
      <c r="B97" s="135" t="s">
        <v>433</v>
      </c>
      <c r="C97" s="138" t="s">
        <v>70</v>
      </c>
      <c r="D97" s="114"/>
      <c r="E97" s="114"/>
      <c r="F97" s="114"/>
      <c r="G97" s="114"/>
      <c r="H97" s="114"/>
      <c r="I97" s="118"/>
      <c r="J97" s="118">
        <f t="shared" si="23"/>
        <v>0</v>
      </c>
      <c r="K97" s="426">
        <f t="shared" si="25"/>
        <v>0</v>
      </c>
    </row>
    <row r="98" spans="1:11" s="153" customFormat="1" ht="14.25" customHeight="1" x14ac:dyDescent="0.25">
      <c r="A98" s="143" t="s">
        <v>153</v>
      </c>
      <c r="B98" s="135" t="s">
        <v>441</v>
      </c>
      <c r="C98" s="138" t="s">
        <v>442</v>
      </c>
      <c r="D98" s="114"/>
      <c r="E98" s="114"/>
      <c r="F98" s="114"/>
      <c r="G98" s="114"/>
      <c r="H98" s="114"/>
      <c r="I98" s="118"/>
      <c r="J98" s="118">
        <f t="shared" si="23"/>
        <v>0</v>
      </c>
      <c r="K98" s="426">
        <f t="shared" si="25"/>
        <v>0</v>
      </c>
    </row>
    <row r="99" spans="1:11" s="153" customFormat="1" ht="18.75" customHeight="1" x14ac:dyDescent="0.25">
      <c r="A99" s="143" t="s">
        <v>154</v>
      </c>
      <c r="B99" s="135" t="s">
        <v>444</v>
      </c>
      <c r="C99" s="138" t="s">
        <v>445</v>
      </c>
      <c r="D99" s="114">
        <f t="shared" ref="D99:I99" si="26">D58+D62+D88+D89+D95+D96+D97+D98</f>
        <v>23762517.390000001</v>
      </c>
      <c r="E99" s="114">
        <f t="shared" si="26"/>
        <v>21329348.806200001</v>
      </c>
      <c r="F99" s="114">
        <f t="shared" si="26"/>
        <v>303260</v>
      </c>
      <c r="G99" s="114">
        <f t="shared" si="26"/>
        <v>313029.59999999998</v>
      </c>
      <c r="H99" s="114">
        <f t="shared" si="26"/>
        <v>11979596.539999999</v>
      </c>
      <c r="I99" s="114">
        <f t="shared" si="26"/>
        <v>18945025.287999999</v>
      </c>
      <c r="J99" s="118">
        <f>D99+F99+H99</f>
        <v>36045373.93</v>
      </c>
      <c r="K99" s="426">
        <f t="shared" si="25"/>
        <v>40587403.694200002</v>
      </c>
    </row>
    <row r="100" spans="1:11" s="127" customFormat="1" ht="16.5" customHeight="1" x14ac:dyDescent="0.25">
      <c r="A100" s="143" t="s">
        <v>155</v>
      </c>
      <c r="B100" s="143"/>
      <c r="C100" s="150" t="s">
        <v>447</v>
      </c>
      <c r="D100" s="122">
        <v>3</v>
      </c>
      <c r="E100" s="122">
        <v>3</v>
      </c>
      <c r="F100" s="122"/>
      <c r="G100" s="122"/>
      <c r="H100" s="122">
        <v>2</v>
      </c>
      <c r="I100" s="155">
        <v>2</v>
      </c>
      <c r="J100" s="424">
        <f>D100+F100+H100</f>
        <v>5</v>
      </c>
      <c r="K100" s="424">
        <f t="shared" si="25"/>
        <v>5</v>
      </c>
    </row>
    <row r="101" spans="1:11" s="127" customFormat="1" ht="13.2" x14ac:dyDescent="0.25">
      <c r="A101" s="126"/>
      <c r="B101" s="126"/>
      <c r="D101" s="123"/>
      <c r="E101" s="123"/>
      <c r="F101" s="123"/>
      <c r="G101" s="123"/>
      <c r="H101" s="123"/>
      <c r="I101" s="123"/>
      <c r="J101" s="123"/>
      <c r="K101" s="123"/>
    </row>
    <row r="102" spans="1:11" s="153" customFormat="1" ht="24.75" customHeight="1" x14ac:dyDescent="0.25">
      <c r="A102" s="107"/>
      <c r="B102" s="151"/>
      <c r="C102" s="106" t="s">
        <v>448</v>
      </c>
      <c r="D102" s="114">
        <f t="shared" ref="D102:I102" si="27">D37</f>
        <v>23762517.574999999</v>
      </c>
      <c r="E102" s="114">
        <f t="shared" si="27"/>
        <v>23234772.675000001</v>
      </c>
      <c r="F102" s="114">
        <f t="shared" si="27"/>
        <v>303260</v>
      </c>
      <c r="G102" s="114">
        <f t="shared" si="27"/>
        <v>313030</v>
      </c>
      <c r="H102" s="114">
        <f t="shared" si="27"/>
        <v>11979595.949999999</v>
      </c>
      <c r="I102" s="114">
        <f t="shared" si="27"/>
        <v>17039600.949999999</v>
      </c>
      <c r="J102" s="114">
        <f t="shared" ref="J102:K104" si="28">D102+F102+H102</f>
        <v>36045373.524999999</v>
      </c>
      <c r="K102" s="114">
        <f t="shared" si="28"/>
        <v>40587403.625</v>
      </c>
    </row>
    <row r="103" spans="1:11" s="153" customFormat="1" ht="24.75" customHeight="1" x14ac:dyDescent="0.25">
      <c r="A103" s="107"/>
      <c r="B103" s="151"/>
      <c r="C103" s="106" t="s">
        <v>449</v>
      </c>
      <c r="D103" s="114">
        <f t="shared" ref="D103:I103" si="29">D99</f>
        <v>23762517.390000001</v>
      </c>
      <c r="E103" s="114">
        <f t="shared" si="29"/>
        <v>21329348.806200001</v>
      </c>
      <c r="F103" s="114">
        <f t="shared" si="29"/>
        <v>303260</v>
      </c>
      <c r="G103" s="114">
        <f t="shared" si="29"/>
        <v>313029.59999999998</v>
      </c>
      <c r="H103" s="114">
        <f t="shared" si="29"/>
        <v>11979596.539999999</v>
      </c>
      <c r="I103" s="114">
        <f t="shared" si="29"/>
        <v>18945025.287999999</v>
      </c>
      <c r="J103" s="114">
        <f t="shared" si="28"/>
        <v>36045373.93</v>
      </c>
      <c r="K103" s="114">
        <f t="shared" si="28"/>
        <v>40587403.694200002</v>
      </c>
    </row>
    <row r="104" spans="1:11" s="127" customFormat="1" ht="24.75" customHeight="1" x14ac:dyDescent="0.25">
      <c r="A104" s="143"/>
      <c r="B104" s="156"/>
      <c r="C104" s="113" t="s">
        <v>459</v>
      </c>
      <c r="D104" s="116">
        <f t="shared" ref="D104:I104" si="30">D102-D103</f>
        <v>0.18499999865889549</v>
      </c>
      <c r="E104" s="116">
        <f t="shared" si="30"/>
        <v>1905423.8687999994</v>
      </c>
      <c r="F104" s="116">
        <f t="shared" si="30"/>
        <v>0</v>
      </c>
      <c r="G104" s="116">
        <f t="shared" si="30"/>
        <v>0.40000000002328306</v>
      </c>
      <c r="H104" s="116">
        <f t="shared" si="30"/>
        <v>-0.58999999985098839</v>
      </c>
      <c r="I104" s="116">
        <f t="shared" si="30"/>
        <v>-1905424.3379999995</v>
      </c>
      <c r="J104" s="116">
        <f t="shared" si="28"/>
        <v>-0.4050000011920929</v>
      </c>
      <c r="K104" s="116">
        <f t="shared" si="28"/>
        <v>-6.9200000260025263E-2</v>
      </c>
    </row>
    <row r="106" spans="1:11" x14ac:dyDescent="0.25">
      <c r="J106" s="123"/>
      <c r="K106" s="123"/>
    </row>
  </sheetData>
  <mergeCells count="51">
    <mergeCell ref="B37:C37"/>
    <mergeCell ref="B40:C40"/>
    <mergeCell ref="B41:C41"/>
    <mergeCell ref="B42:C42"/>
    <mergeCell ref="A43:A45"/>
    <mergeCell ref="B43:B45"/>
    <mergeCell ref="A9:A11"/>
    <mergeCell ref="B9:B11"/>
    <mergeCell ref="D6:E6"/>
    <mergeCell ref="D7:E7"/>
    <mergeCell ref="D8:E8"/>
    <mergeCell ref="D9:E9"/>
    <mergeCell ref="D10:E10"/>
    <mergeCell ref="H6:I6"/>
    <mergeCell ref="H7:I7"/>
    <mergeCell ref="H8:I8"/>
    <mergeCell ref="H9:I9"/>
    <mergeCell ref="H10:I10"/>
    <mergeCell ref="B6:C6"/>
    <mergeCell ref="B7:C7"/>
    <mergeCell ref="B8:C8"/>
    <mergeCell ref="J6:K6"/>
    <mergeCell ref="J7:K7"/>
    <mergeCell ref="J8:K8"/>
    <mergeCell ref="J9:K9"/>
    <mergeCell ref="J10:K10"/>
    <mergeCell ref="F6:G6"/>
    <mergeCell ref="F7:G7"/>
    <mergeCell ref="F8:G8"/>
    <mergeCell ref="F9:G9"/>
    <mergeCell ref="F10:G10"/>
    <mergeCell ref="H43:I43"/>
    <mergeCell ref="J43:K43"/>
    <mergeCell ref="D40:E40"/>
    <mergeCell ref="F40:G40"/>
    <mergeCell ref="H40:I40"/>
    <mergeCell ref="J40:K40"/>
    <mergeCell ref="D41:E41"/>
    <mergeCell ref="F41:G41"/>
    <mergeCell ref="H41:I41"/>
    <mergeCell ref="J41:K41"/>
    <mergeCell ref="D44:E44"/>
    <mergeCell ref="F44:G44"/>
    <mergeCell ref="H44:I44"/>
    <mergeCell ref="J44:K44"/>
    <mergeCell ref="D42:E42"/>
    <mergeCell ref="F42:G42"/>
    <mergeCell ref="H42:I42"/>
    <mergeCell ref="J42:K42"/>
    <mergeCell ref="D43:E43"/>
    <mergeCell ref="F43:G4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topLeftCell="A121" workbookViewId="0">
      <selection activeCell="D114" sqref="D114"/>
    </sheetView>
  </sheetViews>
  <sheetFormatPr defaultColWidth="9.109375" defaultRowHeight="13.2" x14ac:dyDescent="0.25"/>
  <cols>
    <col min="1" max="2" width="9.109375" style="17"/>
    <col min="3" max="3" width="50.88671875" style="17" bestFit="1" customWidth="1"/>
    <col min="4" max="4" width="12.44140625" style="17" bestFit="1" customWidth="1"/>
    <col min="5" max="5" width="12.6640625" style="17" bestFit="1" customWidth="1"/>
    <col min="6" max="6" width="12.5546875" style="17" bestFit="1" customWidth="1"/>
    <col min="7" max="7" width="12.33203125" style="17" customWidth="1"/>
    <col min="8" max="8" width="12.6640625" style="17" customWidth="1"/>
    <col min="9" max="9" width="13.6640625" style="17" customWidth="1"/>
    <col min="10" max="12" width="12.33203125" style="17" customWidth="1"/>
    <col min="13" max="14" width="12.6640625" style="17" bestFit="1" customWidth="1"/>
    <col min="15" max="16" width="12.5546875" style="17" bestFit="1" customWidth="1"/>
    <col min="17" max="17" width="13.109375" style="17" customWidth="1"/>
    <col min="18" max="18" width="12.6640625" style="17" bestFit="1" customWidth="1"/>
    <col min="19" max="19" width="13.5546875" style="17" customWidth="1"/>
    <col min="20" max="20" width="14.44140625" style="17" customWidth="1"/>
    <col min="21" max="21" width="14.109375" style="17" customWidth="1"/>
    <col min="22" max="22" width="13.5546875" style="17" customWidth="1"/>
    <col min="23" max="23" width="15.33203125" style="17" customWidth="1"/>
    <col min="24" max="24" width="11.44140625" style="17" customWidth="1"/>
    <col min="25" max="25" width="11.5546875" style="17" customWidth="1"/>
    <col min="26" max="16384" width="9.109375" style="17"/>
  </cols>
  <sheetData>
    <row r="1" spans="1:11" ht="18" x14ac:dyDescent="0.25">
      <c r="A1" s="164" t="s">
        <v>470</v>
      </c>
    </row>
    <row r="3" spans="1:11" x14ac:dyDescent="0.25">
      <c r="A3" s="165" t="s">
        <v>471</v>
      </c>
    </row>
    <row r="4" spans="1:11" ht="39.6" x14ac:dyDescent="0.25">
      <c r="C4" s="163"/>
      <c r="D4" s="195" t="s">
        <v>634</v>
      </c>
      <c r="E4" s="195" t="s">
        <v>635</v>
      </c>
      <c r="F4" s="195" t="s">
        <v>636</v>
      </c>
      <c r="G4" s="195" t="s">
        <v>637</v>
      </c>
      <c r="H4" s="195" t="s">
        <v>638</v>
      </c>
      <c r="I4" s="75" t="s">
        <v>473</v>
      </c>
      <c r="J4" s="315" t="s">
        <v>680</v>
      </c>
      <c r="K4" s="315" t="s">
        <v>681</v>
      </c>
    </row>
    <row r="5" spans="1:11" x14ac:dyDescent="0.25">
      <c r="A5" s="143" t="s">
        <v>0</v>
      </c>
      <c r="B5" s="143" t="s">
        <v>313</v>
      </c>
      <c r="C5" s="144" t="s">
        <v>314</v>
      </c>
      <c r="D5" s="99">
        <f>215000+230600*11</f>
        <v>2751600</v>
      </c>
      <c r="E5" s="99">
        <f>149000+161000*11</f>
        <v>1920000</v>
      </c>
      <c r="F5" s="99">
        <f>149000+161000*11</f>
        <v>1920000</v>
      </c>
      <c r="G5" s="99">
        <f>195000+210600*11</f>
        <v>2511600</v>
      </c>
      <c r="H5" s="99">
        <f>169000+181000*8</f>
        <v>1617000</v>
      </c>
      <c r="I5" s="103">
        <f t="shared" ref="I5:I13" si="0">SUM(D5:H5)</f>
        <v>10720200</v>
      </c>
      <c r="J5" s="314">
        <f>215000+230600*6+149000*2+161000*12+195000+210600*6+169000+181000*6</f>
        <v>6542200</v>
      </c>
      <c r="K5" s="314">
        <f>230600*5+161000*10+210600*5+181000*2</f>
        <v>4178000</v>
      </c>
    </row>
    <row r="6" spans="1:11" x14ac:dyDescent="0.25">
      <c r="A6" s="143" t="s">
        <v>6</v>
      </c>
      <c r="B6" s="143" t="s">
        <v>603</v>
      </c>
      <c r="C6" s="144" t="s">
        <v>604</v>
      </c>
      <c r="D6" s="99"/>
      <c r="E6" s="99"/>
      <c r="F6" s="99"/>
      <c r="G6" s="99"/>
      <c r="H6" s="99"/>
      <c r="I6" s="103">
        <f t="shared" si="0"/>
        <v>0</v>
      </c>
    </row>
    <row r="7" spans="1:11" x14ac:dyDescent="0.25">
      <c r="A7" s="143" t="s">
        <v>14</v>
      </c>
      <c r="B7" s="143" t="s">
        <v>315</v>
      </c>
      <c r="C7" s="144" t="s">
        <v>316</v>
      </c>
      <c r="D7" s="99"/>
      <c r="E7" s="99"/>
      <c r="F7" s="99"/>
      <c r="G7" s="99"/>
      <c r="H7" s="99"/>
      <c r="I7" s="103">
        <f t="shared" si="0"/>
        <v>0</v>
      </c>
    </row>
    <row r="8" spans="1:11" x14ac:dyDescent="0.25">
      <c r="A8" s="143" t="s">
        <v>17</v>
      </c>
      <c r="B8" s="143" t="s">
        <v>317</v>
      </c>
      <c r="C8" s="144" t="s">
        <v>318</v>
      </c>
      <c r="D8" s="99"/>
      <c r="E8" s="99"/>
      <c r="F8" s="99"/>
      <c r="G8" s="99"/>
      <c r="H8" s="99"/>
      <c r="I8" s="103">
        <f t="shared" si="0"/>
        <v>0</v>
      </c>
    </row>
    <row r="9" spans="1:11" x14ac:dyDescent="0.25">
      <c r="A9" s="143" t="s">
        <v>34</v>
      </c>
      <c r="B9" s="143" t="s">
        <v>319</v>
      </c>
      <c r="C9" s="144" t="s">
        <v>585</v>
      </c>
      <c r="D9" s="99"/>
      <c r="E9" s="99"/>
      <c r="F9" s="99"/>
      <c r="G9" s="99"/>
      <c r="H9" s="99"/>
      <c r="I9" s="103">
        <f t="shared" si="0"/>
        <v>0</v>
      </c>
    </row>
    <row r="10" spans="1:11" x14ac:dyDescent="0.25">
      <c r="A10" s="143" t="s">
        <v>36</v>
      </c>
      <c r="B10" s="143" t="s">
        <v>320</v>
      </c>
      <c r="C10" s="144" t="s">
        <v>321</v>
      </c>
      <c r="D10" s="99"/>
      <c r="E10" s="99"/>
      <c r="F10" s="99"/>
      <c r="G10" s="99"/>
      <c r="H10" s="99"/>
      <c r="I10" s="103">
        <f t="shared" si="0"/>
        <v>0</v>
      </c>
    </row>
    <row r="11" spans="1:11" x14ac:dyDescent="0.25">
      <c r="A11" s="143" t="s">
        <v>31</v>
      </c>
      <c r="B11" s="143" t="s">
        <v>322</v>
      </c>
      <c r="C11" s="144" t="s">
        <v>323</v>
      </c>
      <c r="D11" s="99"/>
      <c r="E11" s="99"/>
      <c r="F11" s="99"/>
      <c r="G11" s="99"/>
      <c r="H11" s="99"/>
      <c r="I11" s="103">
        <f t="shared" si="0"/>
        <v>0</v>
      </c>
    </row>
    <row r="12" spans="1:11" x14ac:dyDescent="0.25">
      <c r="A12" s="143" t="s">
        <v>18</v>
      </c>
      <c r="B12" s="143" t="s">
        <v>324</v>
      </c>
      <c r="C12" s="144" t="s">
        <v>584</v>
      </c>
      <c r="D12" s="99"/>
      <c r="E12" s="99"/>
      <c r="F12" s="99"/>
      <c r="G12" s="99"/>
      <c r="H12" s="99"/>
      <c r="I12" s="103">
        <f t="shared" si="0"/>
        <v>0</v>
      </c>
    </row>
    <row r="13" spans="1:11" x14ac:dyDescent="0.25">
      <c r="A13" s="143" t="s">
        <v>19</v>
      </c>
      <c r="B13" s="135" t="s">
        <v>461</v>
      </c>
      <c r="C13" s="136" t="s">
        <v>462</v>
      </c>
      <c r="D13" s="97">
        <f>SUM(D5:D12)</f>
        <v>2751600</v>
      </c>
      <c r="E13" s="97">
        <f>SUM(E5:E12)</f>
        <v>1920000</v>
      </c>
      <c r="F13" s="97">
        <f>SUM(F5:F12)</f>
        <v>1920000</v>
      </c>
      <c r="G13" s="97">
        <f>SUM(G5:G12)</f>
        <v>2511600</v>
      </c>
      <c r="H13" s="97">
        <f>SUM(H5:H12)</f>
        <v>1617000</v>
      </c>
      <c r="I13" s="97">
        <f t="shared" si="0"/>
        <v>10720200</v>
      </c>
    </row>
    <row r="14" spans="1:11" x14ac:dyDescent="0.25">
      <c r="A14" s="461"/>
      <c r="B14" s="462"/>
      <c r="C14" s="463"/>
      <c r="D14" s="464"/>
      <c r="E14" s="464"/>
      <c r="F14" s="464"/>
      <c r="G14" s="464"/>
      <c r="H14" s="464"/>
      <c r="I14" s="464"/>
    </row>
    <row r="15" spans="1:11" x14ac:dyDescent="0.25">
      <c r="A15" s="461"/>
      <c r="B15" s="462"/>
      <c r="C15" s="463"/>
      <c r="D15" s="464"/>
      <c r="E15" s="464"/>
      <c r="F15" s="464"/>
      <c r="G15" s="464"/>
      <c r="H15" s="464"/>
      <c r="I15" s="464"/>
    </row>
    <row r="16" spans="1:11" x14ac:dyDescent="0.25">
      <c r="A16" s="165" t="s">
        <v>696</v>
      </c>
    </row>
    <row r="17" spans="1:11" ht="39.6" x14ac:dyDescent="0.25">
      <c r="C17" s="163"/>
      <c r="D17" s="195" t="s">
        <v>634</v>
      </c>
      <c r="E17" s="195" t="s">
        <v>635</v>
      </c>
      <c r="F17" s="195" t="s">
        <v>636</v>
      </c>
      <c r="G17" s="195" t="s">
        <v>637</v>
      </c>
      <c r="H17" s="195" t="s">
        <v>638</v>
      </c>
      <c r="I17" s="75" t="s">
        <v>473</v>
      </c>
      <c r="J17" s="315" t="s">
        <v>680</v>
      </c>
      <c r="K17" s="315" t="s">
        <v>681</v>
      </c>
    </row>
    <row r="18" spans="1:11" x14ac:dyDescent="0.25">
      <c r="A18" s="143" t="s">
        <v>0</v>
      </c>
      <c r="B18" s="143" t="s">
        <v>313</v>
      </c>
      <c r="C18" s="144" t="s">
        <v>314</v>
      </c>
      <c r="D18" s="99">
        <f>215000+230600*11</f>
        <v>2751600</v>
      </c>
      <c r="E18" s="99">
        <f>149000+161000*11</f>
        <v>1920000</v>
      </c>
      <c r="F18" s="99">
        <f>149000+161000*11</f>
        <v>1920000</v>
      </c>
      <c r="G18" s="99">
        <f>195000+210600*11</f>
        <v>2511600</v>
      </c>
      <c r="H18" s="99">
        <f>169000+181000*8</f>
        <v>1617000</v>
      </c>
      <c r="I18" s="103">
        <f t="shared" ref="I18:I26" si="1">SUM(D18:H18)</f>
        <v>10720200</v>
      </c>
      <c r="J18" s="314">
        <f>215000+230600*6+149000*2+161000*12+195000+210600*6+169000+181000*6</f>
        <v>6542200</v>
      </c>
      <c r="K18" s="314">
        <f>230600*5+161000*10+210600*5+181000*2</f>
        <v>4178000</v>
      </c>
    </row>
    <row r="19" spans="1:11" x14ac:dyDescent="0.25">
      <c r="A19" s="143" t="s">
        <v>6</v>
      </c>
      <c r="B19" s="143" t="s">
        <v>603</v>
      </c>
      <c r="C19" s="144" t="s">
        <v>604</v>
      </c>
      <c r="D19" s="99"/>
      <c r="E19" s="99"/>
      <c r="F19" s="99"/>
      <c r="G19" s="99"/>
      <c r="H19" s="99"/>
      <c r="I19" s="103">
        <f t="shared" si="1"/>
        <v>0</v>
      </c>
    </row>
    <row r="20" spans="1:11" x14ac:dyDescent="0.25">
      <c r="A20" s="143" t="s">
        <v>14</v>
      </c>
      <c r="B20" s="143" t="s">
        <v>315</v>
      </c>
      <c r="C20" s="144" t="s">
        <v>316</v>
      </c>
      <c r="D20" s="99"/>
      <c r="E20" s="99"/>
      <c r="F20" s="99"/>
      <c r="G20" s="99"/>
      <c r="H20" s="99"/>
      <c r="I20" s="103">
        <f t="shared" si="1"/>
        <v>0</v>
      </c>
    </row>
    <row r="21" spans="1:11" x14ac:dyDescent="0.25">
      <c r="A21" s="143" t="s">
        <v>17</v>
      </c>
      <c r="B21" s="143" t="s">
        <v>317</v>
      </c>
      <c r="C21" s="144" t="s">
        <v>318</v>
      </c>
      <c r="D21" s="99"/>
      <c r="E21" s="99"/>
      <c r="F21" s="99"/>
      <c r="G21" s="99"/>
      <c r="H21" s="99"/>
      <c r="I21" s="103">
        <f t="shared" si="1"/>
        <v>0</v>
      </c>
    </row>
    <row r="22" spans="1:11" x14ac:dyDescent="0.25">
      <c r="A22" s="143" t="s">
        <v>34</v>
      </c>
      <c r="B22" s="143" t="s">
        <v>319</v>
      </c>
      <c r="C22" s="144" t="s">
        <v>585</v>
      </c>
      <c r="D22" s="99"/>
      <c r="E22" s="99"/>
      <c r="F22" s="99"/>
      <c r="G22" s="99"/>
      <c r="H22" s="99"/>
      <c r="I22" s="103">
        <f t="shared" si="1"/>
        <v>0</v>
      </c>
    </row>
    <row r="23" spans="1:11" x14ac:dyDescent="0.25">
      <c r="A23" s="143" t="s">
        <v>36</v>
      </c>
      <c r="B23" s="143" t="s">
        <v>320</v>
      </c>
      <c r="C23" s="144" t="s">
        <v>321</v>
      </c>
      <c r="D23" s="99"/>
      <c r="E23" s="99"/>
      <c r="F23" s="99"/>
      <c r="G23" s="99"/>
      <c r="H23" s="99"/>
      <c r="I23" s="103">
        <f t="shared" si="1"/>
        <v>0</v>
      </c>
    </row>
    <row r="24" spans="1:11" x14ac:dyDescent="0.25">
      <c r="A24" s="143" t="s">
        <v>31</v>
      </c>
      <c r="B24" s="143" t="s">
        <v>322</v>
      </c>
      <c r="C24" s="144" t="s">
        <v>323</v>
      </c>
      <c r="D24" s="99"/>
      <c r="E24" s="99"/>
      <c r="F24" s="99"/>
      <c r="G24" s="99"/>
      <c r="H24" s="99"/>
      <c r="I24" s="103">
        <f t="shared" si="1"/>
        <v>0</v>
      </c>
    </row>
    <row r="25" spans="1:11" x14ac:dyDescent="0.25">
      <c r="A25" s="143" t="s">
        <v>18</v>
      </c>
      <c r="B25" s="143" t="s">
        <v>324</v>
      </c>
      <c r="C25" s="144" t="s">
        <v>584</v>
      </c>
      <c r="D25" s="99"/>
      <c r="E25" s="99"/>
      <c r="F25" s="99"/>
      <c r="G25" s="99"/>
      <c r="H25" s="99"/>
      <c r="I25" s="103">
        <f t="shared" si="1"/>
        <v>0</v>
      </c>
    </row>
    <row r="26" spans="1:11" x14ac:dyDescent="0.25">
      <c r="A26" s="143" t="s">
        <v>19</v>
      </c>
      <c r="B26" s="135" t="s">
        <v>461</v>
      </c>
      <c r="C26" s="136" t="s">
        <v>462</v>
      </c>
      <c r="D26" s="97">
        <f>SUM(D18:D25)</f>
        <v>2751600</v>
      </c>
      <c r="E26" s="97">
        <f>SUM(E18:E25)</f>
        <v>1920000</v>
      </c>
      <c r="F26" s="97">
        <f>SUM(F18:F25)</f>
        <v>1920000</v>
      </c>
      <c r="G26" s="97">
        <f>SUM(G18:G25)</f>
        <v>2511600</v>
      </c>
      <c r="H26" s="97">
        <f>SUM(H18:H25)</f>
        <v>1617000</v>
      </c>
      <c r="I26" s="97">
        <f t="shared" si="1"/>
        <v>10720200</v>
      </c>
    </row>
    <row r="29" spans="1:11" x14ac:dyDescent="0.25">
      <c r="A29" s="165" t="s">
        <v>472</v>
      </c>
    </row>
    <row r="30" spans="1:11" ht="39.6" x14ac:dyDescent="0.25">
      <c r="D30" s="195" t="s">
        <v>639</v>
      </c>
      <c r="E30" s="195" t="s">
        <v>640</v>
      </c>
      <c r="F30" s="195" t="s">
        <v>641</v>
      </c>
      <c r="G30" s="195" t="s">
        <v>642</v>
      </c>
      <c r="H30" s="195" t="s">
        <v>643</v>
      </c>
      <c r="I30" s="75" t="s">
        <v>473</v>
      </c>
      <c r="J30" s="315"/>
      <c r="K30" s="315"/>
    </row>
    <row r="31" spans="1:11" x14ac:dyDescent="0.25">
      <c r="A31" s="143" t="s">
        <v>0</v>
      </c>
      <c r="B31" s="143" t="s">
        <v>313</v>
      </c>
      <c r="C31" s="144" t="s">
        <v>314</v>
      </c>
      <c r="D31" s="99">
        <f>337995*12</f>
        <v>4055940</v>
      </c>
      <c r="E31" s="99">
        <f>255780+264915*11</f>
        <v>3169845</v>
      </c>
      <c r="F31" s="99">
        <f>219240*12+10000*11</f>
        <v>2740880</v>
      </c>
      <c r="G31" s="99">
        <f>(195000+13650)+(210600+14700)*11</f>
        <v>2686950</v>
      </c>
      <c r="H31" s="99">
        <f>(195000+13650)+(210600+14700)*11</f>
        <v>2686950</v>
      </c>
      <c r="I31" s="103">
        <f t="shared" ref="I31:I39" si="2">SUM(D31:H31)</f>
        <v>15340565</v>
      </c>
      <c r="J31" s="314"/>
      <c r="K31" s="314"/>
    </row>
    <row r="32" spans="1:11" x14ac:dyDescent="0.25">
      <c r="A32" s="143" t="s">
        <v>6</v>
      </c>
      <c r="B32" s="143" t="s">
        <v>603</v>
      </c>
      <c r="C32" s="144" t="s">
        <v>604</v>
      </c>
      <c r="D32" s="99"/>
      <c r="E32" s="99"/>
      <c r="F32" s="99"/>
      <c r="G32" s="99"/>
      <c r="H32" s="196"/>
      <c r="I32" s="103">
        <f t="shared" si="2"/>
        <v>0</v>
      </c>
      <c r="J32" s="314"/>
    </row>
    <row r="33" spans="1:12" x14ac:dyDescent="0.25">
      <c r="A33" s="143" t="s">
        <v>14</v>
      </c>
      <c r="B33" s="143" t="s">
        <v>315</v>
      </c>
      <c r="C33" s="144" t="s">
        <v>316</v>
      </c>
      <c r="D33" s="99"/>
      <c r="E33" s="99"/>
      <c r="F33" s="99"/>
      <c r="G33" s="99"/>
      <c r="H33" s="99"/>
      <c r="I33" s="103">
        <f t="shared" si="2"/>
        <v>0</v>
      </c>
      <c r="J33" s="314"/>
    </row>
    <row r="34" spans="1:12" x14ac:dyDescent="0.25">
      <c r="A34" s="143" t="s">
        <v>17</v>
      </c>
      <c r="B34" s="143" t="s">
        <v>317</v>
      </c>
      <c r="C34" s="144" t="s">
        <v>318</v>
      </c>
      <c r="D34" s="99"/>
      <c r="E34" s="99"/>
      <c r="F34" s="99"/>
      <c r="G34" s="99"/>
      <c r="H34" s="99"/>
      <c r="I34" s="103">
        <f t="shared" si="2"/>
        <v>0</v>
      </c>
      <c r="J34" s="314"/>
    </row>
    <row r="35" spans="1:12" x14ac:dyDescent="0.25">
      <c r="A35" s="143" t="s">
        <v>34</v>
      </c>
      <c r="B35" s="143" t="s">
        <v>319</v>
      </c>
      <c r="C35" s="144" t="s">
        <v>585</v>
      </c>
      <c r="D35" s="99"/>
      <c r="E35" s="99"/>
      <c r="F35" s="99"/>
      <c r="G35" s="99"/>
      <c r="H35" s="99"/>
      <c r="I35" s="103">
        <f t="shared" si="2"/>
        <v>0</v>
      </c>
      <c r="J35" s="314"/>
      <c r="K35" s="314"/>
    </row>
    <row r="36" spans="1:12" x14ac:dyDescent="0.25">
      <c r="A36" s="143" t="s">
        <v>36</v>
      </c>
      <c r="B36" s="143" t="s">
        <v>320</v>
      </c>
      <c r="C36" s="144" t="s">
        <v>321</v>
      </c>
      <c r="D36" s="99">
        <f>5000*12</f>
        <v>60000</v>
      </c>
      <c r="E36" s="99">
        <f>10000*11*0.86</f>
        <v>94600</v>
      </c>
      <c r="F36" s="99">
        <f>5000*12</f>
        <v>60000</v>
      </c>
      <c r="G36" s="99"/>
      <c r="H36" s="99"/>
      <c r="I36" s="103">
        <f t="shared" si="2"/>
        <v>214600</v>
      </c>
      <c r="J36" s="314"/>
    </row>
    <row r="37" spans="1:12" x14ac:dyDescent="0.25">
      <c r="A37" s="143" t="s">
        <v>31</v>
      </c>
      <c r="B37" s="143" t="s">
        <v>322</v>
      </c>
      <c r="C37" s="144" t="s">
        <v>323</v>
      </c>
      <c r="D37" s="99"/>
      <c r="E37" s="99"/>
      <c r="F37" s="99"/>
      <c r="G37" s="99"/>
      <c r="H37" s="99"/>
      <c r="I37" s="103">
        <f t="shared" si="2"/>
        <v>0</v>
      </c>
      <c r="J37" s="314"/>
    </row>
    <row r="38" spans="1:12" x14ac:dyDescent="0.25">
      <c r="A38" s="143" t="s">
        <v>18</v>
      </c>
      <c r="B38" s="143" t="s">
        <v>324</v>
      </c>
      <c r="C38" s="144" t="s">
        <v>598</v>
      </c>
      <c r="D38" s="99"/>
      <c r="E38" s="99"/>
      <c r="F38" s="99"/>
      <c r="G38" s="99"/>
      <c r="H38" s="99"/>
      <c r="I38" s="103">
        <f t="shared" si="2"/>
        <v>0</v>
      </c>
      <c r="J38" s="314"/>
      <c r="K38" s="314"/>
    </row>
    <row r="39" spans="1:12" x14ac:dyDescent="0.25">
      <c r="A39" s="143" t="s">
        <v>19</v>
      </c>
      <c r="B39" s="135" t="s">
        <v>461</v>
      </c>
      <c r="C39" s="136" t="s">
        <v>462</v>
      </c>
      <c r="D39" s="97">
        <f>SUM(D31:D38)</f>
        <v>4115940</v>
      </c>
      <c r="E39" s="97">
        <f>SUM(E31:E38)</f>
        <v>3264445</v>
      </c>
      <c r="F39" s="97">
        <f>SUM(F31:F38)</f>
        <v>2800880</v>
      </c>
      <c r="G39" s="97">
        <f>SUM(G31:G38)</f>
        <v>2686950</v>
      </c>
      <c r="H39" s="97">
        <f>SUM(H31:H38)</f>
        <v>2686950</v>
      </c>
      <c r="I39" s="97">
        <f t="shared" si="2"/>
        <v>15555165</v>
      </c>
      <c r="J39" s="314"/>
    </row>
    <row r="42" spans="1:12" x14ac:dyDescent="0.25">
      <c r="A42" s="165" t="s">
        <v>704</v>
      </c>
    </row>
    <row r="43" spans="1:12" ht="39.6" x14ac:dyDescent="0.25">
      <c r="D43" s="195" t="s">
        <v>639</v>
      </c>
      <c r="E43" s="195" t="s">
        <v>640</v>
      </c>
      <c r="F43" s="195" t="s">
        <v>641</v>
      </c>
      <c r="G43" s="195" t="s">
        <v>642</v>
      </c>
      <c r="H43" s="195" t="s">
        <v>705</v>
      </c>
      <c r="I43" s="195" t="s">
        <v>643</v>
      </c>
      <c r="J43" s="75" t="s">
        <v>473</v>
      </c>
      <c r="K43" s="315" t="s">
        <v>680</v>
      </c>
      <c r="L43" s="315" t="s">
        <v>681</v>
      </c>
    </row>
    <row r="44" spans="1:12" x14ac:dyDescent="0.25">
      <c r="A44" s="143" t="s">
        <v>0</v>
      </c>
      <c r="B44" s="143" t="s">
        <v>313</v>
      </c>
      <c r="C44" s="144" t="s">
        <v>314</v>
      </c>
      <c r="D44" s="96">
        <f>337995*7+374535*5+26492*5</f>
        <v>4371100</v>
      </c>
      <c r="E44" s="99">
        <f>255780+264915*11+26492*5</f>
        <v>3302305</v>
      </c>
      <c r="F44" s="99">
        <f>219240*12+10000*9+21924*5</f>
        <v>2830500</v>
      </c>
      <c r="G44" s="99">
        <f>(195000+13700)+(210600+14700)*11</f>
        <v>2687000</v>
      </c>
      <c r="H44" s="99">
        <f>(210600+14700)*3</f>
        <v>675900</v>
      </c>
      <c r="I44" s="99">
        <f>(195000+13700)+(210600+14700)*2</f>
        <v>659300</v>
      </c>
      <c r="J44" s="103">
        <f>SUM(D44:I44)</f>
        <v>14526105</v>
      </c>
      <c r="K44" s="314">
        <f>337995*7+255780+264915*6+219240*7+10000*4+208700+225300*6+I44</f>
        <v>8005715</v>
      </c>
      <c r="L44" s="314">
        <f>374535*5+26492*5+264915*5+26492*5+10000*5+219240*5+21924*5+225300*5+H44</f>
        <v>6520390</v>
      </c>
    </row>
    <row r="45" spans="1:12" x14ac:dyDescent="0.25">
      <c r="A45" s="143" t="s">
        <v>6</v>
      </c>
      <c r="B45" s="143" t="s">
        <v>603</v>
      </c>
      <c r="C45" s="144" t="s">
        <v>604</v>
      </c>
      <c r="D45" s="99"/>
      <c r="E45" s="99"/>
      <c r="F45" s="99"/>
      <c r="G45" s="99"/>
      <c r="H45" s="99"/>
      <c r="I45" s="196"/>
      <c r="J45" s="103">
        <f t="shared" ref="J45:J52" si="3">SUM(D45:I45)</f>
        <v>0</v>
      </c>
      <c r="K45" s="314"/>
    </row>
    <row r="46" spans="1:12" x14ac:dyDescent="0.25">
      <c r="A46" s="143" t="s">
        <v>14</v>
      </c>
      <c r="B46" s="143" t="s">
        <v>315</v>
      </c>
      <c r="C46" s="144" t="s">
        <v>316</v>
      </c>
      <c r="D46" s="99"/>
      <c r="E46" s="99"/>
      <c r="F46" s="99"/>
      <c r="G46" s="99"/>
      <c r="H46" s="99"/>
      <c r="I46" s="99"/>
      <c r="J46" s="103">
        <f t="shared" si="3"/>
        <v>0</v>
      </c>
      <c r="K46" s="314"/>
    </row>
    <row r="47" spans="1:12" x14ac:dyDescent="0.25">
      <c r="A47" s="143" t="s">
        <v>17</v>
      </c>
      <c r="B47" s="143" t="s">
        <v>317</v>
      </c>
      <c r="C47" s="144" t="s">
        <v>318</v>
      </c>
      <c r="D47" s="99"/>
      <c r="E47" s="99"/>
      <c r="F47" s="99"/>
      <c r="G47" s="99"/>
      <c r="H47" s="99"/>
      <c r="I47" s="99"/>
      <c r="J47" s="103">
        <f t="shared" si="3"/>
        <v>0</v>
      </c>
      <c r="K47" s="314"/>
    </row>
    <row r="48" spans="1:12" x14ac:dyDescent="0.25">
      <c r="A48" s="143" t="s">
        <v>34</v>
      </c>
      <c r="B48" s="143" t="s">
        <v>319</v>
      </c>
      <c r="C48" s="144" t="s">
        <v>585</v>
      </c>
      <c r="D48" s="99"/>
      <c r="E48" s="99"/>
      <c r="F48" s="99"/>
      <c r="G48" s="99"/>
      <c r="H48" s="99"/>
      <c r="I48" s="99"/>
      <c r="J48" s="103">
        <f t="shared" si="3"/>
        <v>0</v>
      </c>
      <c r="K48" s="314"/>
      <c r="L48" s="314"/>
    </row>
    <row r="49" spans="1:12" x14ac:dyDescent="0.25">
      <c r="A49" s="143" t="s">
        <v>36</v>
      </c>
      <c r="B49" s="143" t="s">
        <v>320</v>
      </c>
      <c r="C49" s="144" t="s">
        <v>321</v>
      </c>
      <c r="D49" s="99">
        <f>5000*12</f>
        <v>60000</v>
      </c>
      <c r="E49" s="99">
        <f>10000*11*0.86</f>
        <v>94600</v>
      </c>
      <c r="F49" s="99">
        <f>5000*12</f>
        <v>60000</v>
      </c>
      <c r="G49" s="99"/>
      <c r="H49" s="99"/>
      <c r="I49" s="99"/>
      <c r="J49" s="103">
        <f t="shared" si="3"/>
        <v>214600</v>
      </c>
      <c r="K49" s="314"/>
    </row>
    <row r="50" spans="1:12" x14ac:dyDescent="0.25">
      <c r="A50" s="143" t="s">
        <v>31</v>
      </c>
      <c r="B50" s="143" t="s">
        <v>322</v>
      </c>
      <c r="C50" s="144" t="s">
        <v>323</v>
      </c>
      <c r="D50" s="99"/>
      <c r="E50" s="99"/>
      <c r="F50" s="99"/>
      <c r="G50" s="99"/>
      <c r="H50" s="99"/>
      <c r="I50" s="99"/>
      <c r="J50" s="103">
        <f t="shared" si="3"/>
        <v>0</v>
      </c>
      <c r="K50" s="314"/>
    </row>
    <row r="51" spans="1:12" x14ac:dyDescent="0.25">
      <c r="A51" s="143" t="s">
        <v>18</v>
      </c>
      <c r="B51" s="143" t="s">
        <v>324</v>
      </c>
      <c r="C51" s="144" t="s">
        <v>598</v>
      </c>
      <c r="D51" s="99"/>
      <c r="E51" s="99"/>
      <c r="F51" s="99"/>
      <c r="G51" s="99"/>
      <c r="H51" s="99"/>
      <c r="I51" s="99"/>
      <c r="J51" s="103">
        <f t="shared" si="3"/>
        <v>0</v>
      </c>
      <c r="K51" s="314"/>
      <c r="L51" s="314"/>
    </row>
    <row r="52" spans="1:12" x14ac:dyDescent="0.25">
      <c r="A52" s="143" t="s">
        <v>19</v>
      </c>
      <c r="B52" s="135" t="s">
        <v>461</v>
      </c>
      <c r="C52" s="136" t="s">
        <v>462</v>
      </c>
      <c r="D52" s="97">
        <f t="shared" ref="D52:I52" si="4">SUM(D44:D51)</f>
        <v>4431100</v>
      </c>
      <c r="E52" s="97">
        <f t="shared" si="4"/>
        <v>3396905</v>
      </c>
      <c r="F52" s="97">
        <f t="shared" si="4"/>
        <v>2890500</v>
      </c>
      <c r="G52" s="97">
        <f t="shared" si="4"/>
        <v>2687000</v>
      </c>
      <c r="H52" s="97">
        <f t="shared" si="4"/>
        <v>675900</v>
      </c>
      <c r="I52" s="97">
        <f t="shared" si="4"/>
        <v>659300</v>
      </c>
      <c r="J52" s="97">
        <f t="shared" si="3"/>
        <v>14740705</v>
      </c>
      <c r="K52" s="314"/>
    </row>
    <row r="54" spans="1:12" ht="21" x14ac:dyDescent="0.25">
      <c r="A54" s="170" t="s">
        <v>185</v>
      </c>
    </row>
    <row r="55" spans="1:12" ht="15.75" customHeight="1" x14ac:dyDescent="0.25">
      <c r="A55" s="170"/>
    </row>
    <row r="56" spans="1:12" ht="13.8" thickBot="1" x14ac:dyDescent="0.3">
      <c r="A56" s="165" t="s">
        <v>474</v>
      </c>
    </row>
    <row r="57" spans="1:12" s="163" customFormat="1" ht="40.200000000000003" thickBot="1" x14ac:dyDescent="0.3">
      <c r="D57" s="182" t="s">
        <v>98</v>
      </c>
      <c r="E57" s="183" t="s">
        <v>693</v>
      </c>
      <c r="F57" s="184" t="s">
        <v>694</v>
      </c>
      <c r="G57" s="181" t="s">
        <v>695</v>
      </c>
      <c r="H57" s="182" t="s">
        <v>485</v>
      </c>
      <c r="I57" s="173"/>
      <c r="J57" s="173"/>
      <c r="K57" s="173"/>
      <c r="L57" s="173"/>
    </row>
    <row r="58" spans="1:12" ht="30" customHeight="1" x14ac:dyDescent="0.25">
      <c r="B58" s="794" t="s">
        <v>478</v>
      </c>
      <c r="C58" s="445" t="s">
        <v>668</v>
      </c>
      <c r="D58" s="174">
        <f>19*220*365</f>
        <v>1525700</v>
      </c>
      <c r="E58" s="319">
        <f>D58*0.27*0.63</f>
        <v>259521.57</v>
      </c>
      <c r="F58" s="168">
        <f>D58*0.18*0.2</f>
        <v>54925.200000000004</v>
      </c>
      <c r="G58" s="171">
        <f>D58*0.05*0.17</f>
        <v>12968.45</v>
      </c>
      <c r="H58" s="174">
        <f t="shared" ref="H58:H71" si="5">SUM(E58:G58)</f>
        <v>327415.22000000003</v>
      </c>
      <c r="I58" s="192"/>
      <c r="J58" s="192"/>
      <c r="K58" s="192"/>
      <c r="L58" s="192"/>
    </row>
    <row r="59" spans="1:12" x14ac:dyDescent="0.25">
      <c r="B59" s="795"/>
      <c r="C59" s="446" t="s">
        <v>476</v>
      </c>
      <c r="D59" s="175">
        <f>SUM(D58:D58)</f>
        <v>1525700</v>
      </c>
      <c r="E59" s="187">
        <f>SUM(E58:E58)</f>
        <v>259521.57</v>
      </c>
      <c r="F59" s="187">
        <f>SUM(F58:F58)</f>
        <v>54925.200000000004</v>
      </c>
      <c r="G59" s="187">
        <f>SUM(G58:G58)</f>
        <v>12968.45</v>
      </c>
      <c r="H59" s="175">
        <f t="shared" si="5"/>
        <v>327415.22000000003</v>
      </c>
      <c r="I59" s="193"/>
      <c r="J59" s="193"/>
      <c r="K59" s="193"/>
      <c r="L59" s="193"/>
    </row>
    <row r="60" spans="1:12" ht="26.4" x14ac:dyDescent="0.25">
      <c r="B60" s="795"/>
      <c r="C60" s="447" t="s">
        <v>669</v>
      </c>
      <c r="D60" s="176">
        <f>31*185*252</f>
        <v>1445220</v>
      </c>
      <c r="E60" s="185">
        <f>D60*0.27*0.63</f>
        <v>245831.92200000002</v>
      </c>
      <c r="F60" s="166">
        <f>D60*0.18*0.2</f>
        <v>52027.92</v>
      </c>
      <c r="G60" s="172">
        <f>D60*0.05*0.17</f>
        <v>12284.37</v>
      </c>
      <c r="H60" s="176">
        <f t="shared" si="5"/>
        <v>310144.212</v>
      </c>
      <c r="I60" s="192"/>
      <c r="J60" s="192"/>
      <c r="K60" s="192"/>
      <c r="L60" s="192"/>
    </row>
    <row r="61" spans="1:12" ht="26.4" x14ac:dyDescent="0.25">
      <c r="B61" s="795"/>
      <c r="C61" s="447" t="s">
        <v>675</v>
      </c>
      <c r="D61" s="176">
        <f>11*185*330</f>
        <v>671550</v>
      </c>
      <c r="E61" s="185">
        <f>D61*0.27*0.63</f>
        <v>114230.655</v>
      </c>
      <c r="F61" s="166">
        <f>D61*0.18*0.2</f>
        <v>24175.800000000003</v>
      </c>
      <c r="G61" s="172">
        <f>D61*0.05*0.17</f>
        <v>5708.1750000000002</v>
      </c>
      <c r="H61" s="176">
        <f t="shared" si="5"/>
        <v>144114.63</v>
      </c>
      <c r="I61" s="192"/>
      <c r="J61" s="192"/>
      <c r="K61" s="192"/>
      <c r="L61" s="192"/>
    </row>
    <row r="62" spans="1:12" ht="26.4" x14ac:dyDescent="0.25">
      <c r="B62" s="795"/>
      <c r="C62" s="447" t="s">
        <v>670</v>
      </c>
      <c r="D62" s="176">
        <f>41*185*408</f>
        <v>3094680</v>
      </c>
      <c r="E62" s="185">
        <f>D62*0.27*0.63</f>
        <v>526405.06800000009</v>
      </c>
      <c r="F62" s="166">
        <f>D62*0.18*0.2</f>
        <v>111408.48000000001</v>
      </c>
      <c r="G62" s="172">
        <f>D62*0.05*0.17</f>
        <v>26304.780000000002</v>
      </c>
      <c r="H62" s="176">
        <f t="shared" si="5"/>
        <v>664118.3280000001</v>
      </c>
      <c r="I62" s="192"/>
      <c r="J62" s="192"/>
      <c r="K62" s="192"/>
      <c r="L62" s="192"/>
    </row>
    <row r="63" spans="1:12" ht="13.8" thickBot="1" x14ac:dyDescent="0.3">
      <c r="B63" s="795"/>
      <c r="C63" s="448" t="s">
        <v>477</v>
      </c>
      <c r="D63" s="179">
        <f>SUM(D60:D62)</f>
        <v>5211450</v>
      </c>
      <c r="E63" s="188">
        <f>SUM(E60:E62)</f>
        <v>886467.64500000014</v>
      </c>
      <c r="F63" s="188">
        <f>SUM(F60:F62)</f>
        <v>187612.2</v>
      </c>
      <c r="G63" s="190">
        <f>SUM(G60:G62)</f>
        <v>44297.325000000004</v>
      </c>
      <c r="H63" s="191">
        <f t="shared" si="5"/>
        <v>1118377.1700000002</v>
      </c>
      <c r="I63" s="193"/>
      <c r="J63" s="193"/>
      <c r="K63" s="193"/>
      <c r="L63" s="193"/>
    </row>
    <row r="64" spans="1:12" ht="13.8" thickBot="1" x14ac:dyDescent="0.3">
      <c r="B64" s="796"/>
      <c r="C64" s="449" t="s">
        <v>479</v>
      </c>
      <c r="D64" s="178">
        <f>D59+D63</f>
        <v>6737150</v>
      </c>
      <c r="E64" s="325">
        <f>E59+E63</f>
        <v>1145989.2150000001</v>
      </c>
      <c r="F64" s="327">
        <f>F59+F63</f>
        <v>242537.40000000002</v>
      </c>
      <c r="G64" s="326">
        <f>G59+G63</f>
        <v>57265.775000000009</v>
      </c>
      <c r="H64" s="178">
        <f t="shared" si="5"/>
        <v>1445792.3900000001</v>
      </c>
      <c r="I64" s="194"/>
      <c r="J64" s="194"/>
      <c r="K64" s="194"/>
      <c r="L64" s="194"/>
    </row>
    <row r="65" spans="1:13" ht="30" customHeight="1" x14ac:dyDescent="0.25">
      <c r="B65" s="794" t="s">
        <v>633</v>
      </c>
      <c r="C65" s="447" t="s">
        <v>683</v>
      </c>
      <c r="D65" s="176">
        <f>4*22*350+4*227*400</f>
        <v>394000</v>
      </c>
      <c r="E65" s="186">
        <f t="shared" ref="E65:E70" si="6">D65*0.27*0.63</f>
        <v>67019.399999999994</v>
      </c>
      <c r="F65" s="167">
        <f t="shared" ref="F65:F70" si="7">D65*0.18*0.2</f>
        <v>14184</v>
      </c>
      <c r="G65" s="180">
        <f t="shared" ref="G65:G70" si="8">D65*0.05*0.17</f>
        <v>3349.0000000000005</v>
      </c>
      <c r="H65" s="176">
        <f t="shared" si="5"/>
        <v>84552.4</v>
      </c>
      <c r="I65" s="192"/>
      <c r="J65" s="192"/>
      <c r="K65" s="192"/>
      <c r="L65" s="192"/>
    </row>
    <row r="66" spans="1:13" ht="26.4" x14ac:dyDescent="0.25">
      <c r="B66" s="795"/>
      <c r="C66" s="447" t="s">
        <v>684</v>
      </c>
      <c r="D66" s="176">
        <f>13*22*300+13*163*400</f>
        <v>933400</v>
      </c>
      <c r="E66" s="186">
        <f t="shared" si="6"/>
        <v>158771.34000000003</v>
      </c>
      <c r="F66" s="167">
        <f t="shared" si="7"/>
        <v>33602.400000000001</v>
      </c>
      <c r="G66" s="180">
        <f t="shared" si="8"/>
        <v>7933.9000000000005</v>
      </c>
      <c r="H66" s="176">
        <f t="shared" si="5"/>
        <v>200307.64</v>
      </c>
      <c r="I66" s="192"/>
      <c r="J66" s="192"/>
      <c r="K66" s="192"/>
      <c r="L66" s="192"/>
    </row>
    <row r="67" spans="1:13" ht="26.4" x14ac:dyDescent="0.25">
      <c r="B67" s="795"/>
      <c r="C67" s="447" t="s">
        <v>685</v>
      </c>
      <c r="D67" s="176">
        <f>4*22*350+4*227*400</f>
        <v>394000</v>
      </c>
      <c r="E67" s="186">
        <f t="shared" si="6"/>
        <v>67019.399999999994</v>
      </c>
      <c r="F67" s="167">
        <f t="shared" si="7"/>
        <v>14184</v>
      </c>
      <c r="G67" s="180">
        <f t="shared" si="8"/>
        <v>3349.0000000000005</v>
      </c>
      <c r="H67" s="176">
        <f t="shared" si="5"/>
        <v>84552.4</v>
      </c>
      <c r="I67" s="192"/>
      <c r="J67" s="192"/>
      <c r="K67" s="192"/>
      <c r="L67" s="192"/>
    </row>
    <row r="68" spans="1:13" ht="26.4" x14ac:dyDescent="0.25">
      <c r="B68" s="795"/>
      <c r="C68" s="447" t="s">
        <v>686</v>
      </c>
      <c r="D68" s="176">
        <f>35*22*350+35*227*400</f>
        <v>3447500</v>
      </c>
      <c r="E68" s="186">
        <f t="shared" si="6"/>
        <v>586419.75000000012</v>
      </c>
      <c r="F68" s="167">
        <f t="shared" si="7"/>
        <v>124110</v>
      </c>
      <c r="G68" s="180">
        <f t="shared" si="8"/>
        <v>29303.750000000004</v>
      </c>
      <c r="H68" s="176">
        <f t="shared" si="5"/>
        <v>739833.50000000012</v>
      </c>
      <c r="I68" s="192"/>
      <c r="J68" s="192"/>
      <c r="K68" s="192"/>
      <c r="L68" s="192"/>
    </row>
    <row r="69" spans="1:13" ht="26.4" x14ac:dyDescent="0.25">
      <c r="B69" s="795"/>
      <c r="C69" s="447" t="s">
        <v>687</v>
      </c>
      <c r="D69" s="176">
        <f>26*22*350+26*227*400</f>
        <v>2561000</v>
      </c>
      <c r="E69" s="186">
        <f t="shared" si="6"/>
        <v>435626.1</v>
      </c>
      <c r="F69" s="167">
        <f t="shared" si="7"/>
        <v>92196</v>
      </c>
      <c r="G69" s="180">
        <f t="shared" si="8"/>
        <v>21768.5</v>
      </c>
      <c r="H69" s="176">
        <f t="shared" si="5"/>
        <v>549590.6</v>
      </c>
      <c r="I69" s="192"/>
      <c r="J69" s="192"/>
      <c r="K69" s="192"/>
      <c r="L69" s="192"/>
    </row>
    <row r="70" spans="1:13" ht="23.25" customHeight="1" thickBot="1" x14ac:dyDescent="0.3">
      <c r="B70" s="795"/>
      <c r="C70" s="451" t="s">
        <v>679</v>
      </c>
      <c r="D70" s="453"/>
      <c r="E70" s="186">
        <f t="shared" si="6"/>
        <v>0</v>
      </c>
      <c r="F70" s="167">
        <f t="shared" si="7"/>
        <v>0</v>
      </c>
      <c r="G70" s="180">
        <f t="shared" si="8"/>
        <v>0</v>
      </c>
      <c r="H70" s="176">
        <f t="shared" si="5"/>
        <v>0</v>
      </c>
      <c r="I70" s="192"/>
      <c r="J70" s="192"/>
      <c r="K70" s="192"/>
      <c r="L70" s="192"/>
    </row>
    <row r="71" spans="1:13" ht="21" customHeight="1" thickBot="1" x14ac:dyDescent="0.3">
      <c r="B71" s="796"/>
      <c r="C71" s="449" t="s">
        <v>98</v>
      </c>
      <c r="D71" s="178">
        <f>SUM(D65:D70)</f>
        <v>7729900</v>
      </c>
      <c r="E71" s="189">
        <f>SUM(E65:E70)</f>
        <v>1314855.9900000002</v>
      </c>
      <c r="F71" s="189">
        <f>SUM(F65:F70)</f>
        <v>278276.40000000002</v>
      </c>
      <c r="G71" s="189">
        <f>SUM(G65:G70)</f>
        <v>65704.150000000009</v>
      </c>
      <c r="H71" s="178">
        <f t="shared" si="5"/>
        <v>1658836.54</v>
      </c>
      <c r="I71" s="194"/>
      <c r="J71" s="194"/>
      <c r="K71" s="194"/>
      <c r="L71" s="194"/>
    </row>
    <row r="72" spans="1:13" x14ac:dyDescent="0.25">
      <c r="B72" s="444"/>
    </row>
    <row r="74" spans="1:13" ht="13.8" thickBot="1" x14ac:dyDescent="0.3">
      <c r="A74" s="165" t="s">
        <v>475</v>
      </c>
      <c r="E74" s="173"/>
      <c r="F74" s="173"/>
      <c r="G74" s="173"/>
      <c r="H74" s="173"/>
      <c r="I74" s="173"/>
    </row>
    <row r="75" spans="1:13" ht="13.8" thickBot="1" x14ac:dyDescent="0.3">
      <c r="A75" s="165"/>
      <c r="D75" s="452" t="s">
        <v>98</v>
      </c>
      <c r="E75" s="173"/>
      <c r="F75" s="173"/>
      <c r="G75" s="173"/>
      <c r="H75" s="173"/>
      <c r="I75" s="173"/>
    </row>
    <row r="76" spans="1:13" ht="26.4" x14ac:dyDescent="0.25">
      <c r="A76" s="165"/>
      <c r="B76" s="791" t="s">
        <v>478</v>
      </c>
      <c r="C76" s="455" t="s">
        <v>678</v>
      </c>
      <c r="D76" s="456">
        <f>0*22*400+0*198*430</f>
        <v>0</v>
      </c>
      <c r="E76" s="173"/>
      <c r="F76" s="173"/>
      <c r="G76" s="173"/>
      <c r="H76" s="173"/>
      <c r="I76" s="173"/>
    </row>
    <row r="77" spans="1:13" ht="13.8" thickBot="1" x14ac:dyDescent="0.3">
      <c r="A77" s="165"/>
      <c r="B77" s="792"/>
      <c r="C77" s="458" t="s">
        <v>476</v>
      </c>
      <c r="D77" s="457">
        <f>SUM(D76)</f>
        <v>0</v>
      </c>
      <c r="E77" s="173"/>
      <c r="F77" s="173"/>
      <c r="G77" s="173"/>
      <c r="H77" s="173"/>
      <c r="I77" s="173"/>
    </row>
    <row r="78" spans="1:13" ht="30" customHeight="1" x14ac:dyDescent="0.25">
      <c r="B78" s="792"/>
      <c r="C78" s="450" t="s">
        <v>671</v>
      </c>
      <c r="D78" s="320">
        <f>8*22*150+8*163*175</f>
        <v>254600</v>
      </c>
      <c r="E78" s="87"/>
      <c r="F78" s="87"/>
      <c r="G78" s="87"/>
      <c r="H78" s="87"/>
      <c r="I78" s="87"/>
      <c r="J78" s="87"/>
      <c r="K78" s="87"/>
      <c r="L78" s="87"/>
      <c r="M78" s="87"/>
    </row>
    <row r="79" spans="1:13" ht="26.4" x14ac:dyDescent="0.25">
      <c r="B79" s="792"/>
      <c r="C79" s="447" t="s">
        <v>676</v>
      </c>
      <c r="D79" s="176">
        <f>1*22*189+1*163*217.5</f>
        <v>39610.5</v>
      </c>
      <c r="E79" s="87"/>
      <c r="F79" s="87"/>
      <c r="G79" s="87"/>
      <c r="H79" s="87"/>
      <c r="I79" s="87"/>
      <c r="J79" s="87"/>
      <c r="K79" s="87"/>
      <c r="L79" s="87"/>
      <c r="M79" s="87"/>
    </row>
    <row r="80" spans="1:13" ht="26.4" x14ac:dyDescent="0.25">
      <c r="B80" s="792"/>
      <c r="C80" s="447" t="s">
        <v>672</v>
      </c>
      <c r="D80" s="176">
        <f>4*22*228+4*163*260</f>
        <v>189584</v>
      </c>
      <c r="E80" s="87"/>
      <c r="F80" s="87"/>
      <c r="G80" s="87"/>
      <c r="H80" s="87"/>
      <c r="I80" s="87"/>
      <c r="J80" s="87"/>
      <c r="K80" s="87"/>
      <c r="L80" s="87"/>
      <c r="M80" s="87"/>
    </row>
    <row r="81" spans="1:13" ht="26.4" x14ac:dyDescent="0.25">
      <c r="B81" s="792"/>
      <c r="C81" s="447" t="s">
        <v>673</v>
      </c>
      <c r="D81" s="176">
        <f>21*22*300+21*163*350</f>
        <v>1336650</v>
      </c>
      <c r="E81" s="87"/>
      <c r="F81" s="87"/>
      <c r="G81" s="87"/>
      <c r="H81" s="87"/>
      <c r="I81" s="87"/>
      <c r="J81" s="87"/>
      <c r="K81" s="87"/>
      <c r="L81" s="87"/>
      <c r="M81" s="87"/>
    </row>
    <row r="82" spans="1:13" ht="26.4" x14ac:dyDescent="0.25">
      <c r="B82" s="792"/>
      <c r="C82" s="447" t="s">
        <v>677</v>
      </c>
      <c r="D82" s="176">
        <f>6*22*378+6*163*435</f>
        <v>475326</v>
      </c>
      <c r="E82" s="87"/>
      <c r="F82" s="87"/>
      <c r="G82" s="87"/>
      <c r="H82" s="87"/>
      <c r="I82" s="87"/>
      <c r="J82" s="87"/>
      <c r="K82" s="87"/>
      <c r="L82" s="87"/>
      <c r="M82" s="87"/>
    </row>
    <row r="83" spans="1:13" ht="26.4" x14ac:dyDescent="0.25">
      <c r="B83" s="792"/>
      <c r="C83" s="447" t="s">
        <v>674</v>
      </c>
      <c r="D83" s="176">
        <f>6*22*456+6*163*520</f>
        <v>568752</v>
      </c>
      <c r="E83" s="87"/>
      <c r="F83" s="87"/>
      <c r="G83" s="87"/>
      <c r="H83" s="87"/>
      <c r="I83" s="87"/>
      <c r="J83" s="87"/>
      <c r="K83" s="87"/>
      <c r="L83" s="87"/>
      <c r="M83" s="87"/>
    </row>
    <row r="84" spans="1:13" x14ac:dyDescent="0.25">
      <c r="B84" s="792"/>
      <c r="C84" s="446" t="s">
        <v>477</v>
      </c>
      <c r="D84" s="175">
        <f>SUM(D78:D83)</f>
        <v>2864522.5</v>
      </c>
      <c r="E84" s="87"/>
      <c r="F84" s="87"/>
      <c r="G84" s="87"/>
      <c r="H84" s="87"/>
      <c r="I84" s="87"/>
      <c r="J84" s="87"/>
      <c r="K84" s="87"/>
      <c r="L84" s="87"/>
      <c r="M84" s="87"/>
    </row>
    <row r="85" spans="1:13" ht="13.8" thickBot="1" x14ac:dyDescent="0.3">
      <c r="B85" s="793"/>
      <c r="C85" s="454" t="s">
        <v>479</v>
      </c>
      <c r="D85" s="177">
        <f>D77+D84</f>
        <v>2864522.5</v>
      </c>
      <c r="E85" s="87"/>
      <c r="F85" s="87"/>
      <c r="G85" s="87"/>
      <c r="H85" s="87"/>
      <c r="I85" s="87"/>
      <c r="J85" s="87"/>
      <c r="K85" s="87"/>
      <c r="L85" s="87"/>
      <c r="M85" s="87"/>
    </row>
    <row r="86" spans="1:13" ht="30" customHeight="1" x14ac:dyDescent="0.25">
      <c r="B86" s="791" t="s">
        <v>633</v>
      </c>
      <c r="C86" s="162" t="s">
        <v>688</v>
      </c>
      <c r="D86" s="176">
        <f>4*22*433+4*227*485</f>
        <v>478484</v>
      </c>
      <c r="E86" s="87"/>
      <c r="F86" s="87"/>
      <c r="G86" s="87"/>
      <c r="H86" s="87"/>
      <c r="I86" s="87"/>
      <c r="J86" s="87"/>
      <c r="K86" s="87"/>
      <c r="L86" s="87"/>
      <c r="M86" s="87"/>
    </row>
    <row r="87" spans="1:13" ht="26.4" x14ac:dyDescent="0.25">
      <c r="B87" s="792"/>
      <c r="C87" s="447" t="s">
        <v>689</v>
      </c>
      <c r="D87" s="176">
        <f>13*22*300+13*163*400</f>
        <v>933400</v>
      </c>
      <c r="E87" s="87"/>
      <c r="F87" s="87"/>
      <c r="G87" s="87"/>
      <c r="H87" s="87"/>
      <c r="I87" s="87"/>
      <c r="J87" s="87"/>
      <c r="K87" s="87"/>
      <c r="L87" s="87"/>
      <c r="M87" s="87"/>
    </row>
    <row r="88" spans="1:13" ht="26.4" x14ac:dyDescent="0.25">
      <c r="B88" s="792"/>
      <c r="C88" s="447" t="s">
        <v>690</v>
      </c>
      <c r="D88" s="176">
        <f>4*22*300+4*227*315</f>
        <v>312420</v>
      </c>
      <c r="E88" s="87"/>
      <c r="F88" s="87"/>
      <c r="G88" s="87"/>
      <c r="H88" s="87"/>
      <c r="I88" s="87"/>
      <c r="J88" s="87"/>
      <c r="K88" s="87"/>
      <c r="L88" s="87"/>
      <c r="M88" s="87"/>
    </row>
    <row r="89" spans="1:13" ht="26.4" x14ac:dyDescent="0.25">
      <c r="B89" s="792"/>
      <c r="C89" s="447" t="s">
        <v>691</v>
      </c>
      <c r="D89" s="176">
        <f>35*22*433+35*227*485</f>
        <v>4186735</v>
      </c>
      <c r="E89" s="87"/>
      <c r="F89" s="87"/>
      <c r="G89" s="87"/>
      <c r="H89" s="87"/>
      <c r="I89" s="87"/>
      <c r="J89" s="87"/>
      <c r="K89" s="87"/>
      <c r="L89" s="87"/>
      <c r="M89" s="87"/>
    </row>
    <row r="90" spans="1:13" ht="26.4" x14ac:dyDescent="0.25">
      <c r="B90" s="792"/>
      <c r="C90" s="447" t="s">
        <v>692</v>
      </c>
      <c r="D90" s="176">
        <f>26*22*433+26*227*485</f>
        <v>3110146</v>
      </c>
      <c r="E90" s="87"/>
      <c r="F90" s="87"/>
      <c r="G90" s="87"/>
      <c r="H90" s="87"/>
      <c r="I90" s="87"/>
      <c r="J90" s="87"/>
      <c r="K90" s="87"/>
      <c r="L90" s="87"/>
      <c r="M90" s="87"/>
    </row>
    <row r="91" spans="1:13" x14ac:dyDescent="0.25">
      <c r="B91" s="792"/>
      <c r="C91" s="451" t="s">
        <v>679</v>
      </c>
      <c r="D91" s="453"/>
      <c r="E91" s="87"/>
      <c r="F91" s="87"/>
      <c r="G91" s="87"/>
      <c r="H91" s="87"/>
      <c r="I91" s="87"/>
      <c r="J91" s="87"/>
      <c r="K91" s="87"/>
      <c r="L91" s="87"/>
      <c r="M91" s="87"/>
    </row>
    <row r="92" spans="1:13" ht="13.8" thickBot="1" x14ac:dyDescent="0.3">
      <c r="B92" s="793"/>
      <c r="C92" s="169" t="s">
        <v>480</v>
      </c>
      <c r="D92" s="177">
        <f>SUM(D86:D91)</f>
        <v>9021185</v>
      </c>
      <c r="J92" s="87"/>
      <c r="K92" s="87"/>
      <c r="L92" s="87"/>
      <c r="M92" s="87"/>
    </row>
    <row r="95" spans="1:13" ht="21" x14ac:dyDescent="0.25">
      <c r="A95" s="170" t="s">
        <v>698</v>
      </c>
    </row>
    <row r="96" spans="1:13" ht="15.75" customHeight="1" x14ac:dyDescent="0.25">
      <c r="A96" s="170"/>
    </row>
    <row r="97" spans="1:12" ht="13.8" thickBot="1" x14ac:dyDescent="0.3">
      <c r="A97" s="165" t="s">
        <v>697</v>
      </c>
    </row>
    <row r="98" spans="1:12" s="163" customFormat="1" ht="40.200000000000003" thickBot="1" x14ac:dyDescent="0.3">
      <c r="D98" s="182" t="s">
        <v>98</v>
      </c>
      <c r="E98" s="183" t="s">
        <v>693</v>
      </c>
      <c r="F98" s="184" t="s">
        <v>694</v>
      </c>
      <c r="G98" s="181" t="s">
        <v>695</v>
      </c>
      <c r="H98" s="182" t="s">
        <v>485</v>
      </c>
      <c r="I98" s="173"/>
      <c r="J98" s="173"/>
      <c r="K98" s="173"/>
      <c r="L98" s="173"/>
    </row>
    <row r="99" spans="1:12" ht="30" customHeight="1" x14ac:dyDescent="0.25">
      <c r="B99" s="794" t="s">
        <v>478</v>
      </c>
      <c r="C99" s="445" t="s">
        <v>701</v>
      </c>
      <c r="D99" s="174">
        <f>19*22*400+19*198*430</f>
        <v>1784860</v>
      </c>
      <c r="E99" s="319">
        <f>D99*0.27*0.63</f>
        <v>303604.68599999999</v>
      </c>
      <c r="F99" s="168">
        <f>D99*0.18*0.2</f>
        <v>64254.96</v>
      </c>
      <c r="G99" s="171">
        <f>D99*0.05*0.17</f>
        <v>15171.310000000001</v>
      </c>
      <c r="H99" s="174">
        <f t="shared" ref="H99:H113" si="9">SUM(E99:G99)</f>
        <v>383030.95600000001</v>
      </c>
      <c r="I99" s="192"/>
      <c r="J99" s="192"/>
      <c r="K99" s="192"/>
      <c r="L99" s="192"/>
    </row>
    <row r="100" spans="1:12" x14ac:dyDescent="0.25">
      <c r="B100" s="795"/>
      <c r="C100" s="446" t="s">
        <v>476</v>
      </c>
      <c r="D100" s="175">
        <f>SUM(D99:D99)</f>
        <v>1784860</v>
      </c>
      <c r="E100" s="187">
        <f>SUM(E99:E99)</f>
        <v>303604.68599999999</v>
      </c>
      <c r="F100" s="187">
        <f>SUM(F99:F99)</f>
        <v>64254.96</v>
      </c>
      <c r="G100" s="187">
        <f>SUM(G99:G99)</f>
        <v>15171.310000000001</v>
      </c>
      <c r="H100" s="175">
        <f t="shared" si="9"/>
        <v>383030.95600000001</v>
      </c>
      <c r="I100" s="193"/>
      <c r="J100" s="193"/>
      <c r="K100" s="193"/>
      <c r="L100" s="193"/>
    </row>
    <row r="101" spans="1:12" ht="26.4" x14ac:dyDescent="0.25">
      <c r="B101" s="795"/>
      <c r="C101" s="447" t="s">
        <v>707</v>
      </c>
      <c r="D101" s="176">
        <f>30*22*300+30*163*350</f>
        <v>1909500</v>
      </c>
      <c r="E101" s="185">
        <f>D101*0.27*0.63</f>
        <v>324805.95</v>
      </c>
      <c r="F101" s="166">
        <f>D101*0.18*0.2</f>
        <v>68742</v>
      </c>
      <c r="G101" s="172">
        <f>D101*0.05*0.17</f>
        <v>16230.750000000002</v>
      </c>
      <c r="H101" s="176">
        <f t="shared" si="9"/>
        <v>409778.7</v>
      </c>
      <c r="I101" s="192"/>
      <c r="J101" s="192"/>
      <c r="K101" s="192"/>
      <c r="L101" s="192"/>
    </row>
    <row r="102" spans="1:12" ht="26.4" x14ac:dyDescent="0.25">
      <c r="B102" s="795"/>
      <c r="C102" s="447" t="s">
        <v>675</v>
      </c>
      <c r="D102" s="176">
        <f>11*22*378+11*163*435</f>
        <v>871431</v>
      </c>
      <c r="E102" s="185">
        <f>D102*0.27*0.63</f>
        <v>148230.41310000001</v>
      </c>
      <c r="F102" s="166">
        <f>D102*0.18*0.2</f>
        <v>31371.516</v>
      </c>
      <c r="G102" s="172">
        <f>D102*0.05*0.17</f>
        <v>7407.1635000000015</v>
      </c>
      <c r="H102" s="176">
        <f t="shared" si="9"/>
        <v>187009.0926</v>
      </c>
      <c r="I102" s="192"/>
      <c r="J102" s="192"/>
      <c r="K102" s="192"/>
      <c r="L102" s="192"/>
    </row>
    <row r="103" spans="1:12" ht="26.4" x14ac:dyDescent="0.25">
      <c r="B103" s="795"/>
      <c r="C103" s="447" t="s">
        <v>708</v>
      </c>
      <c r="D103" s="176">
        <f>23*22*456+23*163*520</f>
        <v>2180216</v>
      </c>
      <c r="E103" s="185">
        <f>D103*0.27*0.63</f>
        <v>370854.74160000007</v>
      </c>
      <c r="F103" s="166">
        <f>D103*0.18*0.2</f>
        <v>78487.775999999998</v>
      </c>
      <c r="G103" s="172">
        <f>D103*0.05*0.17</f>
        <v>18531.836000000003</v>
      </c>
      <c r="H103" s="176">
        <f t="shared" si="9"/>
        <v>467874.35360000009</v>
      </c>
      <c r="I103" s="192"/>
      <c r="J103" s="192"/>
      <c r="K103" s="192"/>
      <c r="L103" s="192"/>
    </row>
    <row r="104" spans="1:12" ht="13.8" thickBot="1" x14ac:dyDescent="0.3">
      <c r="B104" s="795"/>
      <c r="C104" s="448" t="s">
        <v>477</v>
      </c>
      <c r="D104" s="179">
        <f>SUM(D101:D103)</f>
        <v>4961147</v>
      </c>
      <c r="E104" s="188">
        <f>SUM(E101:E103)</f>
        <v>843891.10470000003</v>
      </c>
      <c r="F104" s="188">
        <f>SUM(F101:F103)</f>
        <v>178601.29200000002</v>
      </c>
      <c r="G104" s="190">
        <f>SUM(G101:G103)</f>
        <v>42169.749500000005</v>
      </c>
      <c r="H104" s="191">
        <f t="shared" si="9"/>
        <v>1064662.1462000001</v>
      </c>
      <c r="I104" s="193"/>
      <c r="J104" s="193"/>
      <c r="K104" s="193"/>
      <c r="L104" s="193"/>
    </row>
    <row r="105" spans="1:12" ht="13.8" thickBot="1" x14ac:dyDescent="0.3">
      <c r="B105" s="796"/>
      <c r="C105" s="449" t="s">
        <v>479</v>
      </c>
      <c r="D105" s="178">
        <f>D100+D104</f>
        <v>6746007</v>
      </c>
      <c r="E105" s="325">
        <f>E100+E104</f>
        <v>1147495.7907</v>
      </c>
      <c r="F105" s="327">
        <f>F100+F104</f>
        <v>242856.25200000001</v>
      </c>
      <c r="G105" s="326">
        <f>G100+G104</f>
        <v>57341.059500000003</v>
      </c>
      <c r="H105" s="178">
        <f t="shared" si="9"/>
        <v>1447693.1022000001</v>
      </c>
      <c r="I105" s="194"/>
      <c r="J105" s="194"/>
      <c r="K105" s="194"/>
      <c r="L105" s="194"/>
    </row>
    <row r="106" spans="1:12" ht="30" customHeight="1" x14ac:dyDescent="0.25">
      <c r="B106" s="794" t="s">
        <v>633</v>
      </c>
      <c r="C106" s="447" t="s">
        <v>711</v>
      </c>
      <c r="D106" s="176">
        <f>8*22*350+8*227*400</f>
        <v>788000</v>
      </c>
      <c r="E106" s="186">
        <f t="shared" ref="E106:E112" si="10">D106*0.27*0.63</f>
        <v>134038.79999999999</v>
      </c>
      <c r="F106" s="167">
        <f t="shared" ref="F106:F112" si="11">D106*0.18*0.2</f>
        <v>28368</v>
      </c>
      <c r="G106" s="180">
        <f t="shared" ref="G106:G112" si="12">D106*0.05*0.17</f>
        <v>6698.0000000000009</v>
      </c>
      <c r="H106" s="176">
        <f t="shared" si="9"/>
        <v>169104.8</v>
      </c>
      <c r="I106" s="192"/>
      <c r="J106" s="192"/>
      <c r="K106" s="192"/>
      <c r="L106" s="192"/>
    </row>
    <row r="107" spans="1:12" ht="26.4" x14ac:dyDescent="0.25">
      <c r="B107" s="795"/>
      <c r="C107" s="447" t="s">
        <v>710</v>
      </c>
      <c r="D107" s="176">
        <f>6*22*300+6*163*400</f>
        <v>430800</v>
      </c>
      <c r="E107" s="186">
        <f t="shared" si="10"/>
        <v>73279.080000000016</v>
      </c>
      <c r="F107" s="167">
        <f t="shared" si="11"/>
        <v>15508.800000000001</v>
      </c>
      <c r="G107" s="180">
        <f t="shared" si="12"/>
        <v>3661.8</v>
      </c>
      <c r="H107" s="176">
        <f t="shared" si="9"/>
        <v>92449.680000000022</v>
      </c>
      <c r="I107" s="192"/>
      <c r="J107" s="192"/>
      <c r="K107" s="192"/>
      <c r="L107" s="192"/>
    </row>
    <row r="108" spans="1:12" ht="26.4" x14ac:dyDescent="0.25">
      <c r="B108" s="795"/>
      <c r="C108" s="447" t="s">
        <v>709</v>
      </c>
      <c r="D108" s="176">
        <f>3*22*350+3*227*400</f>
        <v>295500</v>
      </c>
      <c r="E108" s="186">
        <f t="shared" si="10"/>
        <v>50264.55</v>
      </c>
      <c r="F108" s="167">
        <f t="shared" si="11"/>
        <v>10638</v>
      </c>
      <c r="G108" s="180">
        <f t="shared" si="12"/>
        <v>2511.75</v>
      </c>
      <c r="H108" s="176">
        <f t="shared" si="9"/>
        <v>63414.3</v>
      </c>
      <c r="I108" s="192"/>
      <c r="J108" s="192"/>
      <c r="K108" s="192"/>
      <c r="L108" s="192"/>
    </row>
    <row r="109" spans="1:12" ht="26.4" x14ac:dyDescent="0.25">
      <c r="B109" s="795"/>
      <c r="C109" s="447" t="s">
        <v>713</v>
      </c>
      <c r="D109" s="176">
        <f>29*22*350+29*227*400</f>
        <v>2856500</v>
      </c>
      <c r="E109" s="186">
        <f t="shared" si="10"/>
        <v>485890.65</v>
      </c>
      <c r="F109" s="167">
        <f t="shared" si="11"/>
        <v>102834</v>
      </c>
      <c r="G109" s="180">
        <f t="shared" si="12"/>
        <v>24280.25</v>
      </c>
      <c r="H109" s="176">
        <f t="shared" si="9"/>
        <v>613004.9</v>
      </c>
      <c r="I109" s="192"/>
      <c r="J109" s="192"/>
      <c r="K109" s="192"/>
      <c r="L109" s="192"/>
    </row>
    <row r="110" spans="1:12" ht="26.4" x14ac:dyDescent="0.25">
      <c r="B110" s="795"/>
      <c r="C110" s="447" t="s">
        <v>712</v>
      </c>
      <c r="D110" s="176">
        <f>22*22*350+22*227*400</f>
        <v>2167000</v>
      </c>
      <c r="E110" s="186">
        <f t="shared" si="10"/>
        <v>368606.7</v>
      </c>
      <c r="F110" s="167">
        <f t="shared" si="11"/>
        <v>78012</v>
      </c>
      <c r="G110" s="180">
        <f t="shared" si="12"/>
        <v>18419.5</v>
      </c>
      <c r="H110" s="176">
        <f t="shared" si="9"/>
        <v>465038.2</v>
      </c>
      <c r="I110" s="192"/>
      <c r="J110" s="192"/>
      <c r="K110" s="192"/>
      <c r="L110" s="192"/>
    </row>
    <row r="111" spans="1:12" ht="26.4" x14ac:dyDescent="0.25">
      <c r="B111" s="795"/>
      <c r="C111" s="451" t="s">
        <v>724</v>
      </c>
      <c r="D111" s="176">
        <f>400*1247+430*244</f>
        <v>603720</v>
      </c>
      <c r="E111" s="186">
        <f t="shared" si="10"/>
        <v>102692.77200000001</v>
      </c>
      <c r="F111" s="167">
        <f t="shared" si="11"/>
        <v>21733.919999999998</v>
      </c>
      <c r="G111" s="180">
        <f t="shared" si="12"/>
        <v>5131.6200000000008</v>
      </c>
      <c r="H111" s="176">
        <f t="shared" si="9"/>
        <v>129558.31200000001</v>
      </c>
      <c r="I111" s="192"/>
      <c r="J111" s="192"/>
      <c r="K111" s="192"/>
      <c r="L111" s="192"/>
    </row>
    <row r="112" spans="1:12" ht="23.25" customHeight="1" thickBot="1" x14ac:dyDescent="0.3">
      <c r="B112" s="795"/>
      <c r="C112" s="451" t="s">
        <v>679</v>
      </c>
      <c r="D112" s="453">
        <v>150000</v>
      </c>
      <c r="E112" s="186">
        <f t="shared" si="10"/>
        <v>25515</v>
      </c>
      <c r="F112" s="167">
        <f t="shared" si="11"/>
        <v>5400</v>
      </c>
      <c r="G112" s="180">
        <f t="shared" si="12"/>
        <v>1275</v>
      </c>
      <c r="H112" s="176">
        <f t="shared" si="9"/>
        <v>32190</v>
      </c>
      <c r="I112" s="192"/>
      <c r="J112" s="192"/>
      <c r="K112" s="192"/>
      <c r="L112" s="192"/>
    </row>
    <row r="113" spans="1:13" ht="21" customHeight="1" thickBot="1" x14ac:dyDescent="0.3">
      <c r="B113" s="796"/>
      <c r="C113" s="449" t="s">
        <v>98</v>
      </c>
      <c r="D113" s="178">
        <f>SUM(D106:D112)</f>
        <v>7291520</v>
      </c>
      <c r="E113" s="189">
        <f>SUM(E106:E112)</f>
        <v>1240287.5520000001</v>
      </c>
      <c r="F113" s="189">
        <f>SUM(F106:F112)</f>
        <v>262494.71999999997</v>
      </c>
      <c r="G113" s="189">
        <f>SUM(G106:G112)</f>
        <v>61977.920000000006</v>
      </c>
      <c r="H113" s="178">
        <f t="shared" si="9"/>
        <v>1564760.192</v>
      </c>
      <c r="I113" s="194"/>
      <c r="J113" s="194"/>
      <c r="K113" s="194"/>
      <c r="L113" s="194"/>
    </row>
    <row r="114" spans="1:13" x14ac:dyDescent="0.25">
      <c r="B114" s="444"/>
    </row>
    <row r="116" spans="1:13" ht="13.8" thickBot="1" x14ac:dyDescent="0.3">
      <c r="A116" s="165" t="s">
        <v>699</v>
      </c>
      <c r="E116" s="173"/>
      <c r="F116" s="173"/>
      <c r="G116" s="173"/>
      <c r="H116" s="173"/>
      <c r="I116" s="173"/>
    </row>
    <row r="117" spans="1:13" ht="13.8" thickBot="1" x14ac:dyDescent="0.3">
      <c r="A117" s="165"/>
      <c r="D117" s="452" t="s">
        <v>98</v>
      </c>
      <c r="E117" s="173"/>
      <c r="F117" s="173"/>
      <c r="G117" s="173"/>
      <c r="H117" s="173"/>
      <c r="I117" s="173"/>
    </row>
    <row r="118" spans="1:13" ht="26.4" x14ac:dyDescent="0.25">
      <c r="A118" s="165"/>
      <c r="B118" s="791" t="s">
        <v>478</v>
      </c>
      <c r="C118" s="455" t="s">
        <v>714</v>
      </c>
      <c r="D118" s="467">
        <f>2*22*400+2*198*430</f>
        <v>187880</v>
      </c>
      <c r="E118" s="173"/>
      <c r="F118" s="173"/>
      <c r="G118" s="173"/>
      <c r="H118" s="173"/>
      <c r="I118" s="173"/>
    </row>
    <row r="119" spans="1:13" ht="13.8" thickBot="1" x14ac:dyDescent="0.3">
      <c r="A119" s="165"/>
      <c r="B119" s="792"/>
      <c r="C119" s="458" t="s">
        <v>476</v>
      </c>
      <c r="D119" s="468">
        <f>SUM(D118)</f>
        <v>187880</v>
      </c>
      <c r="E119" s="173"/>
      <c r="F119" s="173"/>
      <c r="G119" s="173"/>
      <c r="H119" s="173"/>
      <c r="I119" s="173"/>
    </row>
    <row r="120" spans="1:13" ht="30" customHeight="1" x14ac:dyDescent="0.25">
      <c r="B120" s="792"/>
      <c r="C120" s="450" t="s">
        <v>715</v>
      </c>
      <c r="D120" s="320">
        <f>4*22*150+4*163*175</f>
        <v>127300</v>
      </c>
      <c r="E120" s="87"/>
      <c r="F120" s="87"/>
      <c r="G120" s="87"/>
      <c r="H120" s="87"/>
      <c r="I120" s="87"/>
      <c r="J120" s="87"/>
      <c r="K120" s="87"/>
      <c r="L120" s="87"/>
      <c r="M120" s="87"/>
    </row>
    <row r="121" spans="1:13" ht="26.4" x14ac:dyDescent="0.25">
      <c r="B121" s="792"/>
      <c r="C121" s="447" t="s">
        <v>716</v>
      </c>
      <c r="D121" s="176">
        <f>3*22*189+3*163*217.5</f>
        <v>118831.5</v>
      </c>
      <c r="E121" s="87"/>
      <c r="F121" s="87"/>
      <c r="G121" s="87"/>
      <c r="H121" s="87"/>
      <c r="I121" s="87"/>
      <c r="J121" s="87"/>
      <c r="K121" s="87"/>
      <c r="L121" s="87"/>
      <c r="M121" s="87"/>
    </row>
    <row r="122" spans="1:13" ht="26.4" x14ac:dyDescent="0.25">
      <c r="B122" s="792"/>
      <c r="C122" s="447" t="s">
        <v>717</v>
      </c>
      <c r="D122" s="176">
        <f>3*22*228+3*163*260</f>
        <v>142188</v>
      </c>
      <c r="E122" s="87"/>
      <c r="F122" s="87"/>
      <c r="G122" s="87"/>
      <c r="H122" s="87"/>
      <c r="I122" s="87"/>
      <c r="J122" s="87"/>
      <c r="K122" s="87"/>
      <c r="L122" s="87"/>
      <c r="M122" s="87"/>
    </row>
    <row r="123" spans="1:13" ht="26.4" x14ac:dyDescent="0.25">
      <c r="B123" s="792"/>
      <c r="C123" s="447" t="s">
        <v>718</v>
      </c>
      <c r="D123" s="176">
        <f>13*22*300+13*163*350</f>
        <v>827450</v>
      </c>
      <c r="E123" s="87"/>
      <c r="F123" s="87"/>
      <c r="G123" s="87"/>
      <c r="H123" s="87"/>
      <c r="I123" s="87"/>
      <c r="J123" s="87"/>
      <c r="K123" s="87"/>
      <c r="L123" s="87"/>
      <c r="M123" s="87"/>
    </row>
    <row r="124" spans="1:13" ht="26.4" x14ac:dyDescent="0.25">
      <c r="B124" s="792"/>
      <c r="C124" s="447" t="s">
        <v>725</v>
      </c>
      <c r="D124" s="176">
        <f>5*22*378+5*163*435</f>
        <v>396105</v>
      </c>
      <c r="E124" s="87"/>
      <c r="F124" s="87"/>
      <c r="G124" s="87"/>
      <c r="H124" s="87"/>
      <c r="I124" s="87"/>
      <c r="J124" s="87"/>
      <c r="K124" s="87"/>
      <c r="L124" s="87"/>
      <c r="M124" s="87"/>
    </row>
    <row r="125" spans="1:13" ht="26.4" x14ac:dyDescent="0.25">
      <c r="B125" s="792"/>
      <c r="C125" s="447" t="s">
        <v>726</v>
      </c>
      <c r="D125" s="176">
        <f>4*22*456+4*163*520</f>
        <v>379168</v>
      </c>
      <c r="E125" s="87"/>
      <c r="F125" s="87"/>
      <c r="G125" s="87"/>
      <c r="H125" s="87"/>
      <c r="I125" s="87"/>
      <c r="J125" s="87"/>
      <c r="K125" s="87"/>
      <c r="L125" s="87"/>
      <c r="M125" s="87"/>
    </row>
    <row r="126" spans="1:13" x14ac:dyDescent="0.25">
      <c r="B126" s="792"/>
      <c r="C126" s="446" t="s">
        <v>477</v>
      </c>
      <c r="D126" s="175">
        <f>SUM(D120:D125)</f>
        <v>1991042.5</v>
      </c>
      <c r="E126" s="87"/>
      <c r="F126" s="87"/>
      <c r="G126" s="87"/>
      <c r="H126" s="87"/>
      <c r="I126" s="87"/>
      <c r="J126" s="87"/>
      <c r="K126" s="87"/>
      <c r="L126" s="87"/>
      <c r="M126" s="87"/>
    </row>
    <row r="127" spans="1:13" ht="13.8" thickBot="1" x14ac:dyDescent="0.3">
      <c r="B127" s="793"/>
      <c r="C127" s="454" t="s">
        <v>479</v>
      </c>
      <c r="D127" s="177">
        <f>D119+D126</f>
        <v>2178922.5</v>
      </c>
      <c r="E127" s="87"/>
      <c r="F127" s="87"/>
      <c r="G127" s="87"/>
      <c r="H127" s="87"/>
      <c r="I127" s="87"/>
      <c r="J127" s="87"/>
      <c r="K127" s="87"/>
      <c r="L127" s="87"/>
      <c r="M127" s="87"/>
    </row>
    <row r="128" spans="1:13" ht="30" customHeight="1" x14ac:dyDescent="0.25">
      <c r="B128" s="791" t="s">
        <v>633</v>
      </c>
      <c r="C128" s="162" t="s">
        <v>719</v>
      </c>
      <c r="D128" s="176">
        <f>8*22*433+8*227*485</f>
        <v>956968</v>
      </c>
      <c r="E128" s="87"/>
      <c r="F128" s="87"/>
      <c r="G128" s="87"/>
      <c r="H128" s="87"/>
      <c r="I128" s="87"/>
      <c r="J128" s="87"/>
      <c r="K128" s="87"/>
      <c r="L128" s="87"/>
      <c r="M128" s="87"/>
    </row>
    <row r="129" spans="2:13" ht="26.4" x14ac:dyDescent="0.25">
      <c r="B129" s="792"/>
      <c r="C129" s="447" t="s">
        <v>689</v>
      </c>
      <c r="D129" s="176">
        <f>6*22*300+6*163*400</f>
        <v>430800</v>
      </c>
      <c r="E129" s="87"/>
      <c r="F129" s="87"/>
      <c r="G129" s="87"/>
      <c r="H129" s="87"/>
      <c r="I129" s="87"/>
      <c r="J129" s="87"/>
      <c r="K129" s="87"/>
      <c r="L129" s="87"/>
      <c r="M129" s="87"/>
    </row>
    <row r="130" spans="2:13" ht="26.4" x14ac:dyDescent="0.25">
      <c r="B130" s="792"/>
      <c r="C130" s="447" t="s">
        <v>720</v>
      </c>
      <c r="D130" s="176">
        <f>3*22*300+3*227*315</f>
        <v>234315</v>
      </c>
      <c r="E130" s="87"/>
      <c r="F130" s="87"/>
      <c r="G130" s="87"/>
      <c r="H130" s="87"/>
      <c r="I130" s="87"/>
      <c r="J130" s="87"/>
      <c r="K130" s="87"/>
      <c r="L130" s="87"/>
      <c r="M130" s="87"/>
    </row>
    <row r="131" spans="2:13" ht="26.4" x14ac:dyDescent="0.25">
      <c r="B131" s="792"/>
      <c r="C131" s="447" t="s">
        <v>721</v>
      </c>
      <c r="D131" s="176">
        <f>29*22*433+29*227*485</f>
        <v>3469009</v>
      </c>
      <c r="E131" s="87"/>
      <c r="F131" s="87"/>
      <c r="G131" s="87"/>
      <c r="H131" s="87"/>
      <c r="I131" s="87"/>
      <c r="J131" s="87"/>
      <c r="K131" s="87"/>
      <c r="L131" s="87"/>
      <c r="M131" s="87"/>
    </row>
    <row r="132" spans="2:13" ht="26.4" x14ac:dyDescent="0.25">
      <c r="B132" s="792"/>
      <c r="C132" s="447" t="s">
        <v>722</v>
      </c>
      <c r="D132" s="176">
        <f>22*22*433+22*227*485</f>
        <v>2631662</v>
      </c>
      <c r="E132" s="87"/>
      <c r="F132" s="87"/>
      <c r="G132" s="87"/>
      <c r="H132" s="87"/>
      <c r="I132" s="87"/>
      <c r="J132" s="87"/>
      <c r="K132" s="87"/>
      <c r="L132" s="87"/>
      <c r="M132" s="87"/>
    </row>
    <row r="133" spans="2:13" x14ac:dyDescent="0.25">
      <c r="B133" s="792"/>
      <c r="C133" s="451" t="s">
        <v>723</v>
      </c>
      <c r="D133" s="176">
        <v>800465</v>
      </c>
      <c r="E133" s="87"/>
      <c r="F133" s="87"/>
      <c r="G133" s="87"/>
      <c r="H133" s="87"/>
      <c r="I133" s="87"/>
      <c r="J133" s="87"/>
      <c r="K133" s="87"/>
      <c r="L133" s="87"/>
      <c r="M133" s="87"/>
    </row>
    <row r="134" spans="2:13" x14ac:dyDescent="0.25">
      <c r="B134" s="792"/>
      <c r="C134" s="451" t="s">
        <v>700</v>
      </c>
      <c r="D134" s="453">
        <v>300000</v>
      </c>
      <c r="E134" s="87"/>
      <c r="F134" s="87"/>
      <c r="G134" s="87"/>
      <c r="H134" s="87"/>
      <c r="I134" s="87"/>
      <c r="J134" s="87"/>
      <c r="K134" s="87"/>
      <c r="L134" s="87"/>
      <c r="M134" s="87"/>
    </row>
    <row r="135" spans="2:13" ht="13.8" thickBot="1" x14ac:dyDescent="0.3">
      <c r="B135" s="793"/>
      <c r="C135" s="169" t="s">
        <v>480</v>
      </c>
      <c r="D135" s="177">
        <f>SUM(D128:D134)</f>
        <v>8823219</v>
      </c>
      <c r="J135" s="87"/>
      <c r="K135" s="87"/>
      <c r="L135" s="87"/>
      <c r="M135" s="87"/>
    </row>
  </sheetData>
  <mergeCells count="8">
    <mergeCell ref="B118:B127"/>
    <mergeCell ref="B128:B135"/>
    <mergeCell ref="B86:B92"/>
    <mergeCell ref="B58:B64"/>
    <mergeCell ref="B65:B71"/>
    <mergeCell ref="B76:B85"/>
    <mergeCell ref="B99:B105"/>
    <mergeCell ref="B106:B11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view="pageBreakPreview" topLeftCell="K1" zoomScale="80" zoomScaleNormal="100" workbookViewId="0">
      <selection activeCell="P10" sqref="P10:Q10"/>
    </sheetView>
  </sheetViews>
  <sheetFormatPr defaultRowHeight="13.2" x14ac:dyDescent="0.25"/>
  <cols>
    <col min="1" max="1" width="30.6640625" customWidth="1"/>
    <col min="2" max="25" width="15.109375" customWidth="1"/>
  </cols>
  <sheetData>
    <row r="1" spans="1:2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7" x14ac:dyDescent="0.25">
      <c r="A2" s="580" t="s">
        <v>151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580"/>
      <c r="R2" s="580"/>
      <c r="S2" s="580"/>
      <c r="T2" s="580"/>
      <c r="U2" s="580"/>
      <c r="V2" s="580"/>
      <c r="W2" s="580"/>
      <c r="X2" s="580"/>
      <c r="Y2" s="14"/>
    </row>
    <row r="3" spans="1:2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7" ht="21" x14ac:dyDescent="0.4">
      <c r="A4" s="581" t="s">
        <v>788</v>
      </c>
      <c r="B4" s="593"/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  <c r="W4" s="593"/>
      <c r="X4" s="593"/>
      <c r="Y4" s="379"/>
      <c r="Z4" s="2"/>
      <c r="AA4" s="2"/>
    </row>
    <row r="5" spans="1:27" s="13" customFormat="1" ht="18" x14ac:dyDescent="0.35">
      <c r="A5" s="581" t="s">
        <v>532</v>
      </c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376"/>
    </row>
    <row r="6" spans="1:27" ht="17.399999999999999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2"/>
      <c r="AA6" s="2"/>
    </row>
    <row r="7" spans="1:27" ht="18.75" customHeight="1" thickBo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W7" s="246"/>
      <c r="X7" s="246"/>
      <c r="Y7" s="246" t="s">
        <v>569</v>
      </c>
      <c r="Z7" s="2"/>
      <c r="AA7" s="2"/>
    </row>
    <row r="8" spans="1:27" ht="24.75" customHeight="1" x14ac:dyDescent="0.25">
      <c r="A8" s="594" t="s">
        <v>1</v>
      </c>
      <c r="B8" s="568" t="s">
        <v>25</v>
      </c>
      <c r="C8" s="569"/>
      <c r="D8" s="569"/>
      <c r="E8" s="569"/>
      <c r="F8" s="569"/>
      <c r="G8" s="569"/>
      <c r="H8" s="569"/>
      <c r="I8" s="569"/>
      <c r="J8" s="569"/>
      <c r="K8" s="569"/>
      <c r="L8" s="569"/>
      <c r="M8" s="592"/>
      <c r="N8" s="588" t="s">
        <v>26</v>
      </c>
      <c r="O8" s="589"/>
      <c r="P8" s="589"/>
      <c r="Q8" s="589"/>
      <c r="R8" s="589"/>
      <c r="S8" s="589"/>
      <c r="T8" s="589"/>
      <c r="U8" s="590"/>
      <c r="V8" s="600" t="s">
        <v>442</v>
      </c>
      <c r="W8" s="601"/>
      <c r="X8" s="596" t="s">
        <v>27</v>
      </c>
      <c r="Y8" s="597"/>
    </row>
    <row r="9" spans="1:27" ht="78" customHeight="1" x14ac:dyDescent="0.25">
      <c r="A9" s="595"/>
      <c r="B9" s="587" t="s">
        <v>28</v>
      </c>
      <c r="C9" s="572"/>
      <c r="D9" s="571" t="s">
        <v>166</v>
      </c>
      <c r="E9" s="572"/>
      <c r="F9" s="571" t="s">
        <v>125</v>
      </c>
      <c r="G9" s="572"/>
      <c r="H9" s="571" t="s">
        <v>126</v>
      </c>
      <c r="I9" s="572"/>
      <c r="J9" s="571" t="s">
        <v>127</v>
      </c>
      <c r="K9" s="572"/>
      <c r="L9" s="571" t="s">
        <v>521</v>
      </c>
      <c r="M9" s="591"/>
      <c r="N9" s="579" t="s">
        <v>30</v>
      </c>
      <c r="O9" s="558"/>
      <c r="P9" s="557" t="s">
        <v>70</v>
      </c>
      <c r="Q9" s="558"/>
      <c r="R9" s="557" t="s">
        <v>574</v>
      </c>
      <c r="S9" s="558"/>
      <c r="T9" s="557" t="s">
        <v>522</v>
      </c>
      <c r="U9" s="567"/>
      <c r="V9" s="602"/>
      <c r="W9" s="603"/>
      <c r="X9" s="598"/>
      <c r="Y9" s="599"/>
    </row>
    <row r="10" spans="1:27" ht="36" customHeight="1" x14ac:dyDescent="0.25">
      <c r="A10" s="380"/>
      <c r="B10" s="397" t="s">
        <v>625</v>
      </c>
      <c r="C10" s="389" t="s">
        <v>626</v>
      </c>
      <c r="D10" s="389" t="s">
        <v>625</v>
      </c>
      <c r="E10" s="389" t="s">
        <v>626</v>
      </c>
      <c r="F10" s="389" t="s">
        <v>625</v>
      </c>
      <c r="G10" s="389" t="s">
        <v>626</v>
      </c>
      <c r="H10" s="389" t="s">
        <v>625</v>
      </c>
      <c r="I10" s="389" t="s">
        <v>626</v>
      </c>
      <c r="J10" s="389" t="s">
        <v>625</v>
      </c>
      <c r="K10" s="389" t="s">
        <v>626</v>
      </c>
      <c r="L10" s="389" t="s">
        <v>625</v>
      </c>
      <c r="M10" s="434" t="s">
        <v>626</v>
      </c>
      <c r="N10" s="397" t="s">
        <v>625</v>
      </c>
      <c r="O10" s="389" t="s">
        <v>626</v>
      </c>
      <c r="P10" s="389" t="s">
        <v>625</v>
      </c>
      <c r="Q10" s="389" t="s">
        <v>626</v>
      </c>
      <c r="R10" s="389" t="s">
        <v>625</v>
      </c>
      <c r="S10" s="389" t="s">
        <v>626</v>
      </c>
      <c r="T10" s="389" t="s">
        <v>625</v>
      </c>
      <c r="U10" s="392" t="s">
        <v>626</v>
      </c>
      <c r="V10" s="441" t="s">
        <v>625</v>
      </c>
      <c r="W10" s="442" t="s">
        <v>626</v>
      </c>
      <c r="X10" s="443" t="s">
        <v>625</v>
      </c>
      <c r="Y10" s="434" t="s">
        <v>626</v>
      </c>
    </row>
    <row r="11" spans="1:27" s="6" customFormat="1" ht="36" customHeight="1" x14ac:dyDescent="0.25">
      <c r="A11" s="16" t="s">
        <v>740</v>
      </c>
      <c r="B11" s="432">
        <f>'18.m. Konyha rovat+cofog'!J58</f>
        <v>10720200</v>
      </c>
      <c r="C11" s="198">
        <f>'18.m. Konyha rovat+cofog'!K58</f>
        <v>10870200</v>
      </c>
      <c r="D11" s="198">
        <f>'18.m. Konyha rovat+cofog'!J62</f>
        <v>1876034.9999999998</v>
      </c>
      <c r="E11" s="198">
        <f>'18.m. Konyha rovat+cofog'!K62</f>
        <v>1876035</v>
      </c>
      <c r="F11" s="198">
        <f>'18.m. Konyha rovat+cofog'!J88</f>
        <v>23449138.93</v>
      </c>
      <c r="G11" s="198">
        <f>'18.m. Konyha rovat+cofog'!K88</f>
        <v>26952168.694200002</v>
      </c>
      <c r="H11" s="198"/>
      <c r="I11" s="199"/>
      <c r="J11" s="199"/>
      <c r="K11" s="199"/>
      <c r="L11" s="199"/>
      <c r="M11" s="201"/>
      <c r="N11" s="432">
        <f>'18.m. Konyha rovat+cofog'!J95</f>
        <v>0</v>
      </c>
      <c r="O11" s="198">
        <f>'18.m. Konyha rovat+cofog'!K95</f>
        <v>889000</v>
      </c>
      <c r="P11" s="198"/>
      <c r="Q11" s="198"/>
      <c r="R11" s="198"/>
      <c r="S11" s="198"/>
      <c r="T11" s="198"/>
      <c r="U11" s="386"/>
      <c r="V11" s="432"/>
      <c r="W11" s="201"/>
      <c r="X11" s="439">
        <f>B11+D11+F11+H11+J11+L11+N11+P11+R11+T11+V11</f>
        <v>36045373.93</v>
      </c>
      <c r="Y11" s="436">
        <f t="shared" ref="X11:Y13" si="0">C11+E11+G11+I11+K11+M11+O11+Q11+S11+U11+W11</f>
        <v>40587403.694200002</v>
      </c>
    </row>
    <row r="12" spans="1:27" s="6" customFormat="1" ht="36" customHeight="1" x14ac:dyDescent="0.25">
      <c r="A12" s="18" t="s">
        <v>770</v>
      </c>
      <c r="B12" s="432">
        <f>'17.m. Óvoda rovat+cofog'!J54</f>
        <v>15555165</v>
      </c>
      <c r="C12" s="198">
        <f>'17.m. Óvoda rovat+cofog'!K54</f>
        <v>14640165</v>
      </c>
      <c r="D12" s="198">
        <f>'17.m. Óvoda rovat+cofog'!J58</f>
        <v>2684598.875</v>
      </c>
      <c r="E12" s="198">
        <f>'17.m. Óvoda rovat+cofog'!K58</f>
        <v>2434598.5750000002</v>
      </c>
      <c r="F12" s="198">
        <f>'17.m. Óvoda rovat+cofog'!J83</f>
        <v>2455569</v>
      </c>
      <c r="G12" s="198">
        <f>'17.m. Óvoda rovat+cofog'!K83</f>
        <v>2065569</v>
      </c>
      <c r="H12" s="198"/>
      <c r="I12" s="198"/>
      <c r="J12" s="198"/>
      <c r="K12" s="385"/>
      <c r="L12" s="440"/>
      <c r="M12" s="438"/>
      <c r="N12" s="432">
        <f>('17.m. Óvoda rovat+cofog'!J90+'17.m. Óvoda rovat+cofog'!J91)</f>
        <v>444500</v>
      </c>
      <c r="O12" s="198">
        <f>('17.m. Óvoda rovat+cofog'!K90+'17.m. Óvoda rovat+cofog'!K91)</f>
        <v>624500</v>
      </c>
      <c r="P12" s="198">
        <f>'17.m. Óvoda rovat+cofog'!J92</f>
        <v>0</v>
      </c>
      <c r="Q12" s="198">
        <f>'17.m. Óvoda rovat+cofog'!K92</f>
        <v>0</v>
      </c>
      <c r="R12" s="198">
        <v>0</v>
      </c>
      <c r="S12" s="198">
        <v>0</v>
      </c>
      <c r="T12" s="198"/>
      <c r="U12" s="386"/>
      <c r="V12" s="432">
        <f>'17.m. Óvoda rovat+cofog'!J93</f>
        <v>0</v>
      </c>
      <c r="W12" s="201"/>
      <c r="X12" s="439">
        <f t="shared" si="0"/>
        <v>21139832.875</v>
      </c>
      <c r="Y12" s="436">
        <f t="shared" si="0"/>
        <v>19764832.574999999</v>
      </c>
    </row>
    <row r="13" spans="1:27" s="7" customFormat="1" ht="36" customHeight="1" x14ac:dyDescent="0.25">
      <c r="A13" s="31" t="s">
        <v>23</v>
      </c>
      <c r="B13" s="432">
        <f>'16.m. Önk. rovat+cofog'!AX82</f>
        <v>24182340</v>
      </c>
      <c r="C13" s="198">
        <f>'16.m. Önk. rovat+cofog'!AY82</f>
        <v>24309559</v>
      </c>
      <c r="D13" s="198">
        <f>'16.m. Önk. rovat+cofog'!AX87</f>
        <v>3046664.25</v>
      </c>
      <c r="E13" s="198">
        <f>'16.m. Önk. rovat+cofog'!AY87</f>
        <v>3046663.5</v>
      </c>
      <c r="F13" s="198">
        <f>'16.m. Önk. rovat+cofog'!AX114</f>
        <v>26584213.740000002</v>
      </c>
      <c r="G13" s="198">
        <f>'16.m. Önk. rovat+cofog'!AY114</f>
        <v>26096404.039999999</v>
      </c>
      <c r="H13" s="198">
        <f>'16.m. Önk. rovat+cofog'!AX116</f>
        <v>400000</v>
      </c>
      <c r="I13" s="198">
        <f>'16.m. Önk. rovat+cofog'!AY116</f>
        <v>400000</v>
      </c>
      <c r="J13" s="199">
        <f>('16.m. Önk. rovat+cofog'!AX124-'16.m. Önk. rovat+cofog'!AX123)</f>
        <v>1850000</v>
      </c>
      <c r="K13" s="199">
        <f>('16.m. Önk. rovat+cofog'!AY124-'16.m. Önk. rovat+cofog'!AY123)</f>
        <v>2450000</v>
      </c>
      <c r="L13" s="199">
        <f>'16.m. Önk. rovat+cofog'!AX123</f>
        <v>0</v>
      </c>
      <c r="M13" s="199">
        <f>1200000+14087763+267619</f>
        <v>15555382</v>
      </c>
      <c r="N13" s="432">
        <f>('16.m. Önk. rovat+cofog'!AX130+'16.m. Önk. rovat+cofog'!AX135)</f>
        <v>46260011.880000003</v>
      </c>
      <c r="O13" s="198">
        <f>('16.m. Önk. rovat+cofog'!AY130+'16.m. Önk. rovat+cofog'!AY135)</f>
        <v>48204377.829999998</v>
      </c>
      <c r="P13" s="198">
        <f>'16.m. Önk. rovat+cofog'!AX139</f>
        <v>0</v>
      </c>
      <c r="Q13" s="198">
        <f>'16.m. Önk. rovat+cofog'!AY139</f>
        <v>219350</v>
      </c>
      <c r="R13" s="198">
        <f>'16.m. Önk. rovat+cofog'!AX141</f>
        <v>2731169</v>
      </c>
      <c r="S13" s="198">
        <f>'16.m. Önk. rovat+cofog'!AY141</f>
        <v>2731169</v>
      </c>
      <c r="T13" s="198"/>
      <c r="U13" s="199">
        <v>32593969</v>
      </c>
      <c r="V13" s="432">
        <f>'16.m. Önk. rovat+cofog'!AX142</f>
        <v>41908202</v>
      </c>
      <c r="W13" s="201">
        <f>'16.m. Önk. rovat+cofog'!AY142</f>
        <v>40792305.25</v>
      </c>
      <c r="X13" s="439">
        <f t="shared" si="0"/>
        <v>146962600.87</v>
      </c>
      <c r="Y13" s="436">
        <f t="shared" si="0"/>
        <v>196399179.62</v>
      </c>
    </row>
    <row r="14" spans="1:27" s="6" customFormat="1" ht="36" customHeight="1" thickBot="1" x14ac:dyDescent="0.3">
      <c r="A14" s="32" t="s">
        <v>769</v>
      </c>
      <c r="B14" s="433">
        <f t="shared" ref="B14:X14" si="1">SUM(B11:B13)</f>
        <v>50457705</v>
      </c>
      <c r="C14" s="203">
        <f t="shared" si="1"/>
        <v>49819924</v>
      </c>
      <c r="D14" s="203">
        <f t="shared" si="1"/>
        <v>7607298.125</v>
      </c>
      <c r="E14" s="203">
        <f t="shared" si="1"/>
        <v>7357297.0750000002</v>
      </c>
      <c r="F14" s="203">
        <f t="shared" si="1"/>
        <v>52488921.670000002</v>
      </c>
      <c r="G14" s="203">
        <f t="shared" si="1"/>
        <v>55114141.734200001</v>
      </c>
      <c r="H14" s="203">
        <f t="shared" si="1"/>
        <v>400000</v>
      </c>
      <c r="I14" s="203">
        <f t="shared" si="1"/>
        <v>400000</v>
      </c>
      <c r="J14" s="203">
        <f t="shared" si="1"/>
        <v>1850000</v>
      </c>
      <c r="K14" s="203">
        <f t="shared" si="1"/>
        <v>2450000</v>
      </c>
      <c r="L14" s="203">
        <f t="shared" si="1"/>
        <v>0</v>
      </c>
      <c r="M14" s="203">
        <f t="shared" si="1"/>
        <v>15555382</v>
      </c>
      <c r="N14" s="433">
        <f t="shared" si="1"/>
        <v>46704511.880000003</v>
      </c>
      <c r="O14" s="203">
        <f t="shared" si="1"/>
        <v>49717877.829999998</v>
      </c>
      <c r="P14" s="203">
        <f t="shared" si="1"/>
        <v>0</v>
      </c>
      <c r="Q14" s="203">
        <f t="shared" si="1"/>
        <v>219350</v>
      </c>
      <c r="R14" s="203">
        <f t="shared" si="1"/>
        <v>2731169</v>
      </c>
      <c r="S14" s="203">
        <f t="shared" si="1"/>
        <v>2731169</v>
      </c>
      <c r="T14" s="203">
        <f t="shared" si="1"/>
        <v>0</v>
      </c>
      <c r="U14" s="247">
        <f t="shared" si="1"/>
        <v>32593969</v>
      </c>
      <c r="V14" s="204">
        <f t="shared" si="1"/>
        <v>41908202</v>
      </c>
      <c r="W14" s="205">
        <f t="shared" si="1"/>
        <v>40792305.25</v>
      </c>
      <c r="X14" s="433">
        <f t="shared" si="1"/>
        <v>204147807.67500001</v>
      </c>
      <c r="Y14" s="205">
        <f>SUM(Y11:Y13)</f>
        <v>256751415.8892</v>
      </c>
    </row>
    <row r="16" spans="1:27" x14ac:dyDescent="0.25">
      <c r="P16" s="1"/>
      <c r="Q16" s="1"/>
      <c r="R16" s="1"/>
      <c r="S16" s="1"/>
      <c r="T16" s="1"/>
      <c r="U16" s="1"/>
      <c r="V16" s="1"/>
      <c r="W16" s="1"/>
      <c r="X16" s="1"/>
      <c r="Y16" s="1"/>
    </row>
  </sheetData>
  <mergeCells count="18">
    <mergeCell ref="A2:X2"/>
    <mergeCell ref="A4:X4"/>
    <mergeCell ref="A8:A9"/>
    <mergeCell ref="A5:X5"/>
    <mergeCell ref="X8:Y9"/>
    <mergeCell ref="V8:W9"/>
    <mergeCell ref="J9:K9"/>
    <mergeCell ref="H9:I9"/>
    <mergeCell ref="F9:G9"/>
    <mergeCell ref="D9:E9"/>
    <mergeCell ref="B9:C9"/>
    <mergeCell ref="N8:U8"/>
    <mergeCell ref="R9:S9"/>
    <mergeCell ref="N9:O9"/>
    <mergeCell ref="L9:M9"/>
    <mergeCell ref="B8:M8"/>
    <mergeCell ref="P9:Q9"/>
    <mergeCell ref="T9:U9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2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topLeftCell="A7" zoomScale="90" zoomScaleNormal="100" workbookViewId="0">
      <selection activeCell="L19" sqref="L19"/>
    </sheetView>
  </sheetViews>
  <sheetFormatPr defaultColWidth="9.109375" defaultRowHeight="13.2" x14ac:dyDescent="0.25"/>
  <cols>
    <col min="1" max="1" width="4.44140625" style="41" customWidth="1"/>
    <col min="2" max="2" width="35.33203125" style="21" customWidth="1"/>
    <col min="3" max="3" width="16.5546875" style="21" bestFit="1" customWidth="1"/>
    <col min="4" max="4" width="16.5546875" style="21" customWidth="1"/>
    <col min="5" max="5" width="30.88671875" style="21" customWidth="1"/>
    <col min="6" max="7" width="15.88671875" style="21" customWidth="1"/>
    <col min="8" max="8" width="9.109375" style="21"/>
    <col min="9" max="9" width="15.33203125" style="21" bestFit="1" customWidth="1"/>
    <col min="10" max="16384" width="9.109375" style="21"/>
  </cols>
  <sheetData>
    <row r="1" spans="1:7" x14ac:dyDescent="0.25">
      <c r="A1" s="11"/>
      <c r="B1" s="580" t="s">
        <v>133</v>
      </c>
      <c r="C1" s="580"/>
      <c r="D1" s="580"/>
      <c r="E1" s="580"/>
      <c r="F1" s="611"/>
      <c r="G1" s="58"/>
    </row>
    <row r="2" spans="1:7" x14ac:dyDescent="0.25">
      <c r="A2" s="11"/>
      <c r="B2" s="13"/>
      <c r="C2" s="13"/>
      <c r="D2" s="13"/>
      <c r="E2" s="13"/>
      <c r="F2" s="13"/>
      <c r="G2" s="13"/>
    </row>
    <row r="3" spans="1:7" ht="42.75" customHeight="1" x14ac:dyDescent="0.25">
      <c r="A3" s="11"/>
      <c r="B3" s="612" t="s">
        <v>789</v>
      </c>
      <c r="C3" s="612"/>
      <c r="D3" s="612"/>
      <c r="E3" s="612"/>
      <c r="F3" s="612"/>
      <c r="G3" s="236"/>
    </row>
    <row r="4" spans="1:7" ht="21" customHeight="1" x14ac:dyDescent="0.25">
      <c r="A4" s="11"/>
      <c r="B4" s="612" t="s">
        <v>533</v>
      </c>
      <c r="C4" s="612"/>
      <c r="D4" s="612"/>
      <c r="E4" s="612"/>
      <c r="F4" s="612"/>
      <c r="G4" s="236"/>
    </row>
    <row r="5" spans="1:7" ht="15.75" customHeight="1" x14ac:dyDescent="0.25">
      <c r="A5" s="11"/>
      <c r="B5" s="236"/>
      <c r="C5" s="236"/>
      <c r="D5" s="236"/>
      <c r="E5" s="236"/>
      <c r="F5" s="236"/>
      <c r="G5" s="236"/>
    </row>
    <row r="6" spans="1:7" x14ac:dyDescent="0.25">
      <c r="A6" s="11"/>
      <c r="B6" s="13"/>
      <c r="C6" s="13"/>
      <c r="D6" s="13"/>
      <c r="E6" s="13"/>
      <c r="F6" s="13"/>
      <c r="G6" s="13"/>
    </row>
    <row r="7" spans="1:7" ht="15.6" x14ac:dyDescent="0.3">
      <c r="A7" s="109" t="s">
        <v>0</v>
      </c>
      <c r="B7" s="613" t="s">
        <v>771</v>
      </c>
      <c r="C7" s="613"/>
      <c r="D7" s="613"/>
      <c r="E7" s="613"/>
      <c r="F7" s="613"/>
      <c r="G7" s="613"/>
    </row>
    <row r="8" spans="1:7" ht="15.6" x14ac:dyDescent="0.25">
      <c r="A8" s="108" t="s">
        <v>6</v>
      </c>
      <c r="B8" s="608" t="s">
        <v>2</v>
      </c>
      <c r="C8" s="608"/>
      <c r="D8" s="608"/>
      <c r="E8" s="608" t="s">
        <v>25</v>
      </c>
      <c r="F8" s="608"/>
      <c r="G8" s="608"/>
    </row>
    <row r="9" spans="1:7" ht="25.5" customHeight="1" x14ac:dyDescent="0.25">
      <c r="A9" s="604" t="s">
        <v>14</v>
      </c>
      <c r="B9" s="606" t="s">
        <v>33</v>
      </c>
      <c r="C9" s="608" t="s">
        <v>601</v>
      </c>
      <c r="D9" s="608"/>
      <c r="E9" s="606" t="s">
        <v>33</v>
      </c>
      <c r="F9" s="608" t="s">
        <v>601</v>
      </c>
      <c r="G9" s="608"/>
    </row>
    <row r="10" spans="1:7" ht="25.5" customHeight="1" x14ac:dyDescent="0.25">
      <c r="A10" s="605"/>
      <c r="B10" s="607"/>
      <c r="C10" s="389" t="s">
        <v>625</v>
      </c>
      <c r="D10" s="389" t="s">
        <v>626</v>
      </c>
      <c r="E10" s="607"/>
      <c r="F10" s="389" t="s">
        <v>625</v>
      </c>
      <c r="G10" s="389" t="s">
        <v>626</v>
      </c>
    </row>
    <row r="11" spans="1:7" x14ac:dyDescent="0.25">
      <c r="A11" s="108" t="s">
        <v>17</v>
      </c>
      <c r="B11" s="34" t="s">
        <v>7</v>
      </c>
      <c r="C11" s="198">
        <f>'1.m. kiemelt bev.'!B15</f>
        <v>19412048.524999999</v>
      </c>
      <c r="D11" s="198">
        <f>'1.m. kiemelt bev.'!C15</f>
        <v>27427318.734999999</v>
      </c>
      <c r="E11" s="34" t="s">
        <v>28</v>
      </c>
      <c r="F11" s="198">
        <f>'2.m. kiemelt kiad.'!B14</f>
        <v>50457705</v>
      </c>
      <c r="G11" s="198">
        <f>'2.m. kiemelt kiad.'!C14</f>
        <v>49819924</v>
      </c>
    </row>
    <row r="12" spans="1:7" ht="26.4" x14ac:dyDescent="0.25">
      <c r="A12" s="108" t="s">
        <v>34</v>
      </c>
      <c r="B12" s="34" t="s">
        <v>8</v>
      </c>
      <c r="C12" s="198">
        <f>'1.m. kiemelt bev.'!D15</f>
        <v>9250000</v>
      </c>
      <c r="D12" s="198">
        <f>'1.m. kiemelt bev.'!E15</f>
        <v>11363991</v>
      </c>
      <c r="E12" s="34" t="s">
        <v>35</v>
      </c>
      <c r="F12" s="198">
        <f>'2.m. kiemelt kiad.'!D14</f>
        <v>7607298.125</v>
      </c>
      <c r="G12" s="198">
        <f>'2.m. kiemelt kiad.'!E14</f>
        <v>7357297.0750000002</v>
      </c>
    </row>
    <row r="13" spans="1:7" x14ac:dyDescent="0.25">
      <c r="A13" s="108" t="s">
        <v>36</v>
      </c>
      <c r="B13" s="34" t="s">
        <v>9</v>
      </c>
      <c r="C13" s="198">
        <f>'1.m. kiemelt bev.'!F15</f>
        <v>89027960</v>
      </c>
      <c r="D13" s="198">
        <f>'1.m. kiemelt bev.'!G15</f>
        <v>92372671.5</v>
      </c>
      <c r="E13" s="34" t="s">
        <v>125</v>
      </c>
      <c r="F13" s="198">
        <f>'2.m. kiemelt kiad.'!F14</f>
        <v>52488921.670000002</v>
      </c>
      <c r="G13" s="198">
        <f>'2.m. kiemelt kiad.'!G14</f>
        <v>55114141.734200001</v>
      </c>
    </row>
    <row r="14" spans="1:7" ht="25.5" customHeight="1" x14ac:dyDescent="0.25">
      <c r="A14" s="108" t="s">
        <v>31</v>
      </c>
      <c r="B14" s="34" t="s">
        <v>10</v>
      </c>
      <c r="C14" s="198">
        <f>'1.m. kiemelt bev.'!J15</f>
        <v>70000</v>
      </c>
      <c r="D14" s="198">
        <f>'1.m. kiemelt bev.'!K15</f>
        <v>720000</v>
      </c>
      <c r="E14" s="95" t="s">
        <v>150</v>
      </c>
      <c r="F14" s="198">
        <f>'2.m. kiemelt kiad.'!H14</f>
        <v>400000</v>
      </c>
      <c r="G14" s="198">
        <f>'2.m. kiemelt kiad.'!I14</f>
        <v>400000</v>
      </c>
    </row>
    <row r="15" spans="1:7" ht="26.4" x14ac:dyDescent="0.25">
      <c r="A15" s="108" t="s">
        <v>19</v>
      </c>
      <c r="B15" s="34"/>
      <c r="C15" s="198"/>
      <c r="D15" s="198"/>
      <c r="E15" s="34" t="s">
        <v>69</v>
      </c>
      <c r="F15" s="198">
        <f>'2.m. kiemelt kiad.'!J14</f>
        <v>1850000</v>
      </c>
      <c r="G15" s="198">
        <f>'2.m. kiemelt kiad.'!K14</f>
        <v>2450000</v>
      </c>
    </row>
    <row r="16" spans="1:7" x14ac:dyDescent="0.25">
      <c r="A16" s="108" t="s">
        <v>20</v>
      </c>
      <c r="B16" s="34"/>
      <c r="C16" s="198"/>
      <c r="D16" s="198"/>
      <c r="E16" s="34" t="s">
        <v>519</v>
      </c>
      <c r="F16" s="198">
        <f>'2.m. kiemelt kiad.'!L14</f>
        <v>0</v>
      </c>
      <c r="G16" s="198">
        <f>'2.m. kiemelt kiad.'!M14</f>
        <v>15555382</v>
      </c>
    </row>
    <row r="17" spans="1:9" ht="26.25" customHeight="1" x14ac:dyDescent="0.25">
      <c r="A17" s="108" t="s">
        <v>21</v>
      </c>
      <c r="B17" s="35" t="s">
        <v>134</v>
      </c>
      <c r="C17" s="234">
        <f>SUM(C11:C16)</f>
        <v>117760008.52500001</v>
      </c>
      <c r="D17" s="234">
        <f>SUM(D11:D16)</f>
        <v>131883981.235</v>
      </c>
      <c r="E17" s="35" t="s">
        <v>37</v>
      </c>
      <c r="F17" s="234">
        <f>SUM(F11:F16)</f>
        <v>112803924.795</v>
      </c>
      <c r="G17" s="234">
        <f>SUM(G11:G16)</f>
        <v>130696744.8092</v>
      </c>
    </row>
    <row r="18" spans="1:9" x14ac:dyDescent="0.25">
      <c r="A18" s="108" t="s">
        <v>32</v>
      </c>
      <c r="B18" s="610" t="s">
        <v>38</v>
      </c>
      <c r="C18" s="610"/>
      <c r="D18" s="610"/>
      <c r="E18" s="610"/>
      <c r="F18" s="215">
        <f>C17-F17</f>
        <v>4956083.7300000042</v>
      </c>
      <c r="G18" s="215">
        <f>D17-G17</f>
        <v>1187236.4257999957</v>
      </c>
    </row>
    <row r="19" spans="1:9" x14ac:dyDescent="0.25">
      <c r="A19" s="108" t="s">
        <v>22</v>
      </c>
      <c r="B19" s="614" t="s">
        <v>39</v>
      </c>
      <c r="C19" s="614"/>
      <c r="D19" s="614"/>
      <c r="E19" s="614"/>
      <c r="F19" s="215">
        <f>'1.m. kiemelt bev.'!L15</f>
        <v>181706</v>
      </c>
      <c r="G19" s="215">
        <f>'1.m. kiemelt bev.'!M15</f>
        <v>181706</v>
      </c>
    </row>
    <row r="20" spans="1:9" ht="21" customHeight="1" x14ac:dyDescent="0.25">
      <c r="A20" s="108" t="s">
        <v>24</v>
      </c>
      <c r="B20" s="610" t="s">
        <v>567</v>
      </c>
      <c r="C20" s="610"/>
      <c r="D20" s="610"/>
      <c r="E20" s="610"/>
      <c r="F20" s="215">
        <f>F19+F18</f>
        <v>5137789.7300000042</v>
      </c>
      <c r="G20" s="215">
        <f>G19+G18</f>
        <v>1368942.4257999957</v>
      </c>
    </row>
    <row r="21" spans="1:9" ht="21" customHeight="1" x14ac:dyDescent="0.25">
      <c r="A21" s="552"/>
      <c r="B21" s="110"/>
      <c r="C21" s="110"/>
      <c r="D21" s="110"/>
      <c r="E21" s="110"/>
      <c r="F21" s="111"/>
      <c r="G21" s="553"/>
    </row>
    <row r="22" spans="1:9" ht="15.6" x14ac:dyDescent="0.25">
      <c r="A22" s="552"/>
      <c r="B22" s="37"/>
      <c r="C22" s="37"/>
      <c r="D22" s="37"/>
      <c r="E22" s="37"/>
      <c r="F22" s="38"/>
      <c r="G22" s="554"/>
    </row>
    <row r="23" spans="1:9" ht="15.6" x14ac:dyDescent="0.25">
      <c r="A23" s="108" t="s">
        <v>40</v>
      </c>
      <c r="B23" s="609" t="s">
        <v>772</v>
      </c>
      <c r="C23" s="609"/>
      <c r="D23" s="609"/>
      <c r="E23" s="609"/>
      <c r="F23" s="609"/>
      <c r="G23" s="609"/>
    </row>
    <row r="24" spans="1:9" ht="15.6" x14ac:dyDescent="0.25">
      <c r="A24" s="108" t="s">
        <v>41</v>
      </c>
      <c r="B24" s="608" t="s">
        <v>3</v>
      </c>
      <c r="C24" s="608"/>
      <c r="D24" s="608"/>
      <c r="E24" s="608" t="s">
        <v>26</v>
      </c>
      <c r="F24" s="608"/>
      <c r="G24" s="608"/>
    </row>
    <row r="25" spans="1:9" ht="15.6" x14ac:dyDescent="0.25">
      <c r="A25" s="604" t="s">
        <v>42</v>
      </c>
      <c r="B25" s="606" t="s">
        <v>33</v>
      </c>
      <c r="C25" s="608" t="s">
        <v>601</v>
      </c>
      <c r="D25" s="608"/>
      <c r="E25" s="606" t="s">
        <v>33</v>
      </c>
      <c r="F25" s="608" t="s">
        <v>601</v>
      </c>
      <c r="G25" s="608"/>
    </row>
    <row r="26" spans="1:9" ht="24" x14ac:dyDescent="0.25">
      <c r="A26" s="605"/>
      <c r="B26" s="607"/>
      <c r="C26" s="389" t="s">
        <v>625</v>
      </c>
      <c r="D26" s="389" t="s">
        <v>626</v>
      </c>
      <c r="E26" s="607"/>
      <c r="F26" s="389" t="s">
        <v>625</v>
      </c>
      <c r="G26" s="389" t="s">
        <v>626</v>
      </c>
    </row>
    <row r="27" spans="1:9" ht="27.75" customHeight="1" x14ac:dyDescent="0.25">
      <c r="A27" s="108" t="s">
        <v>43</v>
      </c>
      <c r="B27" s="34" t="s">
        <v>593</v>
      </c>
      <c r="C27" s="166">
        <f>'1.m. kiemelt bev.'!N15</f>
        <v>0</v>
      </c>
      <c r="D27" s="166">
        <f>'1.m. kiemelt bev.'!O15</f>
        <v>33546744</v>
      </c>
      <c r="E27" s="34" t="s">
        <v>30</v>
      </c>
      <c r="F27" s="198">
        <f>'2.m. kiemelt kiad.'!N14</f>
        <v>46704511.880000003</v>
      </c>
      <c r="G27" s="198">
        <f>'2.m. kiemelt kiad.'!O14</f>
        <v>49717877.829999998</v>
      </c>
    </row>
    <row r="28" spans="1:9" ht="28.5" customHeight="1" x14ac:dyDescent="0.25">
      <c r="A28" s="108" t="s">
        <v>44</v>
      </c>
      <c r="B28" s="34" t="s">
        <v>12</v>
      </c>
      <c r="C28" s="198">
        <f>'1.m. kiemelt bev.'!P15</f>
        <v>0</v>
      </c>
      <c r="D28" s="198">
        <f>'1.m. kiemelt bev.'!Q15</f>
        <v>0</v>
      </c>
      <c r="E28" s="34" t="s">
        <v>70</v>
      </c>
      <c r="F28" s="198">
        <f>'2.m. kiemelt kiad.'!P14</f>
        <v>0</v>
      </c>
      <c r="G28" s="198">
        <f>'2.m. kiemelt kiad.'!Q14</f>
        <v>219350</v>
      </c>
    </row>
    <row r="29" spans="1:9" ht="31.5" customHeight="1" x14ac:dyDescent="0.25">
      <c r="A29" s="108" t="s">
        <v>45</v>
      </c>
      <c r="B29" s="34" t="s">
        <v>13</v>
      </c>
      <c r="C29" s="198">
        <f>'1.m. kiemelt bev.'!R15</f>
        <v>0</v>
      </c>
      <c r="D29" s="198">
        <f>'1.m. kiemelt bev.'!S15</f>
        <v>3850000</v>
      </c>
      <c r="E29" s="34" t="s">
        <v>518</v>
      </c>
      <c r="F29" s="198">
        <f>'2.m. kiemelt kiad.'!R14</f>
        <v>2731169</v>
      </c>
      <c r="G29" s="198">
        <f>'2.m. kiemelt kiad.'!S14</f>
        <v>2731169</v>
      </c>
    </row>
    <row r="30" spans="1:9" ht="19.5" customHeight="1" x14ac:dyDescent="0.25">
      <c r="A30" s="108" t="s">
        <v>46</v>
      </c>
      <c r="B30" s="34" t="s">
        <v>802</v>
      </c>
      <c r="C30" s="198">
        <f>'1.m. kiemelt bev.'!T15</f>
        <v>0</v>
      </c>
      <c r="D30" s="198">
        <f>'1.m. kiemelt bev.'!U15</f>
        <v>3214395</v>
      </c>
      <c r="E30" s="34" t="s">
        <v>520</v>
      </c>
      <c r="F30" s="198">
        <f>'2.m. kiemelt kiad.'!T14</f>
        <v>0</v>
      </c>
      <c r="G30" s="198">
        <f>'2.m. kiemelt kiad.'!U14</f>
        <v>32593969</v>
      </c>
    </row>
    <row r="31" spans="1:9" ht="26.4" x14ac:dyDescent="0.25">
      <c r="A31" s="108" t="s">
        <v>47</v>
      </c>
      <c r="B31" s="35" t="s">
        <v>49</v>
      </c>
      <c r="C31" s="215">
        <f>SUM(C27:C30)</f>
        <v>0</v>
      </c>
      <c r="D31" s="215">
        <f>SUM(D27:D30)</f>
        <v>40611139</v>
      </c>
      <c r="E31" s="35" t="s">
        <v>50</v>
      </c>
      <c r="F31" s="215">
        <f>SUM(F27:F30)</f>
        <v>49435680.880000003</v>
      </c>
      <c r="G31" s="215">
        <f>SUM(G27:G30)</f>
        <v>85262365.829999998</v>
      </c>
    </row>
    <row r="32" spans="1:9" ht="20.100000000000001" customHeight="1" x14ac:dyDescent="0.25">
      <c r="A32" s="108" t="s">
        <v>48</v>
      </c>
      <c r="B32" s="610" t="s">
        <v>52</v>
      </c>
      <c r="C32" s="610"/>
      <c r="D32" s="610"/>
      <c r="E32" s="610"/>
      <c r="F32" s="215">
        <f>C31-F31</f>
        <v>-49435680.880000003</v>
      </c>
      <c r="G32" s="215">
        <f>D31-G31</f>
        <v>-44651226.829999998</v>
      </c>
      <c r="I32" s="39"/>
    </row>
    <row r="33" spans="1:9" ht="20.100000000000001" customHeight="1" x14ac:dyDescent="0.25">
      <c r="A33" s="108" t="s">
        <v>51</v>
      </c>
      <c r="B33" s="614" t="s">
        <v>54</v>
      </c>
      <c r="C33" s="614"/>
      <c r="D33" s="614"/>
      <c r="E33" s="614"/>
      <c r="F33" s="215">
        <f>'1.m. kiemelt bev.'!V15</f>
        <v>44297891</v>
      </c>
      <c r="G33" s="215">
        <f>'1.m. kiemelt bev.'!W15</f>
        <v>43282285</v>
      </c>
      <c r="I33" s="39"/>
    </row>
    <row r="34" spans="1:9" ht="20.100000000000001" customHeight="1" x14ac:dyDescent="0.25">
      <c r="A34" s="108" t="s">
        <v>53</v>
      </c>
      <c r="B34" s="610" t="s">
        <v>56</v>
      </c>
      <c r="C34" s="610"/>
      <c r="D34" s="610"/>
      <c r="E34" s="610"/>
      <c r="F34" s="215">
        <f>F33+F32</f>
        <v>-5137789.8800000027</v>
      </c>
      <c r="G34" s="215">
        <f>G33+G32</f>
        <v>-1368941.8299999982</v>
      </c>
      <c r="I34" s="39"/>
    </row>
    <row r="35" spans="1:9" ht="35.25" customHeight="1" x14ac:dyDescent="0.25">
      <c r="A35" s="108" t="s">
        <v>55</v>
      </c>
      <c r="B35" s="615" t="s">
        <v>602</v>
      </c>
      <c r="C35" s="615"/>
      <c r="D35" s="615"/>
      <c r="E35" s="615"/>
      <c r="F35" s="215">
        <f>F20</f>
        <v>5137789.7300000042</v>
      </c>
      <c r="G35" s="215">
        <f>G20</f>
        <v>1368942.4257999957</v>
      </c>
      <c r="I35" s="39"/>
    </row>
    <row r="36" spans="1:9" ht="20.100000000000001" customHeight="1" x14ac:dyDescent="0.25">
      <c r="A36" s="108" t="s">
        <v>57</v>
      </c>
      <c r="B36" s="610" t="s">
        <v>71</v>
      </c>
      <c r="C36" s="610"/>
      <c r="D36" s="610"/>
      <c r="E36" s="610"/>
      <c r="F36" s="233">
        <f>F34+F35</f>
        <v>-0.14999999850988388</v>
      </c>
      <c r="G36" s="233">
        <f>G34+G35-0.5</f>
        <v>9.5799997448921204E-2</v>
      </c>
      <c r="I36" s="28"/>
    </row>
    <row r="37" spans="1:9" x14ac:dyDescent="0.25">
      <c r="B37" s="13"/>
      <c r="C37" s="13"/>
      <c r="D37" s="13"/>
      <c r="E37" s="13"/>
      <c r="F37" s="13"/>
      <c r="G37" s="13"/>
    </row>
    <row r="38" spans="1:9" x14ac:dyDescent="0.25">
      <c r="I38" s="39"/>
    </row>
    <row r="40" spans="1:9" x14ac:dyDescent="0.25">
      <c r="I40" s="39"/>
    </row>
  </sheetData>
  <mergeCells count="27">
    <mergeCell ref="B36:E36"/>
    <mergeCell ref="B32:E32"/>
    <mergeCell ref="B33:E33"/>
    <mergeCell ref="B34:E34"/>
    <mergeCell ref="B35:E35"/>
    <mergeCell ref="B18:E18"/>
    <mergeCell ref="C25:D25"/>
    <mergeCell ref="B1:F1"/>
    <mergeCell ref="B3:F3"/>
    <mergeCell ref="B4:F4"/>
    <mergeCell ref="B7:G7"/>
    <mergeCell ref="B8:D8"/>
    <mergeCell ref="B19:E19"/>
    <mergeCell ref="F25:G25"/>
    <mergeCell ref="E8:G8"/>
    <mergeCell ref="C9:D9"/>
    <mergeCell ref="F9:G9"/>
    <mergeCell ref="B23:G23"/>
    <mergeCell ref="B24:D24"/>
    <mergeCell ref="E24:G24"/>
    <mergeCell ref="B20:E20"/>
    <mergeCell ref="A25:A26"/>
    <mergeCell ref="A9:A10"/>
    <mergeCell ref="B9:B10"/>
    <mergeCell ref="B25:B26"/>
    <mergeCell ref="E9:E10"/>
    <mergeCell ref="E25:E26"/>
  </mergeCells>
  <phoneticPr fontId="0" type="noConversion"/>
  <pageMargins left="0.75" right="0.75" top="1" bottom="1" header="0.5" footer="0.5"/>
  <pageSetup paperSize="9" scale="64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view="pageBreakPreview" topLeftCell="A49" zoomScale="80" zoomScaleNormal="80" workbookViewId="0">
      <selection activeCell="I58" sqref="I58"/>
    </sheetView>
  </sheetViews>
  <sheetFormatPr defaultColWidth="9.109375" defaultRowHeight="13.2" x14ac:dyDescent="0.25"/>
  <cols>
    <col min="1" max="1" width="4.44140625" style="21" customWidth="1"/>
    <col min="2" max="7" width="9.109375" style="21"/>
    <col min="8" max="8" width="15.109375" style="21" customWidth="1"/>
    <col min="9" max="10" width="16.5546875" style="21" customWidth="1"/>
    <col min="11" max="16384" width="9.109375" style="21"/>
  </cols>
  <sheetData>
    <row r="1" spans="1:10" x14ac:dyDescent="0.25">
      <c r="A1" s="630" t="s">
        <v>128</v>
      </c>
      <c r="B1" s="630"/>
      <c r="C1" s="630"/>
      <c r="D1" s="630"/>
      <c r="E1" s="630"/>
      <c r="F1" s="630"/>
      <c r="G1" s="630"/>
      <c r="H1" s="630"/>
      <c r="I1" s="630"/>
      <c r="J1" s="381"/>
    </row>
    <row r="2" spans="1:10" ht="15.6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8" x14ac:dyDescent="0.25">
      <c r="A3" s="616" t="s">
        <v>732</v>
      </c>
      <c r="B3" s="616"/>
      <c r="C3" s="616"/>
      <c r="D3" s="616"/>
      <c r="E3" s="616"/>
      <c r="F3" s="616"/>
      <c r="G3" s="616"/>
      <c r="H3" s="616"/>
      <c r="I3" s="616"/>
      <c r="J3" s="616"/>
    </row>
    <row r="4" spans="1:10" ht="18" x14ac:dyDescent="0.25">
      <c r="A4" s="616" t="s">
        <v>790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0" ht="18" x14ac:dyDescent="0.25">
      <c r="A5" s="616" t="s">
        <v>61</v>
      </c>
      <c r="B5" s="616"/>
      <c r="C5" s="616"/>
      <c r="D5" s="616"/>
      <c r="E5" s="616"/>
      <c r="F5" s="616"/>
      <c r="G5" s="616"/>
      <c r="H5" s="616"/>
      <c r="I5" s="616"/>
      <c r="J5" s="616"/>
    </row>
    <row r="6" spans="1:10" ht="19.5" customHeight="1" x14ac:dyDescent="0.25">
      <c r="A6" s="616" t="s">
        <v>549</v>
      </c>
      <c r="B6" s="616"/>
      <c r="C6" s="616"/>
      <c r="D6" s="616"/>
      <c r="E6" s="616"/>
      <c r="F6" s="616"/>
      <c r="G6" s="616"/>
      <c r="H6" s="616"/>
      <c r="I6" s="616"/>
      <c r="J6" s="616"/>
    </row>
    <row r="7" spans="1:10" ht="18" customHeight="1" thickBot="1" x14ac:dyDescent="0.3">
      <c r="A7" s="51"/>
      <c r="B7" s="52"/>
      <c r="C7" s="52"/>
      <c r="D7" s="52"/>
      <c r="E7" s="52"/>
      <c r="F7" s="52"/>
      <c r="G7" s="52"/>
      <c r="H7" s="52"/>
      <c r="I7" s="192"/>
      <c r="J7" s="192" t="s">
        <v>599</v>
      </c>
    </row>
    <row r="8" spans="1:10" ht="13.2" customHeight="1" x14ac:dyDescent="0.25">
      <c r="A8" s="633" t="s">
        <v>1</v>
      </c>
      <c r="B8" s="634"/>
      <c r="C8" s="634"/>
      <c r="D8" s="634"/>
      <c r="E8" s="634"/>
      <c r="F8" s="634"/>
      <c r="G8" s="634"/>
      <c r="H8" s="634"/>
      <c r="I8" s="628" t="s">
        <v>627</v>
      </c>
      <c r="J8" s="617" t="s">
        <v>628</v>
      </c>
    </row>
    <row r="9" spans="1:10" ht="34.5" customHeight="1" x14ac:dyDescent="0.25">
      <c r="A9" s="635"/>
      <c r="B9" s="636"/>
      <c r="C9" s="636"/>
      <c r="D9" s="636"/>
      <c r="E9" s="636"/>
      <c r="F9" s="636"/>
      <c r="G9" s="636"/>
      <c r="H9" s="636"/>
      <c r="I9" s="629"/>
      <c r="J9" s="618"/>
    </row>
    <row r="10" spans="1:10" ht="29.25" customHeight="1" x14ac:dyDescent="0.25">
      <c r="A10" s="48" t="s">
        <v>62</v>
      </c>
      <c r="B10" s="632" t="s">
        <v>594</v>
      </c>
      <c r="C10" s="632"/>
      <c r="D10" s="632"/>
      <c r="E10" s="632"/>
      <c r="F10" s="632"/>
      <c r="G10" s="632"/>
      <c r="H10" s="632"/>
      <c r="I10" s="87"/>
      <c r="J10" s="506"/>
    </row>
    <row r="11" spans="1:10" ht="18" customHeight="1" x14ac:dyDescent="0.25">
      <c r="A11" s="43"/>
      <c r="B11" s="44" t="s">
        <v>0</v>
      </c>
      <c r="C11" s="625" t="s">
        <v>733</v>
      </c>
      <c r="D11" s="626"/>
      <c r="E11" s="626"/>
      <c r="F11" s="626"/>
      <c r="G11" s="626"/>
      <c r="H11" s="627"/>
      <c r="I11" s="469">
        <v>307900</v>
      </c>
      <c r="J11" s="507">
        <v>307900</v>
      </c>
    </row>
    <row r="12" spans="1:10" ht="18" customHeight="1" x14ac:dyDescent="0.25">
      <c r="A12" s="43"/>
      <c r="B12" s="44" t="s">
        <v>6</v>
      </c>
      <c r="C12" s="625" t="s">
        <v>734</v>
      </c>
      <c r="D12" s="626"/>
      <c r="E12" s="626"/>
      <c r="F12" s="626"/>
      <c r="G12" s="626"/>
      <c r="H12" s="627"/>
      <c r="I12" s="469">
        <v>19959228</v>
      </c>
      <c r="J12" s="507">
        <v>19959228</v>
      </c>
    </row>
    <row r="13" spans="1:10" ht="18" customHeight="1" x14ac:dyDescent="0.25">
      <c r="A13" s="43"/>
      <c r="B13" s="44" t="s">
        <v>14</v>
      </c>
      <c r="C13" s="625" t="s">
        <v>735</v>
      </c>
      <c r="D13" s="626"/>
      <c r="E13" s="626"/>
      <c r="F13" s="626"/>
      <c r="G13" s="626"/>
      <c r="H13" s="627"/>
      <c r="I13" s="469">
        <v>8923413</v>
      </c>
      <c r="J13" s="507">
        <v>8923413</v>
      </c>
    </row>
    <row r="14" spans="1:10" ht="18" customHeight="1" x14ac:dyDescent="0.25">
      <c r="A14" s="45"/>
      <c r="B14" s="44" t="s">
        <v>17</v>
      </c>
      <c r="C14" s="631" t="s">
        <v>516</v>
      </c>
      <c r="D14" s="631"/>
      <c r="E14" s="631"/>
      <c r="F14" s="631"/>
      <c r="G14" s="631"/>
      <c r="H14" s="631"/>
      <c r="I14" s="79"/>
      <c r="J14" s="508"/>
    </row>
    <row r="15" spans="1:10" ht="27.75" customHeight="1" x14ac:dyDescent="0.25">
      <c r="A15" s="46" t="s">
        <v>62</v>
      </c>
      <c r="B15" s="622" t="s">
        <v>507</v>
      </c>
      <c r="C15" s="623"/>
      <c r="D15" s="623"/>
      <c r="E15" s="623"/>
      <c r="F15" s="623"/>
      <c r="G15" s="623"/>
      <c r="H15" s="623"/>
      <c r="I15" s="471">
        <f>SUM(I11:I14)</f>
        <v>29190541</v>
      </c>
      <c r="J15" s="509">
        <f>SUM(J11:J14)</f>
        <v>29190541</v>
      </c>
    </row>
    <row r="16" spans="1:10" ht="18" customHeight="1" x14ac:dyDescent="0.25">
      <c r="A16" s="48" t="s">
        <v>63</v>
      </c>
      <c r="B16" s="622" t="s">
        <v>508</v>
      </c>
      <c r="C16" s="623"/>
      <c r="D16" s="623"/>
      <c r="E16" s="623"/>
      <c r="F16" s="623"/>
      <c r="G16" s="623"/>
      <c r="H16" s="624"/>
      <c r="I16" s="472"/>
      <c r="J16" s="510"/>
    </row>
    <row r="17" spans="1:11" ht="18" customHeight="1" x14ac:dyDescent="0.25">
      <c r="A17" s="48"/>
      <c r="B17" s="622" t="s">
        <v>64</v>
      </c>
      <c r="C17" s="623"/>
      <c r="D17" s="623"/>
      <c r="E17" s="623"/>
      <c r="F17" s="623"/>
      <c r="G17" s="623"/>
      <c r="H17" s="624"/>
      <c r="I17" s="87"/>
      <c r="J17" s="506"/>
    </row>
    <row r="18" spans="1:11" ht="18" customHeight="1" x14ac:dyDescent="0.25">
      <c r="A18" s="43"/>
      <c r="B18" s="44" t="s">
        <v>0</v>
      </c>
      <c r="C18" s="625" t="s">
        <v>736</v>
      </c>
      <c r="D18" s="626"/>
      <c r="E18" s="626"/>
      <c r="F18" s="626"/>
      <c r="G18" s="626"/>
      <c r="H18" s="627"/>
      <c r="I18" s="469">
        <v>4178300</v>
      </c>
      <c r="J18" s="507">
        <v>368301</v>
      </c>
    </row>
    <row r="19" spans="1:11" ht="18" customHeight="1" x14ac:dyDescent="0.25">
      <c r="A19" s="43"/>
      <c r="B19" s="44" t="s">
        <v>6</v>
      </c>
      <c r="C19" s="631" t="s">
        <v>737</v>
      </c>
      <c r="D19" s="631"/>
      <c r="E19" s="631"/>
      <c r="F19" s="631"/>
      <c r="G19" s="631"/>
      <c r="H19" s="631"/>
      <c r="I19" s="469">
        <v>2351171</v>
      </c>
      <c r="J19" s="507">
        <v>1395237</v>
      </c>
    </row>
    <row r="20" spans="1:11" ht="18" customHeight="1" x14ac:dyDescent="0.25">
      <c r="A20" s="43"/>
      <c r="B20" s="44" t="s">
        <v>14</v>
      </c>
      <c r="C20" s="625" t="s">
        <v>804</v>
      </c>
      <c r="D20" s="626"/>
      <c r="E20" s="626"/>
      <c r="F20" s="626"/>
      <c r="G20" s="626"/>
      <c r="H20" s="627"/>
      <c r="I20" s="469">
        <v>8000000</v>
      </c>
      <c r="J20" s="507">
        <v>7259020</v>
      </c>
    </row>
    <row r="21" spans="1:11" ht="18" customHeight="1" x14ac:dyDescent="0.25">
      <c r="A21" s="43"/>
      <c r="B21" s="44" t="s">
        <v>17</v>
      </c>
      <c r="C21" s="625" t="s">
        <v>738</v>
      </c>
      <c r="D21" s="626"/>
      <c r="E21" s="626"/>
      <c r="F21" s="626"/>
      <c r="G21" s="626"/>
      <c r="H21" s="627"/>
      <c r="I21" s="469">
        <v>1270000</v>
      </c>
      <c r="J21" s="507">
        <v>0</v>
      </c>
    </row>
    <row r="22" spans="1:11" ht="27.6" customHeight="1" x14ac:dyDescent="0.25">
      <c r="A22" s="43"/>
      <c r="B22" s="44" t="s">
        <v>34</v>
      </c>
      <c r="C22" s="637" t="s">
        <v>739</v>
      </c>
      <c r="D22" s="638"/>
      <c r="E22" s="638"/>
      <c r="F22" s="638"/>
      <c r="G22" s="638"/>
      <c r="H22" s="639"/>
      <c r="I22" s="469">
        <v>1270000</v>
      </c>
      <c r="J22" s="507">
        <v>0</v>
      </c>
      <c r="K22" s="49"/>
    </row>
    <row r="23" spans="1:11" ht="18" customHeight="1" x14ac:dyDescent="0.25">
      <c r="A23" s="43"/>
      <c r="B23" s="44" t="s">
        <v>36</v>
      </c>
      <c r="C23" s="637" t="s">
        <v>747</v>
      </c>
      <c r="D23" s="638"/>
      <c r="E23" s="638"/>
      <c r="F23" s="638"/>
      <c r="G23" s="638"/>
      <c r="H23" s="639"/>
      <c r="I23" s="469"/>
      <c r="J23" s="507">
        <v>724760</v>
      </c>
      <c r="K23" s="49"/>
    </row>
    <row r="24" spans="1:11" ht="18" customHeight="1" x14ac:dyDescent="0.25">
      <c r="A24" s="43"/>
      <c r="B24" s="44" t="s">
        <v>31</v>
      </c>
      <c r="C24" s="637" t="s">
        <v>748</v>
      </c>
      <c r="D24" s="638"/>
      <c r="E24" s="638"/>
      <c r="F24" s="638"/>
      <c r="G24" s="638"/>
      <c r="H24" s="639"/>
      <c r="I24" s="469"/>
      <c r="J24" s="507">
        <v>1100000</v>
      </c>
      <c r="K24" s="49"/>
    </row>
    <row r="25" spans="1:11" ht="18" customHeight="1" x14ac:dyDescent="0.25">
      <c r="A25" s="43"/>
      <c r="B25" s="44" t="s">
        <v>18</v>
      </c>
      <c r="C25" s="637" t="s">
        <v>749</v>
      </c>
      <c r="D25" s="638"/>
      <c r="E25" s="638"/>
      <c r="F25" s="638"/>
      <c r="G25" s="638"/>
      <c r="H25" s="639"/>
      <c r="I25" s="469"/>
      <c r="J25" s="507">
        <v>1270000</v>
      </c>
      <c r="K25" s="49"/>
    </row>
    <row r="26" spans="1:11" ht="18" customHeight="1" x14ac:dyDescent="0.25">
      <c r="A26" s="43"/>
      <c r="B26" s="44" t="s">
        <v>19</v>
      </c>
      <c r="C26" s="637" t="s">
        <v>753</v>
      </c>
      <c r="D26" s="638"/>
      <c r="E26" s="638"/>
      <c r="F26" s="638"/>
      <c r="G26" s="638"/>
      <c r="H26" s="639"/>
      <c r="I26" s="469"/>
      <c r="J26" s="507">
        <v>253000</v>
      </c>
      <c r="K26" s="49"/>
    </row>
    <row r="27" spans="1:11" ht="18" customHeight="1" x14ac:dyDescent="0.25">
      <c r="A27" s="43"/>
      <c r="B27" s="44" t="s">
        <v>20</v>
      </c>
      <c r="C27" s="637" t="s">
        <v>754</v>
      </c>
      <c r="D27" s="638"/>
      <c r="E27" s="638"/>
      <c r="F27" s="638"/>
      <c r="G27" s="638"/>
      <c r="H27" s="639"/>
      <c r="I27" s="469"/>
      <c r="J27" s="507">
        <v>190500</v>
      </c>
      <c r="K27" s="49"/>
    </row>
    <row r="28" spans="1:11" ht="18" customHeight="1" x14ac:dyDescent="0.25">
      <c r="A28" s="43"/>
      <c r="B28" s="44" t="s">
        <v>21</v>
      </c>
      <c r="C28" s="637" t="s">
        <v>803</v>
      </c>
      <c r="D28" s="638"/>
      <c r="E28" s="638"/>
      <c r="F28" s="638"/>
      <c r="G28" s="638"/>
      <c r="H28" s="639"/>
      <c r="I28" s="469"/>
      <c r="J28" s="507">
        <v>5750000</v>
      </c>
      <c r="K28" s="49"/>
    </row>
    <row r="29" spans="1:11" ht="18" customHeight="1" x14ac:dyDescent="0.25">
      <c r="A29" s="43"/>
      <c r="B29" s="44" t="s">
        <v>32</v>
      </c>
      <c r="C29" s="625" t="s">
        <v>516</v>
      </c>
      <c r="D29" s="626"/>
      <c r="E29" s="626"/>
      <c r="F29" s="626"/>
      <c r="G29" s="626"/>
      <c r="H29" s="627"/>
      <c r="I29" s="469"/>
      <c r="J29" s="507"/>
    </row>
    <row r="30" spans="1:11" ht="18" customHeight="1" x14ac:dyDescent="0.25">
      <c r="A30" s="43"/>
      <c r="B30" s="619" t="s">
        <v>509</v>
      </c>
      <c r="C30" s="620"/>
      <c r="D30" s="620"/>
      <c r="E30" s="620"/>
      <c r="F30" s="620"/>
      <c r="G30" s="620"/>
      <c r="H30" s="621"/>
      <c r="I30" s="471">
        <f>SUM(I18:I29)</f>
        <v>17069471</v>
      </c>
      <c r="J30" s="509">
        <f>SUM(J18:J29)</f>
        <v>18310818</v>
      </c>
    </row>
    <row r="31" spans="1:11" ht="18" customHeight="1" x14ac:dyDescent="0.25">
      <c r="A31" s="50"/>
      <c r="B31" s="622" t="s">
        <v>740</v>
      </c>
      <c r="C31" s="623"/>
      <c r="D31" s="623"/>
      <c r="E31" s="623"/>
      <c r="F31" s="623"/>
      <c r="G31" s="623"/>
      <c r="H31" s="624"/>
      <c r="I31" s="87"/>
      <c r="J31" s="506"/>
    </row>
    <row r="32" spans="1:11" ht="18" customHeight="1" x14ac:dyDescent="0.25">
      <c r="A32" s="45"/>
      <c r="B32" s="44" t="s">
        <v>0</v>
      </c>
      <c r="C32" s="640" t="s">
        <v>516</v>
      </c>
      <c r="D32" s="631"/>
      <c r="E32" s="631"/>
      <c r="F32" s="631"/>
      <c r="G32" s="631"/>
      <c r="H32" s="631"/>
      <c r="I32" s="469"/>
      <c r="J32" s="507"/>
    </row>
    <row r="33" spans="1:10" ht="18" customHeight="1" x14ac:dyDescent="0.25">
      <c r="A33" s="45"/>
      <c r="B33" s="44" t="s">
        <v>6</v>
      </c>
      <c r="C33" s="625" t="s">
        <v>516</v>
      </c>
      <c r="D33" s="626"/>
      <c r="E33" s="626"/>
      <c r="F33" s="626"/>
      <c r="G33" s="626"/>
      <c r="H33" s="627"/>
      <c r="I33" s="469"/>
      <c r="J33" s="507"/>
    </row>
    <row r="34" spans="1:10" ht="17.399999999999999" customHeight="1" x14ac:dyDescent="0.25">
      <c r="A34" s="45"/>
      <c r="B34" s="44" t="s">
        <v>14</v>
      </c>
      <c r="C34" s="625" t="s">
        <v>516</v>
      </c>
      <c r="D34" s="626"/>
      <c r="E34" s="626"/>
      <c r="F34" s="626"/>
      <c r="G34" s="626"/>
      <c r="H34" s="627"/>
      <c r="I34" s="79"/>
      <c r="J34" s="507"/>
    </row>
    <row r="35" spans="1:10" ht="23.25" customHeight="1" x14ac:dyDescent="0.25">
      <c r="A35" s="240"/>
      <c r="B35" s="619" t="s">
        <v>741</v>
      </c>
      <c r="C35" s="620"/>
      <c r="D35" s="620"/>
      <c r="E35" s="620"/>
      <c r="F35" s="620"/>
      <c r="G35" s="620"/>
      <c r="H35" s="621"/>
      <c r="I35" s="471">
        <f>SUM(I32:I33)</f>
        <v>0</v>
      </c>
      <c r="J35" s="509">
        <f>SUM(J32:J33)</f>
        <v>0</v>
      </c>
    </row>
    <row r="36" spans="1:10" ht="18" customHeight="1" x14ac:dyDescent="0.25">
      <c r="A36" s="46" t="s">
        <v>63</v>
      </c>
      <c r="B36" s="622" t="s">
        <v>73</v>
      </c>
      <c r="C36" s="623"/>
      <c r="D36" s="623"/>
      <c r="E36" s="623"/>
      <c r="F36" s="623"/>
      <c r="G36" s="623"/>
      <c r="H36" s="623"/>
      <c r="I36" s="78">
        <f>I30+I35</f>
        <v>17069471</v>
      </c>
      <c r="J36" s="509">
        <f>J30+J35</f>
        <v>18310818</v>
      </c>
    </row>
    <row r="37" spans="1:10" ht="18" customHeight="1" x14ac:dyDescent="0.25">
      <c r="A37" s="48" t="s">
        <v>65</v>
      </c>
      <c r="B37" s="641" t="s">
        <v>77</v>
      </c>
      <c r="C37" s="642"/>
      <c r="D37" s="642"/>
      <c r="E37" s="642"/>
      <c r="F37" s="642"/>
      <c r="G37" s="642"/>
      <c r="H37" s="642"/>
      <c r="I37" s="87"/>
      <c r="J37" s="506"/>
    </row>
    <row r="38" spans="1:10" ht="30" customHeight="1" x14ac:dyDescent="0.25">
      <c r="A38" s="43"/>
      <c r="B38" s="44" t="s">
        <v>0</v>
      </c>
      <c r="C38" s="643" t="s">
        <v>781</v>
      </c>
      <c r="D38" s="644"/>
      <c r="E38" s="644"/>
      <c r="F38" s="644"/>
      <c r="G38" s="644"/>
      <c r="H38" s="645"/>
      <c r="I38" s="79"/>
      <c r="J38" s="507">
        <v>219350</v>
      </c>
    </row>
    <row r="39" spans="1:10" ht="18" customHeight="1" x14ac:dyDescent="0.25">
      <c r="A39" s="43"/>
      <c r="B39" s="44" t="s">
        <v>6</v>
      </c>
      <c r="C39" s="643" t="s">
        <v>516</v>
      </c>
      <c r="D39" s="644"/>
      <c r="E39" s="644"/>
      <c r="F39" s="644"/>
      <c r="G39" s="644"/>
      <c r="H39" s="645"/>
      <c r="I39" s="79"/>
      <c r="J39" s="507"/>
    </row>
    <row r="40" spans="1:10" ht="15.75" customHeight="1" x14ac:dyDescent="0.25">
      <c r="A40" s="46" t="s">
        <v>65</v>
      </c>
      <c r="B40" s="619" t="s">
        <v>517</v>
      </c>
      <c r="C40" s="620"/>
      <c r="D40" s="620"/>
      <c r="E40" s="620"/>
      <c r="F40" s="620"/>
      <c r="G40" s="620"/>
      <c r="H40" s="621"/>
      <c r="I40" s="471">
        <f>SUM(I38:I39)</f>
        <v>0</v>
      </c>
      <c r="J40" s="509">
        <f>SUM(J38:J39)</f>
        <v>219350</v>
      </c>
    </row>
    <row r="41" spans="1:10" ht="18" customHeight="1" x14ac:dyDescent="0.25">
      <c r="A41" s="241" t="s">
        <v>74</v>
      </c>
      <c r="B41" s="620" t="s">
        <v>75</v>
      </c>
      <c r="C41" s="620"/>
      <c r="D41" s="620"/>
      <c r="E41" s="620"/>
      <c r="F41" s="620"/>
      <c r="G41" s="620"/>
      <c r="H41" s="620"/>
      <c r="I41" s="473"/>
      <c r="J41" s="511"/>
    </row>
    <row r="42" spans="1:10" ht="18" customHeight="1" x14ac:dyDescent="0.25">
      <c r="A42" s="241"/>
      <c r="B42" s="8" t="s">
        <v>64</v>
      </c>
      <c r="C42" s="8"/>
      <c r="D42" s="8"/>
      <c r="E42" s="8"/>
      <c r="F42" s="8"/>
      <c r="G42" s="8"/>
      <c r="H42" s="8"/>
      <c r="I42" s="82"/>
      <c r="J42" s="512"/>
    </row>
    <row r="43" spans="1:10" ht="18" customHeight="1" x14ac:dyDescent="0.25">
      <c r="A43" s="242"/>
      <c r="B43" s="53" t="s">
        <v>0</v>
      </c>
      <c r="C43" s="625" t="s">
        <v>750</v>
      </c>
      <c r="D43" s="626"/>
      <c r="E43" s="626"/>
      <c r="F43" s="626"/>
      <c r="G43" s="626"/>
      <c r="H43" s="627"/>
      <c r="I43" s="469"/>
      <c r="J43" s="507">
        <v>172000</v>
      </c>
    </row>
    <row r="44" spans="1:10" ht="18" customHeight="1" x14ac:dyDescent="0.25">
      <c r="A44" s="243"/>
      <c r="B44" s="53" t="s">
        <v>6</v>
      </c>
      <c r="C44" s="625" t="s">
        <v>751</v>
      </c>
      <c r="D44" s="626"/>
      <c r="E44" s="626"/>
      <c r="F44" s="626"/>
      <c r="G44" s="626"/>
      <c r="H44" s="627"/>
      <c r="I44" s="469"/>
      <c r="J44" s="507">
        <v>458950</v>
      </c>
    </row>
    <row r="45" spans="1:10" ht="18" customHeight="1" x14ac:dyDescent="0.25">
      <c r="A45" s="243"/>
      <c r="B45" s="53" t="s">
        <v>14</v>
      </c>
      <c r="C45" s="625" t="s">
        <v>755</v>
      </c>
      <c r="D45" s="626"/>
      <c r="E45" s="626"/>
      <c r="F45" s="626"/>
      <c r="G45" s="626"/>
      <c r="H45" s="627"/>
      <c r="I45" s="469"/>
      <c r="J45" s="507">
        <v>42069</v>
      </c>
    </row>
    <row r="46" spans="1:10" ht="18" customHeight="1" x14ac:dyDescent="0.25">
      <c r="A46" s="244"/>
      <c r="B46" s="53" t="s">
        <v>17</v>
      </c>
      <c r="C46" s="625" t="s">
        <v>752</v>
      </c>
      <c r="D46" s="626"/>
      <c r="E46" s="626"/>
      <c r="F46" s="626"/>
      <c r="G46" s="626"/>
      <c r="H46" s="627"/>
      <c r="I46" s="469"/>
      <c r="J46" s="507">
        <v>30000</v>
      </c>
    </row>
    <row r="47" spans="1:10" ht="18" customHeight="1" x14ac:dyDescent="0.25">
      <c r="A47" s="46"/>
      <c r="B47" s="620" t="s">
        <v>509</v>
      </c>
      <c r="C47" s="620"/>
      <c r="D47" s="620"/>
      <c r="E47" s="620"/>
      <c r="F47" s="620"/>
      <c r="G47" s="620"/>
      <c r="H47" s="621"/>
      <c r="I47" s="471">
        <f>SUM(I43:I46)</f>
        <v>0</v>
      </c>
      <c r="J47" s="509">
        <f>SUM(J43:J46)</f>
        <v>703019</v>
      </c>
    </row>
    <row r="48" spans="1:10" ht="16.5" customHeight="1" x14ac:dyDescent="0.25">
      <c r="A48" s="241"/>
      <c r="B48" s="8" t="s">
        <v>742</v>
      </c>
      <c r="C48" s="8"/>
      <c r="D48" s="8"/>
      <c r="E48" s="8"/>
      <c r="F48" s="8"/>
      <c r="G48" s="8"/>
      <c r="H48" s="8"/>
      <c r="I48" s="82"/>
      <c r="J48" s="512"/>
    </row>
    <row r="49" spans="1:10" ht="18" customHeight="1" x14ac:dyDescent="0.25">
      <c r="A49" s="242"/>
      <c r="B49" s="53" t="s">
        <v>0</v>
      </c>
      <c r="C49" s="625" t="s">
        <v>784</v>
      </c>
      <c r="D49" s="626"/>
      <c r="E49" s="626"/>
      <c r="F49" s="626"/>
      <c r="G49" s="626"/>
      <c r="H49" s="627"/>
      <c r="I49" s="469"/>
      <c r="J49" s="507">
        <v>500000</v>
      </c>
    </row>
    <row r="50" spans="1:10" ht="18" customHeight="1" x14ac:dyDescent="0.25">
      <c r="A50" s="243"/>
      <c r="B50" s="53" t="s">
        <v>6</v>
      </c>
      <c r="C50" s="625" t="s">
        <v>785</v>
      </c>
      <c r="D50" s="626"/>
      <c r="E50" s="626"/>
      <c r="F50" s="626"/>
      <c r="G50" s="626"/>
      <c r="H50" s="627"/>
      <c r="I50" s="469"/>
      <c r="J50" s="507">
        <v>389000</v>
      </c>
    </row>
    <row r="51" spans="1:10" ht="17.399999999999999" customHeight="1" x14ac:dyDescent="0.25">
      <c r="A51" s="244"/>
      <c r="B51" s="53" t="s">
        <v>14</v>
      </c>
      <c r="C51" s="625" t="s">
        <v>516</v>
      </c>
      <c r="D51" s="626"/>
      <c r="E51" s="626"/>
      <c r="F51" s="626"/>
      <c r="G51" s="626"/>
      <c r="H51" s="627"/>
      <c r="I51" s="79"/>
      <c r="J51" s="507"/>
    </row>
    <row r="52" spans="1:10" ht="31.5" customHeight="1" x14ac:dyDescent="0.25">
      <c r="A52" s="46"/>
      <c r="B52" s="620" t="s">
        <v>743</v>
      </c>
      <c r="C52" s="620"/>
      <c r="D52" s="620"/>
      <c r="E52" s="620"/>
      <c r="F52" s="620"/>
      <c r="G52" s="620"/>
      <c r="H52" s="621"/>
      <c r="I52" s="471">
        <f>SUM(I49:I51)</f>
        <v>0</v>
      </c>
      <c r="J52" s="509">
        <f>SUM(J49:J51)</f>
        <v>889000</v>
      </c>
    </row>
    <row r="53" spans="1:10" ht="18" customHeight="1" x14ac:dyDescent="0.25">
      <c r="A53" s="646"/>
      <c r="B53" s="619" t="s">
        <v>744</v>
      </c>
      <c r="C53" s="620"/>
      <c r="D53" s="620"/>
      <c r="E53" s="620"/>
      <c r="F53" s="620"/>
      <c r="G53" s="620"/>
      <c r="H53" s="620"/>
      <c r="I53" s="86"/>
      <c r="J53" s="508"/>
    </row>
    <row r="54" spans="1:10" ht="18" customHeight="1" x14ac:dyDescent="0.25">
      <c r="A54" s="647"/>
      <c r="B54" s="44" t="s">
        <v>0</v>
      </c>
      <c r="C54" s="625" t="s">
        <v>745</v>
      </c>
      <c r="D54" s="626"/>
      <c r="E54" s="626"/>
      <c r="F54" s="626"/>
      <c r="G54" s="626"/>
      <c r="H54" s="627"/>
      <c r="I54" s="469">
        <v>444500</v>
      </c>
      <c r="J54" s="507">
        <v>624500</v>
      </c>
    </row>
    <row r="55" spans="1:10" ht="18" customHeight="1" x14ac:dyDescent="0.25">
      <c r="A55" s="647"/>
      <c r="B55" s="44" t="s">
        <v>6</v>
      </c>
      <c r="C55" s="638" t="s">
        <v>516</v>
      </c>
      <c r="D55" s="638"/>
      <c r="E55" s="638"/>
      <c r="F55" s="638"/>
      <c r="G55" s="638"/>
      <c r="H55" s="639"/>
      <c r="I55" s="469"/>
      <c r="J55" s="507"/>
    </row>
    <row r="56" spans="1:10" ht="18" customHeight="1" x14ac:dyDescent="0.25">
      <c r="A56" s="648"/>
      <c r="B56" s="44" t="s">
        <v>14</v>
      </c>
      <c r="C56" s="626" t="s">
        <v>516</v>
      </c>
      <c r="D56" s="626"/>
      <c r="E56" s="626"/>
      <c r="F56" s="626"/>
      <c r="G56" s="626"/>
      <c r="H56" s="627"/>
      <c r="I56" s="469"/>
      <c r="J56" s="507"/>
    </row>
    <row r="57" spans="1:10" ht="18" customHeight="1" x14ac:dyDescent="0.25">
      <c r="A57" s="46"/>
      <c r="B57" s="649" t="s">
        <v>746</v>
      </c>
      <c r="C57" s="649"/>
      <c r="D57" s="649"/>
      <c r="E57" s="649"/>
      <c r="F57" s="649"/>
      <c r="G57" s="649"/>
      <c r="H57" s="622"/>
      <c r="I57" s="471">
        <f>SUM(I54:I56)</f>
        <v>444500</v>
      </c>
      <c r="J57" s="509">
        <f>SUM(J54:J56)</f>
        <v>624500</v>
      </c>
    </row>
    <row r="58" spans="1:10" ht="18" customHeight="1" x14ac:dyDescent="0.25">
      <c r="A58" s="46" t="s">
        <v>74</v>
      </c>
      <c r="B58" s="619" t="s">
        <v>76</v>
      </c>
      <c r="C58" s="620"/>
      <c r="D58" s="620"/>
      <c r="E58" s="620"/>
      <c r="F58" s="620"/>
      <c r="G58" s="620"/>
      <c r="H58" s="621"/>
      <c r="I58" s="471">
        <f>I47+I52+I57</f>
        <v>444500</v>
      </c>
      <c r="J58" s="509">
        <f>J47+J52+J57</f>
        <v>2216519</v>
      </c>
    </row>
    <row r="59" spans="1:10" ht="36.6" customHeight="1" thickBot="1" x14ac:dyDescent="0.3">
      <c r="A59" s="474"/>
      <c r="B59" s="54" t="s">
        <v>510</v>
      </c>
      <c r="C59" s="55"/>
      <c r="D59" s="55"/>
      <c r="E59" s="55"/>
      <c r="F59" s="55"/>
      <c r="G59" s="55"/>
      <c r="H59" s="56"/>
      <c r="I59" s="470">
        <f>I15+I36+I40+I58</f>
        <v>46704512</v>
      </c>
      <c r="J59" s="513">
        <f>J15+J36+J40+J58</f>
        <v>49937228</v>
      </c>
    </row>
  </sheetData>
  <mergeCells count="56">
    <mergeCell ref="B57:H57"/>
    <mergeCell ref="B58:H58"/>
    <mergeCell ref="C23:H23"/>
    <mergeCell ref="C26:H26"/>
    <mergeCell ref="C27:H27"/>
    <mergeCell ref="C28:H28"/>
    <mergeCell ref="C45:H45"/>
    <mergeCell ref="C44:H44"/>
    <mergeCell ref="C46:H46"/>
    <mergeCell ref="B47:H47"/>
    <mergeCell ref="B40:H40"/>
    <mergeCell ref="B41:H41"/>
    <mergeCell ref="C49:H49"/>
    <mergeCell ref="C43:H43"/>
    <mergeCell ref="A53:A56"/>
    <mergeCell ref="B53:H53"/>
    <mergeCell ref="C54:H54"/>
    <mergeCell ref="C55:H55"/>
    <mergeCell ref="C56:H56"/>
    <mergeCell ref="C50:H50"/>
    <mergeCell ref="C33:H33"/>
    <mergeCell ref="C32:H32"/>
    <mergeCell ref="C24:H24"/>
    <mergeCell ref="C25:H25"/>
    <mergeCell ref="C51:H51"/>
    <mergeCell ref="B52:H52"/>
    <mergeCell ref="B36:H36"/>
    <mergeCell ref="B37:H37"/>
    <mergeCell ref="C38:H38"/>
    <mergeCell ref="C39:H39"/>
    <mergeCell ref="A8:H9"/>
    <mergeCell ref="C22:H22"/>
    <mergeCell ref="C29:H29"/>
    <mergeCell ref="B30:H30"/>
    <mergeCell ref="B31:H31"/>
    <mergeCell ref="B15:H15"/>
    <mergeCell ref="A1:I1"/>
    <mergeCell ref="C12:H12"/>
    <mergeCell ref="C14:H14"/>
    <mergeCell ref="C20:H20"/>
    <mergeCell ref="C21:H21"/>
    <mergeCell ref="C19:H19"/>
    <mergeCell ref="B16:H16"/>
    <mergeCell ref="B10:H10"/>
    <mergeCell ref="C11:H11"/>
    <mergeCell ref="A3:J3"/>
    <mergeCell ref="A4:J4"/>
    <mergeCell ref="A5:J5"/>
    <mergeCell ref="A6:J6"/>
    <mergeCell ref="J8:J9"/>
    <mergeCell ref="B35:H35"/>
    <mergeCell ref="B17:H17"/>
    <mergeCell ref="C18:H18"/>
    <mergeCell ref="I8:I9"/>
    <mergeCell ref="C34:H34"/>
    <mergeCell ref="C13:H13"/>
  </mergeCells>
  <phoneticPr fontId="0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68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view="pageBreakPreview" zoomScale="80" zoomScaleNormal="100" workbookViewId="0">
      <selection activeCell="J21" sqref="J21"/>
    </sheetView>
  </sheetViews>
  <sheetFormatPr defaultRowHeight="15" x14ac:dyDescent="0.25"/>
  <cols>
    <col min="1" max="1" width="4.33203125" style="263" customWidth="1"/>
    <col min="2" max="2" width="7.109375" style="269" customWidth="1"/>
    <col min="3" max="3" width="79.6640625" style="267" customWidth="1"/>
    <col min="4" max="4" width="16" style="265" bestFit="1" customWidth="1"/>
    <col min="5" max="5" width="16" style="265" customWidth="1"/>
    <col min="6" max="6" width="8.88671875" style="263"/>
    <col min="7" max="7" width="9.5546875" style="263" bestFit="1" customWidth="1"/>
    <col min="8" max="16384" width="8.88671875" style="263"/>
  </cols>
  <sheetData>
    <row r="1" spans="1:6" ht="19.2" customHeight="1" x14ac:dyDescent="0.25">
      <c r="A1" s="651" t="s">
        <v>534</v>
      </c>
      <c r="B1" s="651"/>
      <c r="C1" s="651"/>
      <c r="D1" s="651"/>
      <c r="E1" s="651"/>
      <c r="F1" s="264"/>
    </row>
    <row r="2" spans="1:6" ht="13.5" customHeight="1" x14ac:dyDescent="0.25">
      <c r="A2" s="57"/>
      <c r="B2" s="270"/>
      <c r="C2" s="271"/>
      <c r="D2" s="272"/>
      <c r="E2" s="272"/>
    </row>
    <row r="3" spans="1:6" ht="18" customHeight="1" x14ac:dyDescent="0.25">
      <c r="A3" s="57"/>
      <c r="B3" s="650" t="s">
        <v>732</v>
      </c>
      <c r="C3" s="650"/>
      <c r="D3" s="650"/>
      <c r="E3" s="650"/>
    </row>
    <row r="4" spans="1:6" ht="17.399999999999999" customHeight="1" x14ac:dyDescent="0.25">
      <c r="A4" s="57"/>
      <c r="B4" s="650" t="s">
        <v>791</v>
      </c>
      <c r="C4" s="650"/>
      <c r="D4" s="650"/>
      <c r="E4" s="650"/>
    </row>
    <row r="5" spans="1:6" ht="17.399999999999999" customHeight="1" x14ac:dyDescent="0.25">
      <c r="A5" s="57"/>
      <c r="B5" s="650" t="s">
        <v>61</v>
      </c>
      <c r="C5" s="650"/>
      <c r="D5" s="650"/>
      <c r="E5" s="650"/>
    </row>
    <row r="6" spans="1:6" ht="24.75" customHeight="1" x14ac:dyDescent="0.25">
      <c r="A6" s="57"/>
      <c r="B6" s="650" t="s">
        <v>546</v>
      </c>
      <c r="C6" s="650"/>
      <c r="D6" s="650"/>
      <c r="E6" s="650"/>
    </row>
    <row r="7" spans="1:6" ht="24.75" customHeight="1" x14ac:dyDescent="0.25">
      <c r="A7" s="57"/>
      <c r="B7" s="273"/>
      <c r="C7" s="274"/>
      <c r="D7" s="329"/>
      <c r="E7" s="329" t="s">
        <v>599</v>
      </c>
    </row>
    <row r="8" spans="1:6" s="266" customFormat="1" ht="31.2" x14ac:dyDescent="0.25">
      <c r="A8" s="654" t="s">
        <v>535</v>
      </c>
      <c r="B8" s="655"/>
      <c r="C8" s="661"/>
      <c r="D8" s="400" t="s">
        <v>555</v>
      </c>
      <c r="E8" s="404" t="s">
        <v>629</v>
      </c>
    </row>
    <row r="9" spans="1:6" s="266" customFormat="1" ht="26.25" customHeight="1" x14ac:dyDescent="0.25">
      <c r="A9" s="654" t="s">
        <v>536</v>
      </c>
      <c r="B9" s="655"/>
      <c r="C9" s="655"/>
      <c r="D9" s="401"/>
      <c r="E9" s="398"/>
    </row>
    <row r="10" spans="1:6" s="266" customFormat="1" ht="19.2" customHeight="1" x14ac:dyDescent="0.25">
      <c r="A10" s="656" t="s">
        <v>537</v>
      </c>
      <c r="B10" s="657"/>
      <c r="C10" s="658"/>
      <c r="D10" s="275"/>
      <c r="E10" s="275"/>
    </row>
    <row r="11" spans="1:6" ht="37.950000000000003" customHeight="1" x14ac:dyDescent="0.25">
      <c r="A11" s="287"/>
      <c r="B11" s="276" t="s">
        <v>0</v>
      </c>
      <c r="C11" s="505" t="s">
        <v>782</v>
      </c>
      <c r="D11" s="278">
        <v>0</v>
      </c>
      <c r="E11" s="278">
        <f>'16.m. Önk. rovat+cofog'!AM123</f>
        <v>1200000</v>
      </c>
    </row>
    <row r="12" spans="1:6" ht="18.75" customHeight="1" x14ac:dyDescent="0.25">
      <c r="A12" s="287"/>
      <c r="B12" s="279" t="s">
        <v>6</v>
      </c>
      <c r="C12" s="280" t="s">
        <v>783</v>
      </c>
      <c r="D12" s="278"/>
      <c r="E12" s="406">
        <f>14087763+267619</f>
        <v>14355382</v>
      </c>
    </row>
    <row r="13" spans="1:6" ht="18.75" customHeight="1" x14ac:dyDescent="0.25">
      <c r="A13" s="287"/>
      <c r="B13" s="279" t="s">
        <v>14</v>
      </c>
      <c r="C13" s="280" t="s">
        <v>516</v>
      </c>
      <c r="D13" s="278"/>
      <c r="E13" s="406"/>
    </row>
    <row r="14" spans="1:6" ht="18.75" customHeight="1" x14ac:dyDescent="0.25">
      <c r="A14" s="287"/>
      <c r="B14" s="279" t="s">
        <v>17</v>
      </c>
      <c r="C14" s="281" t="s">
        <v>516</v>
      </c>
      <c r="D14" s="278"/>
      <c r="E14" s="406"/>
    </row>
    <row r="15" spans="1:6" ht="18.75" customHeight="1" x14ac:dyDescent="0.25">
      <c r="A15" s="287"/>
      <c r="B15" s="279" t="s">
        <v>34</v>
      </c>
      <c r="C15" s="281" t="s">
        <v>516</v>
      </c>
      <c r="D15" s="278"/>
      <c r="E15" s="406"/>
    </row>
    <row r="16" spans="1:6" ht="18.75" customHeight="1" x14ac:dyDescent="0.25">
      <c r="A16" s="287"/>
      <c r="B16" s="279" t="s">
        <v>36</v>
      </c>
      <c r="C16" s="283" t="s">
        <v>516</v>
      </c>
      <c r="D16" s="278"/>
      <c r="E16" s="407"/>
    </row>
    <row r="17" spans="1:5" ht="23.25" customHeight="1" x14ac:dyDescent="0.25">
      <c r="A17" s="286" t="s">
        <v>62</v>
      </c>
      <c r="B17" s="660" t="s">
        <v>547</v>
      </c>
      <c r="C17" s="660"/>
      <c r="D17" s="323">
        <f>SUM(D11:D16)</f>
        <v>0</v>
      </c>
      <c r="E17" s="323">
        <f>SUM(E11:E16)</f>
        <v>15555382</v>
      </c>
    </row>
    <row r="18" spans="1:5" s="266" customFormat="1" ht="26.25" customHeight="1" x14ac:dyDescent="0.25">
      <c r="A18" s="659" t="s">
        <v>538</v>
      </c>
      <c r="B18" s="655"/>
      <c r="C18" s="655"/>
      <c r="D18" s="402"/>
      <c r="E18" s="403"/>
    </row>
    <row r="19" spans="1:5" s="266" customFormat="1" ht="29.25" customHeight="1" x14ac:dyDescent="0.25">
      <c r="A19" s="656" t="s">
        <v>537</v>
      </c>
      <c r="B19" s="657"/>
      <c r="C19" s="657"/>
      <c r="D19" s="403"/>
      <c r="E19" s="399"/>
    </row>
    <row r="20" spans="1:5" s="266" customFormat="1" ht="19.2" customHeight="1" x14ac:dyDescent="0.25">
      <c r="A20" s="288"/>
      <c r="B20" s="276" t="s">
        <v>0</v>
      </c>
      <c r="C20" s="277" t="s">
        <v>773</v>
      </c>
      <c r="D20" s="278">
        <v>0</v>
      </c>
      <c r="E20" s="405">
        <v>32593969</v>
      </c>
    </row>
    <row r="21" spans="1:5" ht="19.2" customHeight="1" x14ac:dyDescent="0.25">
      <c r="A21" s="287"/>
      <c r="B21" s="279" t="s">
        <v>6</v>
      </c>
      <c r="C21" s="281" t="s">
        <v>516</v>
      </c>
      <c r="D21" s="284"/>
      <c r="E21" s="408"/>
    </row>
    <row r="22" spans="1:5" ht="19.2" customHeight="1" x14ac:dyDescent="0.25">
      <c r="A22" s="287"/>
      <c r="B22" s="279" t="s">
        <v>14</v>
      </c>
      <c r="C22" s="281" t="s">
        <v>516</v>
      </c>
      <c r="D22" s="278"/>
      <c r="E22" s="406"/>
    </row>
    <row r="23" spans="1:5" ht="19.2" customHeight="1" x14ac:dyDescent="0.25">
      <c r="A23" s="287"/>
      <c r="B23" s="279" t="s">
        <v>17</v>
      </c>
      <c r="C23" s="322" t="s">
        <v>516</v>
      </c>
      <c r="D23" s="278"/>
      <c r="E23" s="406"/>
    </row>
    <row r="24" spans="1:5" ht="19.2" customHeight="1" x14ac:dyDescent="0.25">
      <c r="A24" s="324"/>
      <c r="B24" s="282" t="s">
        <v>34</v>
      </c>
      <c r="C24" s="281" t="s">
        <v>516</v>
      </c>
      <c r="D24" s="278"/>
      <c r="E24" s="407"/>
    </row>
    <row r="25" spans="1:5" s="266" customFormat="1" ht="24.75" customHeight="1" x14ac:dyDescent="0.25">
      <c r="A25" s="289" t="s">
        <v>63</v>
      </c>
      <c r="B25" s="652" t="s">
        <v>548</v>
      </c>
      <c r="C25" s="653"/>
      <c r="D25" s="323">
        <f>SUM(D20:D24)</f>
        <v>0</v>
      </c>
      <c r="E25" s="323">
        <f>SUM(E20:E24)</f>
        <v>32593969</v>
      </c>
    </row>
    <row r="26" spans="1:5" s="266" customFormat="1" ht="32.25" customHeight="1" x14ac:dyDescent="0.25">
      <c r="A26" s="289" t="s">
        <v>65</v>
      </c>
      <c r="B26" s="652" t="s">
        <v>550</v>
      </c>
      <c r="C26" s="653"/>
      <c r="D26" s="285">
        <f>D17+D25</f>
        <v>0</v>
      </c>
      <c r="E26" s="285">
        <f>E17+E25</f>
        <v>48149351</v>
      </c>
    </row>
    <row r="27" spans="1:5" ht="19.2" customHeight="1" x14ac:dyDescent="0.25">
      <c r="B27" s="263"/>
      <c r="C27" s="263"/>
      <c r="D27" s="263"/>
      <c r="E27" s="263"/>
    </row>
    <row r="28" spans="1:5" ht="19.2" customHeight="1" x14ac:dyDescent="0.25">
      <c r="B28" s="263"/>
      <c r="C28" s="263"/>
      <c r="D28" s="263"/>
      <c r="E28" s="263"/>
    </row>
    <row r="29" spans="1:5" ht="19.2" customHeight="1" x14ac:dyDescent="0.25">
      <c r="B29" s="263"/>
      <c r="C29" s="263"/>
      <c r="D29" s="263"/>
      <c r="E29" s="263"/>
    </row>
    <row r="30" spans="1:5" ht="19.2" customHeight="1" x14ac:dyDescent="0.25">
      <c r="B30" s="263"/>
      <c r="C30" s="263"/>
      <c r="D30" s="263"/>
      <c r="E30" s="263"/>
    </row>
    <row r="31" spans="1:5" ht="19.2" customHeight="1" x14ac:dyDescent="0.25">
      <c r="B31" s="263"/>
      <c r="C31" s="263"/>
      <c r="D31" s="263"/>
      <c r="E31" s="263"/>
    </row>
    <row r="32" spans="1:5" ht="19.2" customHeight="1" x14ac:dyDescent="0.25">
      <c r="B32" s="263"/>
      <c r="C32" s="263"/>
      <c r="D32" s="263"/>
      <c r="E32" s="263"/>
    </row>
    <row r="33" spans="2:5" ht="19.2" customHeight="1" x14ac:dyDescent="0.25">
      <c r="B33" s="263"/>
      <c r="C33" s="263"/>
      <c r="D33" s="263"/>
      <c r="E33" s="263"/>
    </row>
    <row r="34" spans="2:5" ht="38.4" customHeight="1" x14ac:dyDescent="0.25">
      <c r="B34" s="267"/>
      <c r="C34" s="263"/>
      <c r="D34" s="263"/>
      <c r="E34" s="263"/>
    </row>
    <row r="35" spans="2:5" ht="19.2" customHeight="1" x14ac:dyDescent="0.25">
      <c r="B35" s="263"/>
      <c r="C35" s="263"/>
      <c r="D35" s="263"/>
      <c r="E35" s="263"/>
    </row>
    <row r="36" spans="2:5" ht="19.2" customHeight="1" x14ac:dyDescent="0.25">
      <c r="B36" s="263"/>
      <c r="C36" s="268"/>
      <c r="D36" s="263"/>
      <c r="E36" s="263"/>
    </row>
    <row r="37" spans="2:5" ht="19.2" customHeight="1" x14ac:dyDescent="0.25">
      <c r="B37" s="263"/>
      <c r="C37" s="268"/>
      <c r="D37" s="263"/>
      <c r="E37" s="263"/>
    </row>
    <row r="38" spans="2:5" ht="19.2" customHeight="1" x14ac:dyDescent="0.25">
      <c r="B38" s="263"/>
      <c r="C38" s="263"/>
      <c r="D38" s="263"/>
      <c r="E38" s="263"/>
    </row>
    <row r="39" spans="2:5" ht="19.2" customHeight="1" x14ac:dyDescent="0.25">
      <c r="B39" s="263"/>
      <c r="C39" s="263"/>
      <c r="D39" s="263"/>
      <c r="E39" s="263"/>
    </row>
    <row r="40" spans="2:5" ht="19.2" customHeight="1" x14ac:dyDescent="0.25">
      <c r="B40" s="263"/>
      <c r="C40" s="263"/>
      <c r="D40" s="263"/>
      <c r="E40" s="263"/>
    </row>
    <row r="41" spans="2:5" ht="19.2" customHeight="1" x14ac:dyDescent="0.25">
      <c r="B41" s="263"/>
      <c r="C41" s="263"/>
      <c r="D41" s="263"/>
      <c r="E41" s="263"/>
    </row>
    <row r="42" spans="2:5" ht="19.2" customHeight="1" x14ac:dyDescent="0.25">
      <c r="B42" s="263"/>
      <c r="C42" s="263"/>
      <c r="D42" s="263"/>
      <c r="E42" s="263"/>
    </row>
    <row r="43" spans="2:5" ht="19.2" customHeight="1" x14ac:dyDescent="0.25">
      <c r="B43" s="263"/>
      <c r="C43" s="263"/>
      <c r="D43" s="263"/>
      <c r="E43" s="263"/>
    </row>
    <row r="44" spans="2:5" ht="19.2" customHeight="1" x14ac:dyDescent="0.25">
      <c r="B44" s="263"/>
      <c r="C44" s="263"/>
      <c r="D44" s="263"/>
      <c r="E44" s="263"/>
    </row>
    <row r="45" spans="2:5" ht="19.2" customHeight="1" x14ac:dyDescent="0.25">
      <c r="B45" s="263"/>
      <c r="C45" s="263"/>
      <c r="D45" s="263"/>
      <c r="E45" s="263"/>
    </row>
    <row r="46" spans="2:5" ht="19.2" customHeight="1" x14ac:dyDescent="0.25">
      <c r="B46" s="263"/>
      <c r="C46" s="263"/>
      <c r="D46" s="263"/>
      <c r="E46" s="263"/>
    </row>
    <row r="47" spans="2:5" ht="19.2" customHeight="1" x14ac:dyDescent="0.25">
      <c r="B47" s="263"/>
      <c r="C47" s="263"/>
      <c r="D47" s="263"/>
      <c r="E47" s="263"/>
    </row>
    <row r="48" spans="2:5" ht="19.2" customHeight="1" x14ac:dyDescent="0.25">
      <c r="B48" s="263"/>
      <c r="C48" s="263"/>
      <c r="D48" s="263"/>
      <c r="E48" s="263"/>
    </row>
    <row r="49" s="263" customFormat="1" ht="19.2" customHeight="1" x14ac:dyDescent="0.25"/>
    <row r="50" s="263" customFormat="1" ht="19.2" customHeight="1" x14ac:dyDescent="0.25"/>
    <row r="51" s="263" customFormat="1" ht="19.2" customHeight="1" x14ac:dyDescent="0.25"/>
    <row r="52" s="263" customFormat="1" ht="19.2" customHeight="1" x14ac:dyDescent="0.25"/>
    <row r="53" s="263" customFormat="1" ht="19.2" customHeight="1" x14ac:dyDescent="0.25"/>
    <row r="54" s="263" customFormat="1" ht="19.2" customHeight="1" x14ac:dyDescent="0.25"/>
    <row r="55" s="263" customFormat="1" ht="19.2" customHeight="1" x14ac:dyDescent="0.25"/>
    <row r="56" s="263" customFormat="1" ht="19.2" customHeight="1" x14ac:dyDescent="0.25"/>
    <row r="57" s="263" customFormat="1" ht="19.2" customHeight="1" x14ac:dyDescent="0.25"/>
    <row r="58" s="263" customFormat="1" ht="19.2" customHeight="1" x14ac:dyDescent="0.25"/>
    <row r="59" s="263" customFormat="1" ht="19.2" customHeight="1" x14ac:dyDescent="0.25"/>
    <row r="60" s="263" customFormat="1" ht="19.2" customHeight="1" x14ac:dyDescent="0.25"/>
    <row r="61" s="263" customFormat="1" ht="19.2" customHeight="1" x14ac:dyDescent="0.25"/>
    <row r="62" s="263" customFormat="1" ht="19.2" customHeight="1" x14ac:dyDescent="0.25"/>
    <row r="63" s="263" customFormat="1" ht="19.2" customHeight="1" x14ac:dyDescent="0.25"/>
  </sheetData>
  <mergeCells count="13">
    <mergeCell ref="B17:C17"/>
    <mergeCell ref="A8:C8"/>
    <mergeCell ref="B3:E3"/>
    <mergeCell ref="B4:E4"/>
    <mergeCell ref="B5:E5"/>
    <mergeCell ref="B6:E6"/>
    <mergeCell ref="A1:E1"/>
    <mergeCell ref="B26:C26"/>
    <mergeCell ref="B25:C25"/>
    <mergeCell ref="A9:C9"/>
    <mergeCell ref="A10:C10"/>
    <mergeCell ref="A18:C18"/>
    <mergeCell ref="A19:C19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80" zoomScaleNormal="100" workbookViewId="0">
      <selection activeCell="N21" sqref="N21"/>
    </sheetView>
  </sheetViews>
  <sheetFormatPr defaultColWidth="9.109375" defaultRowHeight="13.2" x14ac:dyDescent="0.25"/>
  <cols>
    <col min="1" max="1" width="4" style="227" customWidth="1"/>
    <col min="2" max="2" width="27.33203125" style="225" bestFit="1" customWidth="1"/>
    <col min="3" max="3" width="11" style="225" bestFit="1" customWidth="1"/>
    <col min="4" max="4" width="10.33203125" style="225" bestFit="1" customWidth="1"/>
    <col min="5" max="5" width="9.5546875" style="225" customWidth="1"/>
    <col min="6" max="6" width="9.5546875" style="225" bestFit="1" customWidth="1"/>
    <col min="7" max="7" width="10.44140625" style="225" customWidth="1"/>
    <col min="8" max="8" width="9.88671875" style="225" customWidth="1"/>
    <col min="9" max="9" width="9.33203125" style="225" customWidth="1"/>
    <col min="10" max="10" width="8.6640625" style="225" customWidth="1"/>
    <col min="11" max="11" width="7.88671875" style="225" customWidth="1"/>
    <col min="12" max="12" width="9.109375" style="225"/>
    <col min="13" max="13" width="9.33203125" style="225" customWidth="1"/>
    <col min="14" max="14" width="8.33203125" style="225" customWidth="1"/>
    <col min="15" max="16384" width="9.109375" style="225"/>
  </cols>
  <sheetData>
    <row r="1" spans="1:15" ht="23.25" customHeight="1" x14ac:dyDescent="0.25">
      <c r="A1" s="224"/>
      <c r="B1" s="651" t="s">
        <v>539</v>
      </c>
      <c r="C1" s="651"/>
      <c r="D1" s="651"/>
      <c r="E1" s="651"/>
      <c r="F1" s="651"/>
      <c r="G1" s="651"/>
      <c r="H1" s="662"/>
      <c r="I1" s="662"/>
      <c r="J1" s="662"/>
      <c r="K1" s="662"/>
      <c r="L1" s="662"/>
      <c r="M1" s="662"/>
      <c r="N1" s="662"/>
    </row>
    <row r="2" spans="1:15" ht="15.75" customHeight="1" x14ac:dyDescent="0.25">
      <c r="A2" s="59"/>
    </row>
    <row r="3" spans="1:15" ht="22.5" customHeight="1" x14ac:dyDescent="0.25">
      <c r="A3" s="59"/>
      <c r="B3" s="663" t="s">
        <v>792</v>
      </c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</row>
    <row r="4" spans="1:15" ht="26.25" customHeight="1" x14ac:dyDescent="0.25">
      <c r="A4" s="59"/>
      <c r="B4" s="663" t="s">
        <v>493</v>
      </c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224"/>
    </row>
    <row r="5" spans="1:15" ht="21.75" customHeight="1" x14ac:dyDescent="0.25">
      <c r="A5" s="59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24"/>
    </row>
    <row r="6" spans="1:15" ht="27.75" customHeight="1" x14ac:dyDescent="0.25">
      <c r="A6" s="223" t="s">
        <v>0</v>
      </c>
      <c r="B6" s="664" t="s">
        <v>786</v>
      </c>
      <c r="C6" s="631"/>
      <c r="D6" s="631"/>
      <c r="E6" s="631"/>
      <c r="F6" s="631"/>
      <c r="G6" s="631"/>
      <c r="H6" s="631"/>
      <c r="I6" s="631"/>
      <c r="J6" s="631"/>
      <c r="K6" s="631"/>
      <c r="L6" s="631"/>
      <c r="M6" s="631"/>
      <c r="N6" s="631"/>
      <c r="O6" s="224"/>
    </row>
    <row r="7" spans="1:15" ht="15.75" customHeight="1" x14ac:dyDescent="0.25">
      <c r="A7" s="223" t="s">
        <v>6</v>
      </c>
      <c r="B7" s="666" t="s">
        <v>1</v>
      </c>
      <c r="C7" s="668" t="s">
        <v>494</v>
      </c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</row>
    <row r="8" spans="1:15" ht="19.5" customHeight="1" x14ac:dyDescent="0.25">
      <c r="A8" s="223" t="s">
        <v>14</v>
      </c>
      <c r="B8" s="666"/>
      <c r="C8" s="668" t="s">
        <v>495</v>
      </c>
      <c r="D8" s="668"/>
      <c r="E8" s="668"/>
      <c r="F8" s="668"/>
      <c r="G8" s="668" t="s">
        <v>496</v>
      </c>
      <c r="H8" s="668"/>
      <c r="I8" s="668"/>
      <c r="J8" s="668"/>
      <c r="K8" s="668" t="s">
        <v>497</v>
      </c>
      <c r="L8" s="668"/>
      <c r="M8" s="668"/>
      <c r="N8" s="668"/>
    </row>
    <row r="9" spans="1:15" ht="144.75" customHeight="1" x14ac:dyDescent="0.25">
      <c r="A9" s="223" t="s">
        <v>17</v>
      </c>
      <c r="B9" s="667"/>
      <c r="C9" s="216" t="s">
        <v>498</v>
      </c>
      <c r="D9" s="216" t="s">
        <v>499</v>
      </c>
      <c r="E9" s="217" t="s">
        <v>500</v>
      </c>
      <c r="F9" s="216" t="s">
        <v>501</v>
      </c>
      <c r="G9" s="216" t="s">
        <v>498</v>
      </c>
      <c r="H9" s="216" t="s">
        <v>499</v>
      </c>
      <c r="I9" s="217" t="s">
        <v>500</v>
      </c>
      <c r="J9" s="216" t="s">
        <v>501</v>
      </c>
      <c r="K9" s="216" t="s">
        <v>502</v>
      </c>
      <c r="L9" s="216" t="s">
        <v>499</v>
      </c>
      <c r="M9" s="217" t="s">
        <v>500</v>
      </c>
      <c r="N9" s="216" t="s">
        <v>501</v>
      </c>
    </row>
    <row r="10" spans="1:15" ht="48.75" customHeight="1" x14ac:dyDescent="0.25">
      <c r="A10" s="514" t="s">
        <v>34</v>
      </c>
      <c r="B10" s="517" t="s">
        <v>740</v>
      </c>
      <c r="C10" s="550">
        <v>5</v>
      </c>
      <c r="D10" s="316">
        <v>0</v>
      </c>
      <c r="E10" s="229">
        <f>SUM(C10:D10)</f>
        <v>5</v>
      </c>
      <c r="F10" s="318">
        <f>E10</f>
        <v>5</v>
      </c>
      <c r="G10" s="316">
        <v>5</v>
      </c>
      <c r="H10" s="316">
        <v>0</v>
      </c>
      <c r="I10" s="317">
        <f>SUM(G10:H10)</f>
        <v>5</v>
      </c>
      <c r="J10" s="316"/>
      <c r="K10" s="316"/>
      <c r="L10" s="316"/>
      <c r="M10" s="317"/>
      <c r="N10" s="316"/>
    </row>
    <row r="11" spans="1:15" ht="38.25" customHeight="1" x14ac:dyDescent="0.25">
      <c r="A11" s="514" t="s">
        <v>36</v>
      </c>
      <c r="B11" s="62" t="s">
        <v>770</v>
      </c>
      <c r="C11" s="551">
        <f>'17.m. Óvoda rovat+cofog'!J95</f>
        <v>5</v>
      </c>
      <c r="D11" s="228">
        <v>0</v>
      </c>
      <c r="E11" s="229">
        <f>SUM(C11:D11)</f>
        <v>5</v>
      </c>
      <c r="F11" s="318">
        <f>E11</f>
        <v>5</v>
      </c>
      <c r="G11" s="226">
        <v>5</v>
      </c>
      <c r="H11" s="226">
        <v>0</v>
      </c>
      <c r="I11" s="317">
        <f>SUM(G11:H11)</f>
        <v>5</v>
      </c>
      <c r="J11" s="226"/>
      <c r="K11" s="226"/>
      <c r="L11" s="226"/>
      <c r="M11" s="226"/>
      <c r="N11" s="226"/>
    </row>
    <row r="12" spans="1:15" ht="24" customHeight="1" x14ac:dyDescent="0.25">
      <c r="A12" s="223" t="s">
        <v>31</v>
      </c>
      <c r="B12" s="62" t="s">
        <v>67</v>
      </c>
      <c r="C12" s="60">
        <v>4</v>
      </c>
      <c r="D12" s="60">
        <v>0</v>
      </c>
      <c r="E12" s="61">
        <f>SUM(C12:D12)</f>
        <v>4</v>
      </c>
      <c r="F12" s="318">
        <f>E12</f>
        <v>4</v>
      </c>
      <c r="G12" s="60">
        <v>4</v>
      </c>
      <c r="H12" s="60">
        <v>0</v>
      </c>
      <c r="I12" s="317">
        <f>SUM(G12:H12)</f>
        <v>4</v>
      </c>
      <c r="J12" s="61"/>
      <c r="K12" s="218"/>
      <c r="L12" s="218"/>
      <c r="M12" s="218"/>
      <c r="N12" s="61"/>
    </row>
    <row r="13" spans="1:15" ht="31.2" x14ac:dyDescent="0.25">
      <c r="A13" s="223" t="s">
        <v>18</v>
      </c>
      <c r="B13" s="63" t="s">
        <v>504</v>
      </c>
      <c r="C13" s="61">
        <f>SUM(C10:C12)</f>
        <v>14</v>
      </c>
      <c r="D13" s="61">
        <f>SUM(D10:D12)</f>
        <v>0</v>
      </c>
      <c r="E13" s="61">
        <f>SUM(E10:E12)</f>
        <v>14</v>
      </c>
      <c r="F13" s="328">
        <f>E13</f>
        <v>14</v>
      </c>
      <c r="G13" s="61">
        <f>SUM(G10:G12)</f>
        <v>14</v>
      </c>
      <c r="H13" s="61">
        <f>SUM(H10:H12)</f>
        <v>0</v>
      </c>
      <c r="I13" s="317">
        <f>SUM(G13:H13)</f>
        <v>14</v>
      </c>
      <c r="J13" s="61"/>
      <c r="K13" s="218"/>
      <c r="L13" s="218"/>
      <c r="M13" s="218"/>
      <c r="N13" s="61"/>
    </row>
    <row r="14" spans="1:15" ht="17.100000000000001" customHeight="1" x14ac:dyDescent="0.25">
      <c r="A14" s="59"/>
      <c r="B14" s="219"/>
      <c r="C14" s="219"/>
      <c r="D14" s="220"/>
      <c r="E14" s="221"/>
      <c r="F14" s="221"/>
      <c r="G14" s="221"/>
      <c r="H14" s="221"/>
      <c r="I14" s="221"/>
      <c r="J14" s="221"/>
      <c r="K14" s="221"/>
      <c r="L14" s="221"/>
      <c r="M14" s="221"/>
      <c r="N14" s="221"/>
    </row>
    <row r="15" spans="1:15" ht="17.100000000000001" customHeight="1" x14ac:dyDescent="0.25">
      <c r="A15" s="59"/>
      <c r="B15" s="248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</row>
    <row r="16" spans="1:15" ht="17.100000000000001" customHeight="1" x14ac:dyDescent="0.25">
      <c r="A16" s="223" t="s">
        <v>19</v>
      </c>
      <c r="B16" s="664" t="s">
        <v>503</v>
      </c>
      <c r="C16" s="665"/>
      <c r="D16" s="665"/>
      <c r="E16" s="665"/>
      <c r="F16" s="665"/>
      <c r="G16" s="665"/>
      <c r="H16" s="665"/>
      <c r="I16" s="665"/>
      <c r="J16" s="665"/>
      <c r="K16" s="665"/>
      <c r="L16" s="665"/>
      <c r="M16" s="665"/>
      <c r="N16" s="665"/>
    </row>
    <row r="17" spans="1:14" ht="19.5" customHeight="1" x14ac:dyDescent="0.25">
      <c r="A17" s="223" t="s">
        <v>20</v>
      </c>
      <c r="B17" s="226" t="s">
        <v>23</v>
      </c>
      <c r="C17" s="363">
        <f>'16.m. Önk. rovat+cofog'!L145</f>
        <v>13</v>
      </c>
      <c r="D17" s="230">
        <v>0</v>
      </c>
      <c r="E17" s="231">
        <f>SUM(C17:D17)</f>
        <v>13</v>
      </c>
      <c r="F17" s="226">
        <v>13</v>
      </c>
      <c r="G17" s="226">
        <v>13</v>
      </c>
      <c r="H17" s="226">
        <v>0</v>
      </c>
      <c r="I17" s="231">
        <f>SUM(G17:H17)</f>
        <v>13</v>
      </c>
      <c r="J17" s="226"/>
      <c r="K17" s="226"/>
      <c r="L17" s="226"/>
      <c r="M17" s="226"/>
      <c r="N17" s="226"/>
    </row>
    <row r="20" spans="1:14" ht="16.5" customHeight="1" x14ac:dyDescent="0.25"/>
    <row r="21" spans="1:14" ht="15" customHeight="1" x14ac:dyDescent="0.25"/>
  </sheetData>
  <mergeCells count="10">
    <mergeCell ref="B1:N1"/>
    <mergeCell ref="B3:N3"/>
    <mergeCell ref="B4:N4"/>
    <mergeCell ref="B6:N6"/>
    <mergeCell ref="B16:N16"/>
    <mergeCell ref="B7:B9"/>
    <mergeCell ref="C7:N7"/>
    <mergeCell ref="C8:F8"/>
    <mergeCell ref="G8:J8"/>
    <mergeCell ref="K8:N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1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90" zoomScaleNormal="100" workbookViewId="0">
      <selection activeCell="A4" sqref="A4"/>
    </sheetView>
  </sheetViews>
  <sheetFormatPr defaultColWidth="9.109375" defaultRowHeight="13.2" x14ac:dyDescent="0.25"/>
  <cols>
    <col min="1" max="1" width="4" style="232" customWidth="1"/>
    <col min="2" max="2" width="31.88671875" style="65" customWidth="1"/>
    <col min="3" max="4" width="15.109375" style="65" customWidth="1"/>
    <col min="5" max="5" width="16.88671875" style="65" bestFit="1" customWidth="1"/>
    <col min="6" max="6" width="16.88671875" style="65" customWidth="1"/>
    <col min="7" max="8" width="15.109375" style="65" customWidth="1"/>
    <col min="9" max="10" width="19.5546875" style="65" customWidth="1"/>
    <col min="11" max="16384" width="9.109375" style="65"/>
  </cols>
  <sheetData>
    <row r="1" spans="1:11" ht="23.25" customHeight="1" x14ac:dyDescent="0.25">
      <c r="A1" s="64"/>
      <c r="B1" s="651" t="s">
        <v>540</v>
      </c>
      <c r="C1" s="651"/>
      <c r="D1" s="651"/>
      <c r="E1" s="651"/>
      <c r="F1" s="651"/>
      <c r="G1" s="651"/>
      <c r="H1" s="651"/>
      <c r="I1" s="651"/>
      <c r="J1" s="651"/>
    </row>
    <row r="2" spans="1:11" ht="21.75" customHeight="1" x14ac:dyDescent="0.25">
      <c r="A2" s="64"/>
      <c r="B2" s="57"/>
      <c r="C2" s="57"/>
      <c r="D2" s="57"/>
      <c r="E2" s="57"/>
      <c r="F2" s="57"/>
      <c r="G2" s="57"/>
      <c r="H2" s="57"/>
      <c r="I2" s="66"/>
      <c r="J2" s="66"/>
    </row>
    <row r="3" spans="1:11" ht="42" customHeight="1" x14ac:dyDescent="0.25">
      <c r="A3" s="674" t="s">
        <v>793</v>
      </c>
      <c r="B3" s="674"/>
      <c r="C3" s="674"/>
      <c r="D3" s="674"/>
      <c r="E3" s="674"/>
      <c r="F3" s="674"/>
      <c r="G3" s="674"/>
      <c r="H3" s="674"/>
      <c r="I3" s="674"/>
      <c r="J3" s="674"/>
    </row>
    <row r="4" spans="1:11" ht="35.25" customHeight="1" x14ac:dyDescent="0.25">
      <c r="A4" s="67"/>
      <c r="B4" s="669"/>
      <c r="C4" s="669"/>
      <c r="D4" s="669"/>
      <c r="E4" s="669"/>
      <c r="F4" s="669"/>
      <c r="G4" s="669"/>
      <c r="H4" s="669"/>
      <c r="I4" s="669"/>
      <c r="J4" s="382"/>
    </row>
    <row r="5" spans="1:11" ht="17.100000000000001" customHeight="1" x14ac:dyDescent="0.25">
      <c r="A5" s="59"/>
      <c r="B5" s="670"/>
      <c r="C5" s="671"/>
      <c r="D5" s="671"/>
      <c r="E5" s="671"/>
      <c r="F5" s="671"/>
      <c r="G5" s="671"/>
      <c r="H5" s="671"/>
      <c r="I5" s="671"/>
      <c r="J5" s="409"/>
      <c r="K5" s="64"/>
    </row>
    <row r="6" spans="1:11" ht="15.75" customHeight="1" x14ac:dyDescent="0.25">
      <c r="A6" s="223" t="s">
        <v>0</v>
      </c>
      <c r="B6" s="675" t="s">
        <v>1</v>
      </c>
      <c r="C6" s="668" t="s">
        <v>93</v>
      </c>
      <c r="D6" s="668"/>
      <c r="E6" s="668"/>
      <c r="F6" s="668"/>
      <c r="G6" s="668"/>
      <c r="H6" s="668"/>
      <c r="I6" s="668"/>
      <c r="J6" s="668"/>
      <c r="K6" s="64"/>
    </row>
    <row r="7" spans="1:11" ht="19.5" customHeight="1" x14ac:dyDescent="0.25">
      <c r="A7" s="223" t="s">
        <v>6</v>
      </c>
      <c r="B7" s="676"/>
      <c r="C7" s="668"/>
      <c r="D7" s="668"/>
      <c r="E7" s="668"/>
      <c r="F7" s="668"/>
      <c r="G7" s="668"/>
      <c r="H7" s="668"/>
      <c r="I7" s="668"/>
      <c r="J7" s="668"/>
    </row>
    <row r="8" spans="1:11" ht="75" customHeight="1" x14ac:dyDescent="0.25">
      <c r="A8" s="678" t="s">
        <v>14</v>
      </c>
      <c r="B8" s="676"/>
      <c r="C8" s="672" t="s">
        <v>631</v>
      </c>
      <c r="D8" s="673"/>
      <c r="E8" s="672" t="s">
        <v>94</v>
      </c>
      <c r="F8" s="673"/>
      <c r="G8" s="672" t="s">
        <v>95</v>
      </c>
      <c r="H8" s="673"/>
      <c r="I8" s="672" t="s">
        <v>630</v>
      </c>
      <c r="J8" s="673"/>
    </row>
    <row r="9" spans="1:11" ht="26.25" customHeight="1" x14ac:dyDescent="0.25">
      <c r="A9" s="679"/>
      <c r="B9" s="677"/>
      <c r="C9" s="392" t="s">
        <v>625</v>
      </c>
      <c r="D9" s="389" t="s">
        <v>626</v>
      </c>
      <c r="E9" s="389" t="s">
        <v>625</v>
      </c>
      <c r="F9" s="389" t="s">
        <v>626</v>
      </c>
      <c r="G9" s="389" t="s">
        <v>625</v>
      </c>
      <c r="H9" s="389" t="s">
        <v>626</v>
      </c>
      <c r="I9" s="389" t="s">
        <v>625</v>
      </c>
      <c r="J9" s="389" t="s">
        <v>626</v>
      </c>
    </row>
    <row r="10" spans="1:11" ht="31.2" customHeight="1" x14ac:dyDescent="0.25">
      <c r="A10" s="514" t="s">
        <v>17</v>
      </c>
      <c r="B10" s="517" t="s">
        <v>740</v>
      </c>
      <c r="C10" s="515">
        <v>0</v>
      </c>
      <c r="D10" s="318">
        <v>0</v>
      </c>
      <c r="E10" s="318">
        <f>'18.m. Konyha rovat+cofog'!J99</f>
        <v>36045373.93</v>
      </c>
      <c r="F10" s="318">
        <f>'18.m. Konyha rovat+cofog'!K99</f>
        <v>40587403.694200002</v>
      </c>
      <c r="G10" s="318">
        <v>0</v>
      </c>
      <c r="H10" s="318">
        <v>0</v>
      </c>
      <c r="I10" s="60">
        <f t="shared" ref="I10:J12" si="0">C10+E10+G10</f>
        <v>36045373.93</v>
      </c>
      <c r="J10" s="60">
        <f t="shared" si="0"/>
        <v>40587403.694200002</v>
      </c>
    </row>
    <row r="11" spans="1:11" ht="31.2" customHeight="1" x14ac:dyDescent="0.25">
      <c r="A11" s="514" t="s">
        <v>34</v>
      </c>
      <c r="B11" s="62" t="s">
        <v>770</v>
      </c>
      <c r="C11" s="516">
        <v>0</v>
      </c>
      <c r="D11" s="60">
        <v>0</v>
      </c>
      <c r="E11" s="60">
        <f>'17.m. Óvoda rovat+cofog'!J98</f>
        <v>21139832.875</v>
      </c>
      <c r="F11" s="60">
        <f>'17.m. Óvoda rovat+cofog'!K98</f>
        <v>19764832.574999999</v>
      </c>
      <c r="G11" s="60">
        <v>0</v>
      </c>
      <c r="H11" s="60">
        <v>0</v>
      </c>
      <c r="I11" s="60">
        <f t="shared" si="0"/>
        <v>21139832.875</v>
      </c>
      <c r="J11" s="60">
        <f t="shared" si="0"/>
        <v>19764832.574999999</v>
      </c>
    </row>
    <row r="12" spans="1:11" ht="31.2" customHeight="1" x14ac:dyDescent="0.25">
      <c r="A12" s="223" t="s">
        <v>36</v>
      </c>
      <c r="B12" s="62" t="s">
        <v>67</v>
      </c>
      <c r="C12" s="60">
        <v>0</v>
      </c>
      <c r="D12" s="60">
        <v>0</v>
      </c>
      <c r="E12" s="68">
        <f>'16.m. Önk. rovat+cofog'!AX148</f>
        <v>146962600.87</v>
      </c>
      <c r="F12" s="68">
        <f>'16.m. Önk. rovat+cofog'!AY148</f>
        <v>196399179.62</v>
      </c>
      <c r="G12" s="68">
        <v>0</v>
      </c>
      <c r="H12" s="68">
        <v>0</v>
      </c>
      <c r="I12" s="60">
        <f t="shared" si="0"/>
        <v>146962600.87</v>
      </c>
      <c r="J12" s="60">
        <f t="shared" si="0"/>
        <v>196399179.62</v>
      </c>
    </row>
    <row r="13" spans="1:11" ht="25.5" customHeight="1" x14ac:dyDescent="0.25">
      <c r="A13" s="223" t="s">
        <v>31</v>
      </c>
      <c r="B13" s="63" t="s">
        <v>96</v>
      </c>
      <c r="C13" s="61">
        <f t="shared" ref="C13:J13" si="1">SUM(C10:C12)</f>
        <v>0</v>
      </c>
      <c r="D13" s="61">
        <f t="shared" si="1"/>
        <v>0</v>
      </c>
      <c r="E13" s="61">
        <f t="shared" si="1"/>
        <v>204147807.67500001</v>
      </c>
      <c r="F13" s="61">
        <f t="shared" si="1"/>
        <v>256751415.8892</v>
      </c>
      <c r="G13" s="61">
        <f t="shared" si="1"/>
        <v>0</v>
      </c>
      <c r="H13" s="61">
        <f t="shared" si="1"/>
        <v>0</v>
      </c>
      <c r="I13" s="61">
        <f t="shared" si="1"/>
        <v>204147807.67500001</v>
      </c>
      <c r="J13" s="61">
        <f t="shared" si="1"/>
        <v>256751415.8892</v>
      </c>
    </row>
    <row r="14" spans="1:11" ht="17.100000000000001" customHeight="1" x14ac:dyDescent="0.25">
      <c r="A14" s="67"/>
      <c r="B14" s="69"/>
      <c r="C14" s="70"/>
      <c r="D14" s="70"/>
      <c r="E14" s="70"/>
      <c r="F14" s="70"/>
      <c r="G14" s="70"/>
      <c r="H14" s="70"/>
      <c r="I14" s="70"/>
      <c r="J14" s="70"/>
    </row>
    <row r="15" spans="1:11" ht="17.100000000000001" customHeight="1" x14ac:dyDescent="0.25">
      <c r="A15" s="67"/>
      <c r="B15" s="71"/>
      <c r="C15" s="72"/>
      <c r="D15" s="72"/>
      <c r="E15" s="72"/>
      <c r="F15" s="72"/>
      <c r="G15" s="72"/>
      <c r="H15" s="72"/>
      <c r="I15" s="73"/>
      <c r="J15" s="73"/>
    </row>
    <row r="18" ht="16.5" customHeight="1" x14ac:dyDescent="0.25"/>
    <row r="19" ht="15" customHeight="1" x14ac:dyDescent="0.25"/>
  </sheetData>
  <mergeCells count="11">
    <mergeCell ref="C8:D8"/>
    <mergeCell ref="B4:I4"/>
    <mergeCell ref="B5:I5"/>
    <mergeCell ref="C6:J7"/>
    <mergeCell ref="I8:J8"/>
    <mergeCell ref="G8:H8"/>
    <mergeCell ref="B1:J1"/>
    <mergeCell ref="E8:F8"/>
    <mergeCell ref="A3:J3"/>
    <mergeCell ref="B6:B9"/>
    <mergeCell ref="A8:A9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="75" zoomScaleNormal="100" workbookViewId="0">
      <selection activeCell="D25" sqref="D25"/>
    </sheetView>
  </sheetViews>
  <sheetFormatPr defaultColWidth="9.109375" defaultRowHeight="13.2" x14ac:dyDescent="0.25"/>
  <cols>
    <col min="1" max="1" width="5.109375" style="41" customWidth="1"/>
    <col min="2" max="2" width="29.33203125" style="13" customWidth="1"/>
    <col min="3" max="3" width="14.44140625" style="13" bestFit="1" customWidth="1"/>
    <col min="4" max="15" width="13.109375" style="13" bestFit="1" customWidth="1"/>
    <col min="16" max="16384" width="9.109375" style="13"/>
  </cols>
  <sheetData>
    <row r="1" spans="1:16" x14ac:dyDescent="0.25">
      <c r="B1" s="680"/>
      <c r="C1" s="680"/>
      <c r="D1" s="681"/>
      <c r="E1" s="681"/>
      <c r="F1" s="681"/>
      <c r="I1" s="682" t="s">
        <v>541</v>
      </c>
      <c r="J1" s="682"/>
      <c r="K1" s="682"/>
      <c r="L1" s="682"/>
      <c r="M1" s="682"/>
      <c r="N1" s="682"/>
      <c r="O1" s="682"/>
    </row>
    <row r="2" spans="1:16" x14ac:dyDescent="0.25">
      <c r="N2" s="58"/>
      <c r="O2" s="58"/>
    </row>
    <row r="3" spans="1:16" s="252" customFormat="1" ht="18" x14ac:dyDescent="0.3">
      <c r="A3" s="251"/>
      <c r="B3" s="683" t="s">
        <v>794</v>
      </c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</row>
    <row r="4" spans="1:16" s="252" customFormat="1" ht="18" x14ac:dyDescent="0.3">
      <c r="A4" s="251"/>
      <c r="B4" s="683" t="s">
        <v>527</v>
      </c>
      <c r="C4" s="683"/>
      <c r="D4" s="68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</row>
    <row r="5" spans="1:16" s="252" customFormat="1" ht="18" x14ac:dyDescent="0.3">
      <c r="A5" s="251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</row>
    <row r="6" spans="1:16" ht="18" x14ac:dyDescent="0.25">
      <c r="B6" s="683" t="s">
        <v>101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</row>
    <row r="7" spans="1:16" ht="18" x14ac:dyDescent="0.25"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</row>
    <row r="8" spans="1:16" ht="19.5" customHeight="1" x14ac:dyDescent="0.25">
      <c r="B8" s="683" t="s">
        <v>99</v>
      </c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</row>
    <row r="9" spans="1:16" ht="12.75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686" t="s">
        <v>599</v>
      </c>
      <c r="O9" s="686"/>
    </row>
    <row r="10" spans="1:16" s="77" customFormat="1" ht="41.25" customHeight="1" x14ac:dyDescent="0.25">
      <c r="A10" s="108" t="s">
        <v>0</v>
      </c>
      <c r="B10" s="75" t="s">
        <v>102</v>
      </c>
      <c r="C10" s="75" t="s">
        <v>632</v>
      </c>
      <c r="D10" s="76" t="s">
        <v>103</v>
      </c>
      <c r="E10" s="76" t="s">
        <v>104</v>
      </c>
      <c r="F10" s="76" t="s">
        <v>105</v>
      </c>
      <c r="G10" s="76" t="s">
        <v>106</v>
      </c>
      <c r="H10" s="76" t="s">
        <v>107</v>
      </c>
      <c r="I10" s="76" t="s">
        <v>108</v>
      </c>
      <c r="J10" s="76" t="s">
        <v>109</v>
      </c>
      <c r="K10" s="76" t="s">
        <v>110</v>
      </c>
      <c r="L10" s="76" t="s">
        <v>111</v>
      </c>
      <c r="M10" s="76" t="s">
        <v>112</v>
      </c>
      <c r="N10" s="76" t="s">
        <v>113</v>
      </c>
      <c r="O10" s="76" t="s">
        <v>114</v>
      </c>
    </row>
    <row r="11" spans="1:16" ht="26.4" x14ac:dyDescent="0.25">
      <c r="A11" s="108" t="s">
        <v>6</v>
      </c>
      <c r="B11" s="34" t="s">
        <v>7</v>
      </c>
      <c r="C11" s="78">
        <f>'1.m. kiemelt bev.'!C15</f>
        <v>27427318.734999999</v>
      </c>
      <c r="D11" s="79">
        <f>$C$11/12</f>
        <v>2285609.8945833333</v>
      </c>
      <c r="E11" s="79">
        <f t="shared" ref="E11:O11" si="0">$C$11/12</f>
        <v>2285609.8945833333</v>
      </c>
      <c r="F11" s="79">
        <f t="shared" si="0"/>
        <v>2285609.8945833333</v>
      </c>
      <c r="G11" s="79">
        <f t="shared" si="0"/>
        <v>2285609.8945833333</v>
      </c>
      <c r="H11" s="79">
        <f t="shared" si="0"/>
        <v>2285609.8945833333</v>
      </c>
      <c r="I11" s="79">
        <f t="shared" si="0"/>
        <v>2285609.8945833333</v>
      </c>
      <c r="J11" s="79">
        <f t="shared" si="0"/>
        <v>2285609.8945833333</v>
      </c>
      <c r="K11" s="79">
        <f t="shared" si="0"/>
        <v>2285609.8945833333</v>
      </c>
      <c r="L11" s="79">
        <f t="shared" si="0"/>
        <v>2285609.8945833333</v>
      </c>
      <c r="M11" s="79">
        <f t="shared" si="0"/>
        <v>2285609.8945833333</v>
      </c>
      <c r="N11" s="79">
        <f t="shared" si="0"/>
        <v>2285609.8945833333</v>
      </c>
      <c r="O11" s="79">
        <f t="shared" si="0"/>
        <v>2285609.8945833333</v>
      </c>
      <c r="P11" s="80"/>
    </row>
    <row r="12" spans="1:16" ht="24" customHeight="1" x14ac:dyDescent="0.25">
      <c r="A12" s="108" t="s">
        <v>14</v>
      </c>
      <c r="B12" s="34" t="s">
        <v>8</v>
      </c>
      <c r="C12" s="78">
        <f>'1.m. kiemelt bev.'!E15</f>
        <v>11363991</v>
      </c>
      <c r="D12" s="79">
        <v>100000</v>
      </c>
      <c r="E12" s="79">
        <v>500000</v>
      </c>
      <c r="F12" s="79">
        <v>4000000</v>
      </c>
      <c r="G12" s="79">
        <v>500000</v>
      </c>
      <c r="H12" s="79">
        <v>350000</v>
      </c>
      <c r="I12" s="79">
        <v>20000</v>
      </c>
      <c r="J12" s="79">
        <v>20000</v>
      </c>
      <c r="K12" s="79">
        <v>50000</v>
      </c>
      <c r="L12" s="79">
        <v>4500000</v>
      </c>
      <c r="M12" s="79">
        <v>800000</v>
      </c>
      <c r="N12" s="79">
        <v>500000</v>
      </c>
      <c r="O12" s="79">
        <v>23991</v>
      </c>
      <c r="P12" s="80"/>
    </row>
    <row r="13" spans="1:16" ht="26.4" x14ac:dyDescent="0.25">
      <c r="A13" s="108" t="s">
        <v>17</v>
      </c>
      <c r="B13" s="34" t="s">
        <v>115</v>
      </c>
      <c r="C13" s="78">
        <f>'1.m. kiemelt bev.'!G15</f>
        <v>92372671.5</v>
      </c>
      <c r="D13" s="79">
        <f>$C$13/12</f>
        <v>7697722.625</v>
      </c>
      <c r="E13" s="79">
        <f t="shared" ref="E13:O13" si="1">$C$13/12</f>
        <v>7697722.625</v>
      </c>
      <c r="F13" s="79">
        <f t="shared" si="1"/>
        <v>7697722.625</v>
      </c>
      <c r="G13" s="79">
        <f t="shared" si="1"/>
        <v>7697722.625</v>
      </c>
      <c r="H13" s="79">
        <f t="shared" si="1"/>
        <v>7697722.625</v>
      </c>
      <c r="I13" s="79">
        <f t="shared" si="1"/>
        <v>7697722.625</v>
      </c>
      <c r="J13" s="79">
        <f t="shared" si="1"/>
        <v>7697722.625</v>
      </c>
      <c r="K13" s="79">
        <f t="shared" si="1"/>
        <v>7697722.625</v>
      </c>
      <c r="L13" s="79">
        <f t="shared" si="1"/>
        <v>7697722.625</v>
      </c>
      <c r="M13" s="79">
        <f t="shared" si="1"/>
        <v>7697722.625</v>
      </c>
      <c r="N13" s="79">
        <f t="shared" si="1"/>
        <v>7697722.625</v>
      </c>
      <c r="O13" s="79">
        <f t="shared" si="1"/>
        <v>7697722.625</v>
      </c>
      <c r="P13" s="80"/>
    </row>
    <row r="14" spans="1:16" ht="26.4" x14ac:dyDescent="0.25">
      <c r="A14" s="108" t="s">
        <v>34</v>
      </c>
      <c r="B14" s="34" t="s">
        <v>505</v>
      </c>
      <c r="C14" s="78">
        <f>'1.m. kiemelt bev.'!I15</f>
        <v>40792305.25</v>
      </c>
      <c r="D14" s="79">
        <f>$C$14/12</f>
        <v>3399358.7708333335</v>
      </c>
      <c r="E14" s="79">
        <f t="shared" ref="E14:O14" si="2">$C$14/12</f>
        <v>3399358.7708333335</v>
      </c>
      <c r="F14" s="79">
        <f t="shared" si="2"/>
        <v>3399358.7708333335</v>
      </c>
      <c r="G14" s="79">
        <f t="shared" si="2"/>
        <v>3399358.7708333335</v>
      </c>
      <c r="H14" s="79">
        <f t="shared" si="2"/>
        <v>3399358.7708333335</v>
      </c>
      <c r="I14" s="79">
        <f t="shared" si="2"/>
        <v>3399358.7708333335</v>
      </c>
      <c r="J14" s="79">
        <f t="shared" si="2"/>
        <v>3399358.7708333335</v>
      </c>
      <c r="K14" s="79">
        <f t="shared" si="2"/>
        <v>3399358.7708333335</v>
      </c>
      <c r="L14" s="79">
        <f t="shared" si="2"/>
        <v>3399358.7708333335</v>
      </c>
      <c r="M14" s="79">
        <f t="shared" si="2"/>
        <v>3399358.7708333335</v>
      </c>
      <c r="N14" s="79">
        <f t="shared" si="2"/>
        <v>3399358.7708333335</v>
      </c>
      <c r="O14" s="79">
        <f t="shared" si="2"/>
        <v>3399358.7708333335</v>
      </c>
      <c r="P14" s="80"/>
    </row>
    <row r="15" spans="1:16" ht="26.4" x14ac:dyDescent="0.25">
      <c r="A15" s="108" t="s">
        <v>36</v>
      </c>
      <c r="B15" s="34" t="s">
        <v>13</v>
      </c>
      <c r="C15" s="78">
        <f>'1.m. kiemelt bev.'!S15</f>
        <v>3850000</v>
      </c>
      <c r="D15" s="79">
        <v>0</v>
      </c>
      <c r="E15" s="79">
        <v>0</v>
      </c>
      <c r="F15" s="79">
        <v>0</v>
      </c>
      <c r="G15" s="79">
        <v>0</v>
      </c>
      <c r="H15" s="79">
        <v>1500000</v>
      </c>
      <c r="I15" s="79">
        <v>2100000</v>
      </c>
      <c r="J15" s="79">
        <v>250000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80"/>
    </row>
    <row r="16" spans="1:16" ht="26.4" x14ac:dyDescent="0.25">
      <c r="A16" s="108" t="s">
        <v>31</v>
      </c>
      <c r="B16" s="34" t="s">
        <v>129</v>
      </c>
      <c r="C16" s="78">
        <f>'1.m. kiemelt bev.'!K15</f>
        <v>720000</v>
      </c>
      <c r="D16" s="79">
        <f>$C$16/12</f>
        <v>60000</v>
      </c>
      <c r="E16" s="79">
        <f t="shared" ref="E16:O16" si="3">$C$16/12</f>
        <v>60000</v>
      </c>
      <c r="F16" s="79">
        <f t="shared" si="3"/>
        <v>60000</v>
      </c>
      <c r="G16" s="79">
        <f t="shared" si="3"/>
        <v>60000</v>
      </c>
      <c r="H16" s="79">
        <f t="shared" si="3"/>
        <v>60000</v>
      </c>
      <c r="I16" s="79">
        <f t="shared" si="3"/>
        <v>60000</v>
      </c>
      <c r="J16" s="79">
        <f t="shared" si="3"/>
        <v>60000</v>
      </c>
      <c r="K16" s="79">
        <f t="shared" si="3"/>
        <v>60000</v>
      </c>
      <c r="L16" s="79">
        <f t="shared" si="3"/>
        <v>60000</v>
      </c>
      <c r="M16" s="79">
        <f t="shared" si="3"/>
        <v>60000</v>
      </c>
      <c r="N16" s="79">
        <f t="shared" si="3"/>
        <v>60000</v>
      </c>
      <c r="O16" s="79">
        <f t="shared" si="3"/>
        <v>60000</v>
      </c>
      <c r="P16" s="80"/>
    </row>
    <row r="17" spans="1:16" ht="39.6" x14ac:dyDescent="0.25">
      <c r="A17" s="108" t="s">
        <v>18</v>
      </c>
      <c r="B17" s="34" t="s">
        <v>130</v>
      </c>
      <c r="C17" s="78">
        <f>'1.m. kiemelt bev.'!Q15+'1.m. kiemelt bev.'!O15</f>
        <v>33546744</v>
      </c>
      <c r="D17" s="79">
        <v>0</v>
      </c>
      <c r="E17" s="79">
        <v>0</v>
      </c>
      <c r="F17" s="79">
        <v>952775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32593969</v>
      </c>
      <c r="N17" s="79">
        <v>0</v>
      </c>
      <c r="O17" s="79">
        <v>0</v>
      </c>
      <c r="P17" s="80"/>
    </row>
    <row r="18" spans="1:16" ht="24.75" customHeight="1" x14ac:dyDescent="0.25">
      <c r="A18" s="108" t="s">
        <v>19</v>
      </c>
      <c r="B18" s="34" t="s">
        <v>116</v>
      </c>
      <c r="C18" s="78">
        <f>'1.m. kiemelt bev.'!M15+'1.m. kiemelt bev.'!W15</f>
        <v>43463991</v>
      </c>
      <c r="D18" s="79">
        <v>43463991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80"/>
    </row>
    <row r="19" spans="1:16" ht="24.75" customHeight="1" x14ac:dyDescent="0.25">
      <c r="A19" s="108" t="s">
        <v>20</v>
      </c>
      <c r="B19" s="34" t="s">
        <v>805</v>
      </c>
      <c r="C19" s="78">
        <f>'1.m. kiemelt bev.'!U15</f>
        <v>3214395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>
        <v>3214395</v>
      </c>
      <c r="P19" s="80"/>
    </row>
    <row r="20" spans="1:16" s="77" customFormat="1" ht="24.75" customHeight="1" x14ac:dyDescent="0.25">
      <c r="A20" s="108" t="s">
        <v>21</v>
      </c>
      <c r="B20" s="81" t="s">
        <v>117</v>
      </c>
      <c r="C20" s="78">
        <f>SUM(C11:C19)</f>
        <v>256751416.48500001</v>
      </c>
      <c r="D20" s="78">
        <f>SUM(D11:D19)</f>
        <v>57006682.290416665</v>
      </c>
      <c r="E20" s="78">
        <f t="shared" ref="E20:N20" si="4">SUM(E11:E19)</f>
        <v>13942691.290416667</v>
      </c>
      <c r="F20" s="78">
        <f t="shared" si="4"/>
        <v>18395466.290416665</v>
      </c>
      <c r="G20" s="78">
        <f t="shared" si="4"/>
        <v>13942691.290416667</v>
      </c>
      <c r="H20" s="78">
        <f t="shared" si="4"/>
        <v>15292691.290416667</v>
      </c>
      <c r="I20" s="78">
        <f t="shared" si="4"/>
        <v>15562691.290416667</v>
      </c>
      <c r="J20" s="78">
        <f t="shared" si="4"/>
        <v>13712691.290416667</v>
      </c>
      <c r="K20" s="78">
        <f t="shared" si="4"/>
        <v>13492691.290416667</v>
      </c>
      <c r="L20" s="78">
        <f t="shared" si="4"/>
        <v>17942691.290416665</v>
      </c>
      <c r="M20" s="78">
        <f t="shared" si="4"/>
        <v>46836660.290416665</v>
      </c>
      <c r="N20" s="78">
        <f t="shared" si="4"/>
        <v>13942691.290416667</v>
      </c>
      <c r="O20" s="78">
        <f>SUM(O11:O19)</f>
        <v>16681077.290416667</v>
      </c>
      <c r="P20" s="80"/>
    </row>
    <row r="22" spans="1:16" x14ac:dyDescent="0.25"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9" spans="1:1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580"/>
      <c r="N29" s="684"/>
      <c r="O29" s="684"/>
    </row>
    <row r="30" spans="1:1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4"/>
      <c r="O30" s="14"/>
    </row>
    <row r="31" spans="1:1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4"/>
      <c r="O31" s="14"/>
    </row>
    <row r="32" spans="1:1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5" ht="22.8" x14ac:dyDescent="0.25">
      <c r="B33" s="685"/>
      <c r="C33" s="685"/>
      <c r="D33" s="685"/>
      <c r="E33" s="685"/>
      <c r="F33" s="685"/>
      <c r="G33" s="685"/>
      <c r="H33" s="685"/>
      <c r="I33" s="685"/>
      <c r="J33" s="685"/>
      <c r="K33" s="685"/>
      <c r="L33" s="685"/>
      <c r="M33" s="685"/>
      <c r="N33" s="685"/>
      <c r="O33" s="685"/>
    </row>
    <row r="34" spans="2:15" ht="21" x14ac:dyDescent="0.25"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</row>
    <row r="35" spans="2:15" ht="21" x14ac:dyDescent="0.2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  <row r="36" spans="2:15" ht="21" x14ac:dyDescent="0.25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</row>
    <row r="37" spans="2:15" ht="21" x14ac:dyDescent="0.25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</row>
    <row r="38" spans="2:1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80"/>
      <c r="O38" s="580"/>
    </row>
    <row r="39" spans="2:15" x14ac:dyDescent="0.25">
      <c r="B39" s="84"/>
      <c r="C39" s="84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2:15" ht="24.75" customHeight="1" x14ac:dyDescent="0.25">
      <c r="B40" s="85"/>
      <c r="C40" s="82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2:15" ht="24.75" customHeight="1" x14ac:dyDescent="0.25">
      <c r="B41" s="85"/>
      <c r="C41" s="82"/>
      <c r="D41" s="87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</row>
    <row r="42" spans="2:15" ht="24.75" customHeight="1" x14ac:dyDescent="0.25">
      <c r="B42" s="85"/>
      <c r="C42" s="82"/>
      <c r="D42" s="87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2:15" ht="24.75" customHeight="1" x14ac:dyDescent="0.25">
      <c r="B43" s="85"/>
      <c r="C43" s="82"/>
      <c r="D43" s="87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</row>
    <row r="44" spans="2:15" ht="24.75" customHeight="1" x14ac:dyDescent="0.25">
      <c r="B44" s="85"/>
      <c r="C44" s="82"/>
      <c r="D44" s="87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</row>
    <row r="45" spans="2:15" ht="24.75" customHeight="1" x14ac:dyDescent="0.25">
      <c r="B45" s="85"/>
      <c r="C45" s="82"/>
      <c r="D45" s="87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</row>
    <row r="46" spans="2:15" ht="24.75" customHeight="1" x14ac:dyDescent="0.25">
      <c r="B46" s="85"/>
      <c r="C46" s="82"/>
      <c r="D46" s="87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</row>
    <row r="47" spans="2:15" ht="24.75" customHeight="1" x14ac:dyDescent="0.25">
      <c r="B47" s="85"/>
      <c r="C47" s="82"/>
      <c r="D47" s="87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2:15" ht="24.75" customHeight="1" x14ac:dyDescent="0.25">
      <c r="B48" s="88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</sheetData>
  <mergeCells count="11">
    <mergeCell ref="B34:O34"/>
    <mergeCell ref="B1:F1"/>
    <mergeCell ref="I1:O1"/>
    <mergeCell ref="B3:O3"/>
    <mergeCell ref="B6:O6"/>
    <mergeCell ref="B4:O4"/>
    <mergeCell ref="N38:O38"/>
    <mergeCell ref="B8:O8"/>
    <mergeCell ref="M29:O29"/>
    <mergeCell ref="B33:O33"/>
    <mergeCell ref="N9:O9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view="pageBreakPreview" zoomScale="75" zoomScaleNormal="100" workbookViewId="0">
      <selection activeCell="K25" sqref="K25"/>
    </sheetView>
  </sheetViews>
  <sheetFormatPr defaultColWidth="9.109375" defaultRowHeight="13.2" x14ac:dyDescent="0.25"/>
  <cols>
    <col min="1" max="1" width="6" style="13" customWidth="1"/>
    <col min="2" max="2" width="31.44140625" style="13" customWidth="1"/>
    <col min="3" max="3" width="14.44140625" style="13" bestFit="1" customWidth="1"/>
    <col min="4" max="15" width="13.109375" style="13" bestFit="1" customWidth="1"/>
    <col min="16" max="16384" width="9.109375" style="13"/>
  </cols>
  <sheetData>
    <row r="1" spans="1:15" x14ac:dyDescent="0.25">
      <c r="A1" s="41"/>
      <c r="B1" s="680"/>
      <c r="C1" s="680"/>
      <c r="D1" s="681"/>
      <c r="E1" s="681"/>
      <c r="F1" s="681"/>
      <c r="I1" s="682" t="s">
        <v>542</v>
      </c>
      <c r="J1" s="682"/>
      <c r="K1" s="682"/>
      <c r="L1" s="682"/>
      <c r="M1" s="682"/>
      <c r="N1" s="682"/>
      <c r="O1" s="682"/>
    </row>
    <row r="2" spans="1:15" x14ac:dyDescent="0.25">
      <c r="A2" s="41"/>
    </row>
    <row r="3" spans="1:15" ht="18" x14ac:dyDescent="0.25">
      <c r="A3" s="41"/>
      <c r="B3" s="683" t="s">
        <v>794</v>
      </c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</row>
    <row r="4" spans="1:15" s="252" customFormat="1" ht="18" x14ac:dyDescent="0.3">
      <c r="A4" s="251"/>
      <c r="B4" s="683" t="s">
        <v>527</v>
      </c>
      <c r="C4" s="683"/>
      <c r="D4" s="68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</row>
    <row r="5" spans="1:15" ht="18" x14ac:dyDescent="0.25">
      <c r="A5" s="41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</row>
    <row r="6" spans="1:15" ht="18" x14ac:dyDescent="0.25">
      <c r="A6" s="41"/>
      <c r="B6" s="683" t="s">
        <v>118</v>
      </c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</row>
    <row r="7" spans="1:15" ht="11.25" customHeight="1" x14ac:dyDescent="0.25">
      <c r="A7" s="41"/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</row>
    <row r="8" spans="1:15" ht="19.5" customHeight="1" x14ac:dyDescent="0.25">
      <c r="A8" s="41"/>
      <c r="B8" s="683" t="s">
        <v>99</v>
      </c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</row>
    <row r="9" spans="1:15" ht="12.75" customHeight="1" x14ac:dyDescent="0.25">
      <c r="A9" s="41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662"/>
      <c r="N9" s="662"/>
      <c r="O9" s="662"/>
    </row>
    <row r="10" spans="1:15" ht="12.75" customHeight="1" x14ac:dyDescent="0.25">
      <c r="A10" s="41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249" t="s">
        <v>599</v>
      </c>
    </row>
    <row r="11" spans="1:15" ht="41.25" customHeight="1" x14ac:dyDescent="0.25">
      <c r="A11" s="206" t="s">
        <v>0</v>
      </c>
      <c r="B11" s="75" t="s">
        <v>119</v>
      </c>
      <c r="C11" s="75" t="s">
        <v>632</v>
      </c>
      <c r="D11" s="76" t="s">
        <v>103</v>
      </c>
      <c r="E11" s="76" t="s">
        <v>104</v>
      </c>
      <c r="F11" s="76" t="s">
        <v>105</v>
      </c>
      <c r="G11" s="76" t="s">
        <v>106</v>
      </c>
      <c r="H11" s="76" t="s">
        <v>107</v>
      </c>
      <c r="I11" s="76" t="s">
        <v>108</v>
      </c>
      <c r="J11" s="76" t="s">
        <v>109</v>
      </c>
      <c r="K11" s="76" t="s">
        <v>110</v>
      </c>
      <c r="L11" s="76" t="s">
        <v>111</v>
      </c>
      <c r="M11" s="76" t="s">
        <v>112</v>
      </c>
      <c r="N11" s="76" t="s">
        <v>113</v>
      </c>
      <c r="O11" s="76" t="s">
        <v>114</v>
      </c>
    </row>
    <row r="12" spans="1:15" ht="24" customHeight="1" x14ac:dyDescent="0.25">
      <c r="A12" s="206" t="s">
        <v>6</v>
      </c>
      <c r="B12" s="34" t="s">
        <v>28</v>
      </c>
      <c r="C12" s="78">
        <f>'2.m. kiemelt kiad.'!C14</f>
        <v>49819924</v>
      </c>
      <c r="D12" s="79">
        <f>$C$12/12</f>
        <v>4151660.3333333335</v>
      </c>
      <c r="E12" s="79">
        <f t="shared" ref="E12:O12" si="0">$C$12/12</f>
        <v>4151660.3333333335</v>
      </c>
      <c r="F12" s="79">
        <f t="shared" si="0"/>
        <v>4151660.3333333335</v>
      </c>
      <c r="G12" s="79">
        <f t="shared" si="0"/>
        <v>4151660.3333333335</v>
      </c>
      <c r="H12" s="79">
        <f t="shared" si="0"/>
        <v>4151660.3333333335</v>
      </c>
      <c r="I12" s="79">
        <f t="shared" si="0"/>
        <v>4151660.3333333335</v>
      </c>
      <c r="J12" s="79">
        <f t="shared" si="0"/>
        <v>4151660.3333333335</v>
      </c>
      <c r="K12" s="79">
        <f t="shared" si="0"/>
        <v>4151660.3333333335</v>
      </c>
      <c r="L12" s="79">
        <f t="shared" si="0"/>
        <v>4151660.3333333335</v>
      </c>
      <c r="M12" s="79">
        <f t="shared" si="0"/>
        <v>4151660.3333333335</v>
      </c>
      <c r="N12" s="79">
        <f t="shared" si="0"/>
        <v>4151660.3333333335</v>
      </c>
      <c r="O12" s="79">
        <f t="shared" si="0"/>
        <v>4151660.3333333335</v>
      </c>
    </row>
    <row r="13" spans="1:15" ht="24.75" customHeight="1" x14ac:dyDescent="0.25">
      <c r="A13" s="206" t="s">
        <v>14</v>
      </c>
      <c r="B13" s="34" t="s">
        <v>120</v>
      </c>
      <c r="C13" s="78">
        <f>'2.m. kiemelt kiad.'!E14</f>
        <v>7357297.0750000002</v>
      </c>
      <c r="D13" s="79">
        <f>$C$13/12</f>
        <v>613108.08958333335</v>
      </c>
      <c r="E13" s="79">
        <f t="shared" ref="E13:O13" si="1">$C$13/12</f>
        <v>613108.08958333335</v>
      </c>
      <c r="F13" s="79">
        <f t="shared" si="1"/>
        <v>613108.08958333335</v>
      </c>
      <c r="G13" s="79">
        <f t="shared" si="1"/>
        <v>613108.08958333335</v>
      </c>
      <c r="H13" s="79">
        <f t="shared" si="1"/>
        <v>613108.08958333335</v>
      </c>
      <c r="I13" s="79">
        <f t="shared" si="1"/>
        <v>613108.08958333335</v>
      </c>
      <c r="J13" s="79">
        <f t="shared" si="1"/>
        <v>613108.08958333335</v>
      </c>
      <c r="K13" s="79">
        <f t="shared" si="1"/>
        <v>613108.08958333335</v>
      </c>
      <c r="L13" s="79">
        <f t="shared" si="1"/>
        <v>613108.08958333335</v>
      </c>
      <c r="M13" s="79">
        <f t="shared" si="1"/>
        <v>613108.08958333335</v>
      </c>
      <c r="N13" s="79">
        <f t="shared" si="1"/>
        <v>613108.08958333335</v>
      </c>
      <c r="O13" s="79">
        <f t="shared" si="1"/>
        <v>613108.08958333335</v>
      </c>
    </row>
    <row r="14" spans="1:15" s="41" customFormat="1" ht="24.75" customHeight="1" x14ac:dyDescent="0.25">
      <c r="A14" s="206" t="s">
        <v>17</v>
      </c>
      <c r="B14" s="89" t="s">
        <v>132</v>
      </c>
      <c r="C14" s="90">
        <f>'2.m. kiemelt kiad.'!G14</f>
        <v>55114141.734200001</v>
      </c>
      <c r="D14" s="91">
        <f>$C$14/12</f>
        <v>4592845.1445166664</v>
      </c>
      <c r="E14" s="91">
        <f t="shared" ref="E14:O14" si="2">$C$14/12</f>
        <v>4592845.1445166664</v>
      </c>
      <c r="F14" s="91">
        <f t="shared" si="2"/>
        <v>4592845.1445166664</v>
      </c>
      <c r="G14" s="91">
        <f t="shared" si="2"/>
        <v>4592845.1445166664</v>
      </c>
      <c r="H14" s="91">
        <f t="shared" si="2"/>
        <v>4592845.1445166664</v>
      </c>
      <c r="I14" s="91">
        <f t="shared" si="2"/>
        <v>4592845.1445166664</v>
      </c>
      <c r="J14" s="91">
        <f t="shared" si="2"/>
        <v>4592845.1445166664</v>
      </c>
      <c r="K14" s="91">
        <f t="shared" si="2"/>
        <v>4592845.1445166664</v>
      </c>
      <c r="L14" s="91">
        <f t="shared" si="2"/>
        <v>4592845.1445166664</v>
      </c>
      <c r="M14" s="91">
        <f t="shared" si="2"/>
        <v>4592845.1445166664</v>
      </c>
      <c r="N14" s="91">
        <f t="shared" si="2"/>
        <v>4592845.1445166664</v>
      </c>
      <c r="O14" s="91">
        <f t="shared" si="2"/>
        <v>4592845.1445166664</v>
      </c>
    </row>
    <row r="15" spans="1:15" ht="24.75" customHeight="1" x14ac:dyDescent="0.25">
      <c r="A15" s="206" t="s">
        <v>34</v>
      </c>
      <c r="B15" s="34" t="s">
        <v>121</v>
      </c>
      <c r="C15" s="78">
        <f>'2.m. kiemelt kiad.'!K14</f>
        <v>2450000</v>
      </c>
      <c r="D15" s="79">
        <f>$C$15/12</f>
        <v>204166.66666666666</v>
      </c>
      <c r="E15" s="79">
        <f t="shared" ref="E15:O15" si="3">$C$15/12</f>
        <v>204166.66666666666</v>
      </c>
      <c r="F15" s="79">
        <f t="shared" si="3"/>
        <v>204166.66666666666</v>
      </c>
      <c r="G15" s="79">
        <f t="shared" si="3"/>
        <v>204166.66666666666</v>
      </c>
      <c r="H15" s="79">
        <f t="shared" si="3"/>
        <v>204166.66666666666</v>
      </c>
      <c r="I15" s="79">
        <f t="shared" si="3"/>
        <v>204166.66666666666</v>
      </c>
      <c r="J15" s="79">
        <f t="shared" si="3"/>
        <v>204166.66666666666</v>
      </c>
      <c r="K15" s="79">
        <f t="shared" si="3"/>
        <v>204166.66666666666</v>
      </c>
      <c r="L15" s="79">
        <f t="shared" si="3"/>
        <v>204166.66666666666</v>
      </c>
      <c r="M15" s="79">
        <f t="shared" si="3"/>
        <v>204166.66666666666</v>
      </c>
      <c r="N15" s="79">
        <f t="shared" si="3"/>
        <v>204166.66666666666</v>
      </c>
      <c r="O15" s="79">
        <f t="shared" si="3"/>
        <v>204166.66666666666</v>
      </c>
    </row>
    <row r="16" spans="1:15" ht="24.75" customHeight="1" x14ac:dyDescent="0.25">
      <c r="A16" s="206" t="s">
        <v>36</v>
      </c>
      <c r="B16" s="34" t="s">
        <v>131</v>
      </c>
      <c r="C16" s="78">
        <f>'2.m. kiemelt kiad.'!I14</f>
        <v>400000</v>
      </c>
      <c r="D16" s="79">
        <v>0</v>
      </c>
      <c r="E16" s="79">
        <v>50000</v>
      </c>
      <c r="F16" s="79">
        <v>0</v>
      </c>
      <c r="G16" s="79">
        <v>150000</v>
      </c>
      <c r="H16" s="79">
        <v>0</v>
      </c>
      <c r="I16" s="79">
        <v>0</v>
      </c>
      <c r="J16" s="79">
        <v>0</v>
      </c>
      <c r="K16" s="79">
        <v>0</v>
      </c>
      <c r="L16" s="79">
        <v>100000</v>
      </c>
      <c r="M16" s="79">
        <v>0</v>
      </c>
      <c r="N16" s="79">
        <v>0</v>
      </c>
      <c r="O16" s="79">
        <v>100000</v>
      </c>
    </row>
    <row r="17" spans="1:16" ht="26.4" x14ac:dyDescent="0.25">
      <c r="A17" s="206" t="s">
        <v>31</v>
      </c>
      <c r="B17" s="34" t="s">
        <v>122</v>
      </c>
      <c r="C17" s="78">
        <f>'2.m. kiemelt kiad.'!O14+'2.m. kiemelt kiad.'!Q14</f>
        <v>49937227.829999998</v>
      </c>
      <c r="D17" s="79">
        <v>2500000</v>
      </c>
      <c r="E17" s="79">
        <v>3000000</v>
      </c>
      <c r="F17" s="79">
        <v>1500000</v>
      </c>
      <c r="G17" s="79">
        <v>20000000</v>
      </c>
      <c r="H17" s="79">
        <v>1500000</v>
      </c>
      <c r="I17" s="79">
        <v>10000000</v>
      </c>
      <c r="J17" s="79">
        <v>2000000</v>
      </c>
      <c r="K17" s="79">
        <v>650000</v>
      </c>
      <c r="L17" s="79">
        <v>1000000</v>
      </c>
      <c r="M17" s="79">
        <v>2000000</v>
      </c>
      <c r="N17" s="79">
        <v>3245440</v>
      </c>
      <c r="O17" s="79">
        <v>2541788</v>
      </c>
      <c r="P17" s="80"/>
    </row>
    <row r="18" spans="1:16" ht="30" customHeight="1" x14ac:dyDescent="0.25">
      <c r="A18" s="206" t="s">
        <v>18</v>
      </c>
      <c r="B18" s="34" t="s">
        <v>574</v>
      </c>
      <c r="C18" s="78">
        <f>'2.m. kiemelt kiad.'!S14</f>
        <v>2731169</v>
      </c>
      <c r="D18" s="79">
        <v>2731169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1:16" ht="27.75" customHeight="1" x14ac:dyDescent="0.25">
      <c r="A19" s="206" t="s">
        <v>19</v>
      </c>
      <c r="B19" s="34" t="s">
        <v>442</v>
      </c>
      <c r="C19" s="78">
        <f>'2.m. kiemelt kiad.'!W14</f>
        <v>40792305.25</v>
      </c>
      <c r="D19" s="79">
        <f>$C$19/12</f>
        <v>3399358.7708333335</v>
      </c>
      <c r="E19" s="79">
        <f t="shared" ref="E19:O19" si="4">$C$19/12</f>
        <v>3399358.7708333335</v>
      </c>
      <c r="F19" s="79">
        <f t="shared" si="4"/>
        <v>3399358.7708333335</v>
      </c>
      <c r="G19" s="79">
        <f t="shared" si="4"/>
        <v>3399358.7708333335</v>
      </c>
      <c r="H19" s="79">
        <f t="shared" si="4"/>
        <v>3399358.7708333335</v>
      </c>
      <c r="I19" s="79">
        <f t="shared" si="4"/>
        <v>3399358.7708333335</v>
      </c>
      <c r="J19" s="79">
        <f t="shared" si="4"/>
        <v>3399358.7708333335</v>
      </c>
      <c r="K19" s="79">
        <f t="shared" si="4"/>
        <v>3399358.7708333335</v>
      </c>
      <c r="L19" s="79">
        <f t="shared" si="4"/>
        <v>3399358.7708333335</v>
      </c>
      <c r="M19" s="79">
        <f t="shared" si="4"/>
        <v>3399358.7708333335</v>
      </c>
      <c r="N19" s="79">
        <f t="shared" si="4"/>
        <v>3399358.7708333335</v>
      </c>
      <c r="O19" s="79">
        <f t="shared" si="4"/>
        <v>3399358.7708333335</v>
      </c>
    </row>
    <row r="20" spans="1:16" ht="24.75" customHeight="1" x14ac:dyDescent="0.25">
      <c r="A20" s="206" t="s">
        <v>20</v>
      </c>
      <c r="B20" s="34" t="s">
        <v>123</v>
      </c>
      <c r="C20" s="78">
        <f>'2.m. kiemelt kiad.'!M14+'2.m. kiemelt kiad.'!U14</f>
        <v>48149351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33793969</v>
      </c>
      <c r="M20" s="79">
        <v>0</v>
      </c>
      <c r="N20" s="79">
        <v>0</v>
      </c>
      <c r="O20" s="79">
        <v>14355382</v>
      </c>
    </row>
    <row r="21" spans="1:16" ht="24.75" customHeight="1" x14ac:dyDescent="0.25">
      <c r="A21" s="206" t="s">
        <v>21</v>
      </c>
      <c r="B21" s="81" t="s">
        <v>124</v>
      </c>
      <c r="C21" s="78">
        <f>SUM(C12:C20)</f>
        <v>256751415.8892</v>
      </c>
      <c r="D21" s="78">
        <f t="shared" ref="D21:O21" si="5">SUM(D12:D20)</f>
        <v>18192308.004933331</v>
      </c>
      <c r="E21" s="78">
        <f t="shared" si="5"/>
        <v>16011139.004933333</v>
      </c>
      <c r="F21" s="78">
        <f t="shared" si="5"/>
        <v>14461139.004933333</v>
      </c>
      <c r="G21" s="78">
        <f t="shared" si="5"/>
        <v>33111139.004933331</v>
      </c>
      <c r="H21" s="78">
        <f t="shared" si="5"/>
        <v>14461139.004933333</v>
      </c>
      <c r="I21" s="78">
        <f t="shared" si="5"/>
        <v>22961139.004933331</v>
      </c>
      <c r="J21" s="78">
        <f t="shared" si="5"/>
        <v>14961139.004933333</v>
      </c>
      <c r="K21" s="78">
        <f t="shared" si="5"/>
        <v>13611139.004933333</v>
      </c>
      <c r="L21" s="78">
        <f t="shared" si="5"/>
        <v>47855108.004933335</v>
      </c>
      <c r="M21" s="78">
        <f t="shared" si="5"/>
        <v>14961139.004933333</v>
      </c>
      <c r="N21" s="78">
        <f t="shared" si="5"/>
        <v>16206579.004933333</v>
      </c>
      <c r="O21" s="78">
        <f t="shared" si="5"/>
        <v>29958309.004933335</v>
      </c>
    </row>
  </sheetData>
  <mergeCells count="7">
    <mergeCell ref="M9:O9"/>
    <mergeCell ref="B8:O8"/>
    <mergeCell ref="B1:F1"/>
    <mergeCell ref="I1:O1"/>
    <mergeCell ref="B3:O3"/>
    <mergeCell ref="B6:O6"/>
    <mergeCell ref="B4:O4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6</vt:i4>
      </vt:variant>
    </vt:vector>
  </HeadingPairs>
  <TitlesOfParts>
    <vt:vector size="25" baseType="lpstr">
      <vt:lpstr>1.m. kiemelt bev.</vt:lpstr>
      <vt:lpstr>2.m. kiemelt kiad.</vt:lpstr>
      <vt:lpstr>3.m. ksgv. mérleg</vt:lpstr>
      <vt:lpstr>4.m. felhalm.feladat</vt:lpstr>
      <vt:lpstr>5.m. tartalékok</vt:lpstr>
      <vt:lpstr>6.m. létszámkeret</vt:lpstr>
      <vt:lpstr>7.m. önk-i feladatok</vt:lpstr>
      <vt:lpstr>8.m. felh.ütemterv bev.</vt:lpstr>
      <vt:lpstr>9.m. felh.ütemterv kiad.</vt:lpstr>
      <vt:lpstr>10.m. többéves kihat.</vt:lpstr>
      <vt:lpstr>11.m. közvetett tám.</vt:lpstr>
      <vt:lpstr>12.m. középtávú terv</vt:lpstr>
      <vt:lpstr>13.m. adósságot kel. ügylet</vt:lpstr>
      <vt:lpstr>14.m. szoc. juttatások</vt:lpstr>
      <vt:lpstr>15.m. Támogatások</vt:lpstr>
      <vt:lpstr>16.m. Önk. rovat+cofog</vt:lpstr>
      <vt:lpstr>17.m. Óvoda rovat+cofog</vt:lpstr>
      <vt:lpstr>18.m. Konyha rovat+cofog</vt:lpstr>
      <vt:lpstr>aládolgozó számítások</vt:lpstr>
      <vt:lpstr>'11.m. közvetett tám.'!Nyomtatási_terület</vt:lpstr>
      <vt:lpstr>'12.m. középtávú terv'!Nyomtatási_terület</vt:lpstr>
      <vt:lpstr>'16.m. Önk. rovat+cofog'!Nyomtatási_terület</vt:lpstr>
      <vt:lpstr>'2.m. kiemelt kiad.'!Nyomtatási_terület</vt:lpstr>
      <vt:lpstr>'4.m. felhalm.feladat'!Nyomtatási_terület</vt:lpstr>
      <vt:lpstr>'8.m. felh.ütemterv bev.'!Nyomtatási_terület</vt:lpstr>
    </vt:vector>
  </TitlesOfParts>
  <Company>Polgármesteri Hivatal Békés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user</cp:lastModifiedBy>
  <cp:lastPrinted>2021-04-19T08:45:43Z</cp:lastPrinted>
  <dcterms:created xsi:type="dcterms:W3CDTF">2014-02-02T08:05:39Z</dcterms:created>
  <dcterms:modified xsi:type="dcterms:W3CDTF">2021-05-26T14:59:20Z</dcterms:modified>
</cp:coreProperties>
</file>