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elhasználók\Pénzügy\Judith\2021. évi költségvetés\Költségvetés módosítás 2021.06.30\"/>
    </mc:Choice>
  </mc:AlternateContent>
  <xr:revisionPtr revIDLastSave="0" documentId="13_ncr:1_{F8B1DC89-0DF0-4C70-A32A-13DA8B1E31C6}" xr6:coauthVersionLast="47" xr6:coauthVersionMax="47" xr10:uidLastSave="{00000000-0000-0000-0000-000000000000}"/>
  <bookViews>
    <workbookView xWindow="-120" yWindow="-120" windowWidth="21840" windowHeight="13140" firstSheet="3" activeTab="19" xr2:uid="{43347E29-8148-4924-A2BE-A1BA78BFF37A}"/>
  </bookViews>
  <sheets>
    <sheet name="1." sheetId="1" r:id="rId1"/>
    <sheet name="2." sheetId="2" r:id="rId2"/>
    <sheet name="3." sheetId="22" r:id="rId3"/>
    <sheet name="4." sheetId="4" r:id="rId4"/>
    <sheet name="5." sheetId="5" r:id="rId5"/>
    <sheet name="6." sheetId="6" r:id="rId6"/>
    <sheet name="7." sheetId="7" r:id="rId7"/>
    <sheet name="8." sheetId="8" r:id="rId8"/>
    <sheet name="9." sheetId="21" r:id="rId9"/>
    <sheet name="10." sheetId="24" r:id="rId10"/>
    <sheet name="11." sheetId="25" r:id="rId11"/>
    <sheet name="12." sheetId="26" r:id="rId12"/>
    <sheet name="13." sheetId="27" r:id="rId13"/>
    <sheet name="14." sheetId="28" r:id="rId14"/>
    <sheet name="15." sheetId="29" r:id="rId15"/>
    <sheet name="16." sheetId="30" r:id="rId16"/>
    <sheet name="17." sheetId="31" r:id="rId17"/>
    <sheet name="18." sheetId="32" r:id="rId18"/>
    <sheet name="19." sheetId="33" r:id="rId19"/>
    <sheet name="20." sheetId="34" r:id="rId20"/>
  </sheets>
  <externalReferences>
    <externalReference r:id="rId21"/>
    <externalReference r:id="rId22"/>
    <externalReference r:id="rId23"/>
  </externalReferences>
  <definedNames>
    <definedName name="_xlnm._FilterDatabase" localSheetId="2" hidden="1">'3.'!$A$6:$N$87</definedName>
    <definedName name="_xlnm.Print_Area" localSheetId="2">'3.'!$A$1:$N$89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4" l="1"/>
  <c r="F32" i="34"/>
  <c r="F31" i="34"/>
  <c r="F30" i="34"/>
  <c r="F29" i="34"/>
  <c r="F28" i="34"/>
  <c r="F27" i="34"/>
  <c r="F26" i="34"/>
  <c r="F25" i="34"/>
  <c r="E25" i="34"/>
  <c r="D25" i="34"/>
  <c r="C25" i="34"/>
  <c r="F24" i="34"/>
  <c r="F23" i="34"/>
  <c r="F22" i="34"/>
  <c r="F21" i="34"/>
  <c r="F20" i="34"/>
  <c r="F19" i="34"/>
  <c r="F18" i="34"/>
  <c r="E17" i="34"/>
  <c r="E33" i="34" s="1"/>
  <c r="D17" i="34"/>
  <c r="D33" i="34" s="1"/>
  <c r="C17" i="34"/>
  <c r="F17" i="34" s="1"/>
  <c r="E15" i="34"/>
  <c r="E16" i="34" s="1"/>
  <c r="D15" i="34"/>
  <c r="D16" i="34" s="1"/>
  <c r="D34" i="34" s="1"/>
  <c r="C15" i="34"/>
  <c r="C16" i="34" s="1"/>
  <c r="F14" i="34"/>
  <c r="F13" i="34"/>
  <c r="F12" i="34"/>
  <c r="F11" i="34"/>
  <c r="F10" i="34"/>
  <c r="F9" i="34"/>
  <c r="F8" i="34"/>
  <c r="E34" i="34" l="1"/>
  <c r="C34" i="34"/>
  <c r="F34" i="34" s="1"/>
  <c r="F16" i="34"/>
  <c r="F33" i="34"/>
  <c r="F15" i="34"/>
  <c r="E21" i="33"/>
  <c r="D21" i="33"/>
  <c r="A2" i="32"/>
  <c r="F17" i="31"/>
  <c r="E17" i="31"/>
  <c r="D17" i="31"/>
  <c r="C17" i="31"/>
  <c r="G17" i="31" s="1"/>
  <c r="G16" i="31"/>
  <c r="G15" i="31"/>
  <c r="G14" i="31"/>
  <c r="I18" i="30"/>
  <c r="I17" i="30"/>
  <c r="H15" i="30"/>
  <c r="H13" i="30" s="1"/>
  <c r="I15" i="30" l="1"/>
  <c r="I13" i="30" s="1"/>
  <c r="C32" i="29"/>
  <c r="B32" i="29"/>
  <c r="F21" i="28"/>
  <c r="I20" i="28"/>
  <c r="H19" i="28"/>
  <c r="G19" i="28"/>
  <c r="F19" i="28"/>
  <c r="E19" i="28"/>
  <c r="I19" i="28" s="1"/>
  <c r="D19" i="28"/>
  <c r="I18" i="28"/>
  <c r="H17" i="28"/>
  <c r="G17" i="28"/>
  <c r="F17" i="28"/>
  <c r="E17" i="28"/>
  <c r="D17" i="28"/>
  <c r="I17" i="28" s="1"/>
  <c r="I16" i="28"/>
  <c r="H15" i="28"/>
  <c r="G15" i="28"/>
  <c r="F15" i="28"/>
  <c r="E15" i="28"/>
  <c r="D15" i="28"/>
  <c r="I15" i="28" s="1"/>
  <c r="I14" i="28"/>
  <c r="I13" i="28"/>
  <c r="I11" i="28" s="1"/>
  <c r="I12" i="28"/>
  <c r="H11" i="28"/>
  <c r="G11" i="28"/>
  <c r="F11" i="28"/>
  <c r="E11" i="28"/>
  <c r="D11" i="28"/>
  <c r="I10" i="28"/>
  <c r="I9" i="28"/>
  <c r="H8" i="28"/>
  <c r="H21" i="28" s="1"/>
  <c r="G8" i="28"/>
  <c r="G21" i="28" s="1"/>
  <c r="F8" i="28"/>
  <c r="E8" i="28"/>
  <c r="E21" i="28" s="1"/>
  <c r="D8" i="28"/>
  <c r="D21" i="28" s="1"/>
  <c r="I8" i="28" l="1"/>
  <c r="I21" i="28" s="1"/>
  <c r="C34" i="27"/>
  <c r="D26" i="27"/>
  <c r="D34" i="27" s="1"/>
  <c r="C17" i="27"/>
  <c r="D13" i="27"/>
  <c r="D12" i="27"/>
  <c r="C12" i="27"/>
  <c r="C23" i="27" s="1"/>
  <c r="C11" i="27"/>
  <c r="D10" i="27"/>
  <c r="D9" i="27"/>
  <c r="D8" i="27"/>
  <c r="D11" i="27" s="1"/>
  <c r="A3" i="27"/>
  <c r="D10" i="26"/>
  <c r="C9" i="26"/>
  <c r="C8" i="26"/>
  <c r="A3" i="26"/>
  <c r="D28" i="25"/>
  <c r="D24" i="25"/>
  <c r="C19" i="25"/>
  <c r="D15" i="25"/>
  <c r="C15" i="25"/>
  <c r="D13" i="25"/>
  <c r="D12" i="25"/>
  <c r="D9" i="25"/>
  <c r="D19" i="25" s="1"/>
  <c r="C9" i="25"/>
  <c r="A2" i="25"/>
  <c r="D23" i="27" l="1"/>
  <c r="C10" i="26"/>
  <c r="C22" i="24"/>
  <c r="C16" i="24"/>
  <c r="A2" i="24"/>
  <c r="N85" i="22"/>
  <c r="M85" i="22"/>
  <c r="L85" i="22"/>
  <c r="N84" i="22"/>
  <c r="M84" i="22"/>
  <c r="L84" i="22"/>
  <c r="F83" i="22"/>
  <c r="F86" i="22" s="1"/>
  <c r="N82" i="22"/>
  <c r="M82" i="22"/>
  <c r="L82" i="22"/>
  <c r="N81" i="22"/>
  <c r="M81" i="22"/>
  <c r="L81" i="22"/>
  <c r="N80" i="22"/>
  <c r="M80" i="22"/>
  <c r="L80" i="22"/>
  <c r="N79" i="22"/>
  <c r="M79" i="22"/>
  <c r="L79" i="22"/>
  <c r="N78" i="22"/>
  <c r="M78" i="22"/>
  <c r="L78" i="22"/>
  <c r="K77" i="22"/>
  <c r="K83" i="22" s="1"/>
  <c r="K86" i="22" s="1"/>
  <c r="I77" i="22"/>
  <c r="I83" i="22" s="1"/>
  <c r="I86" i="22" s="1"/>
  <c r="H77" i="22"/>
  <c r="H83" i="22" s="1"/>
  <c r="H86" i="22" s="1"/>
  <c r="G77" i="22"/>
  <c r="G83" i="22" s="1"/>
  <c r="G86" i="22" s="1"/>
  <c r="F77" i="22"/>
  <c r="E77" i="22"/>
  <c r="E83" i="22" s="1"/>
  <c r="D77" i="22"/>
  <c r="D83" i="22" s="1"/>
  <c r="C77" i="22"/>
  <c r="L77" i="22" s="1"/>
  <c r="N76" i="22"/>
  <c r="M76" i="22"/>
  <c r="L76" i="22"/>
  <c r="J76" i="22"/>
  <c r="J77" i="22" s="1"/>
  <c r="N75" i="22"/>
  <c r="M75" i="22"/>
  <c r="L75" i="22"/>
  <c r="N74" i="22"/>
  <c r="M74" i="22"/>
  <c r="L74" i="22"/>
  <c r="N72" i="22"/>
  <c r="M72" i="22"/>
  <c r="L72" i="22"/>
  <c r="K71" i="22"/>
  <c r="J71" i="22"/>
  <c r="I71" i="22"/>
  <c r="H71" i="22"/>
  <c r="G71" i="22"/>
  <c r="F71" i="22"/>
  <c r="E71" i="22"/>
  <c r="C71" i="22"/>
  <c r="L70" i="22"/>
  <c r="D70" i="22"/>
  <c r="D71" i="22" s="1"/>
  <c r="M71" i="22" s="1"/>
  <c r="N69" i="22"/>
  <c r="M69" i="22"/>
  <c r="L69" i="22"/>
  <c r="N68" i="22"/>
  <c r="M68" i="22"/>
  <c r="L68" i="22"/>
  <c r="N67" i="22"/>
  <c r="M67" i="22"/>
  <c r="L67" i="22"/>
  <c r="N66" i="22"/>
  <c r="M66" i="22"/>
  <c r="L66" i="22"/>
  <c r="L71" i="22" s="1"/>
  <c r="L65" i="22"/>
  <c r="K65" i="22"/>
  <c r="J65" i="22"/>
  <c r="J73" i="22" s="1"/>
  <c r="I65" i="22"/>
  <c r="H65" i="22"/>
  <c r="G65" i="22"/>
  <c r="F65" i="22"/>
  <c r="F73" i="22" s="1"/>
  <c r="E65" i="22"/>
  <c r="D65" i="22"/>
  <c r="C65" i="22"/>
  <c r="N64" i="22"/>
  <c r="M64" i="22"/>
  <c r="L64" i="22"/>
  <c r="N63" i="22"/>
  <c r="M63" i="22"/>
  <c r="L63" i="22"/>
  <c r="N62" i="22"/>
  <c r="M62" i="22"/>
  <c r="L62" i="22"/>
  <c r="N61" i="22"/>
  <c r="M61" i="22"/>
  <c r="L61" i="22"/>
  <c r="N60" i="22"/>
  <c r="M60" i="22"/>
  <c r="L60" i="22"/>
  <c r="K59" i="22"/>
  <c r="J59" i="22"/>
  <c r="I59" i="22"/>
  <c r="H59" i="22"/>
  <c r="G59" i="22"/>
  <c r="F59" i="22"/>
  <c r="E59" i="22"/>
  <c r="N59" i="22" s="1"/>
  <c r="C59" i="22"/>
  <c r="N58" i="22"/>
  <c r="L58" i="22"/>
  <c r="D58" i="22"/>
  <c r="M58" i="22" s="1"/>
  <c r="N57" i="22"/>
  <c r="M57" i="22"/>
  <c r="L57" i="22"/>
  <c r="N56" i="22"/>
  <c r="M56" i="22"/>
  <c r="L56" i="22"/>
  <c r="N55" i="22"/>
  <c r="M55" i="22"/>
  <c r="L55" i="22"/>
  <c r="N54" i="22"/>
  <c r="M54" i="22"/>
  <c r="L54" i="22"/>
  <c r="L59" i="22" s="1"/>
  <c r="N52" i="22"/>
  <c r="M52" i="22"/>
  <c r="L52" i="22"/>
  <c r="N51" i="22"/>
  <c r="M51" i="22"/>
  <c r="L51" i="22"/>
  <c r="N50" i="22"/>
  <c r="M50" i="22"/>
  <c r="L50" i="22"/>
  <c r="N49" i="22"/>
  <c r="M49" i="22"/>
  <c r="L49" i="22"/>
  <c r="N48" i="22"/>
  <c r="K48" i="22"/>
  <c r="J48" i="22"/>
  <c r="I48" i="22"/>
  <c r="H48" i="22"/>
  <c r="G48" i="22"/>
  <c r="F48" i="22"/>
  <c r="E48" i="22"/>
  <c r="C48" i="22"/>
  <c r="L48" i="22" s="1"/>
  <c r="N47" i="22"/>
  <c r="M47" i="22"/>
  <c r="L47" i="22"/>
  <c r="D47" i="22"/>
  <c r="M46" i="22"/>
  <c r="L46" i="22"/>
  <c r="D46" i="22"/>
  <c r="L45" i="22"/>
  <c r="D45" i="22"/>
  <c r="M45" i="22" s="1"/>
  <c r="N44" i="22"/>
  <c r="M44" i="22"/>
  <c r="L44" i="22"/>
  <c r="N43" i="22"/>
  <c r="M43" i="22"/>
  <c r="L43" i="22"/>
  <c r="N42" i="22"/>
  <c r="M42" i="22"/>
  <c r="L42" i="22"/>
  <c r="N41" i="22"/>
  <c r="M41" i="22"/>
  <c r="L41" i="22"/>
  <c r="N40" i="22"/>
  <c r="M40" i="22"/>
  <c r="L40" i="22"/>
  <c r="N39" i="22"/>
  <c r="L39" i="22"/>
  <c r="D39" i="22"/>
  <c r="M39" i="22" s="1"/>
  <c r="M38" i="22"/>
  <c r="L38" i="22"/>
  <c r="N37" i="22"/>
  <c r="M37" i="22"/>
  <c r="L37" i="22"/>
  <c r="N36" i="22"/>
  <c r="L36" i="22"/>
  <c r="D36" i="22"/>
  <c r="D48" i="22" s="1"/>
  <c r="M48" i="22" s="1"/>
  <c r="N35" i="22"/>
  <c r="M35" i="22"/>
  <c r="L35" i="22"/>
  <c r="N33" i="22"/>
  <c r="L33" i="22"/>
  <c r="D33" i="22"/>
  <c r="M33" i="22" s="1"/>
  <c r="K32" i="22"/>
  <c r="K34" i="22" s="1"/>
  <c r="J32" i="22"/>
  <c r="J34" i="22" s="1"/>
  <c r="I32" i="22"/>
  <c r="I34" i="22" s="1"/>
  <c r="H32" i="22"/>
  <c r="H34" i="22" s="1"/>
  <c r="G32" i="22"/>
  <c r="G34" i="22" s="1"/>
  <c r="F32" i="22"/>
  <c r="F34" i="22" s="1"/>
  <c r="E32" i="22"/>
  <c r="N32" i="22" s="1"/>
  <c r="N34" i="22" s="1"/>
  <c r="C32" i="22"/>
  <c r="C34" i="22" s="1"/>
  <c r="N31" i="22"/>
  <c r="M31" i="22"/>
  <c r="L31" i="22"/>
  <c r="N30" i="22"/>
  <c r="M30" i="22"/>
  <c r="L30" i="22"/>
  <c r="D30" i="22"/>
  <c r="N29" i="22"/>
  <c r="M29" i="22"/>
  <c r="L29" i="22"/>
  <c r="N28" i="22"/>
  <c r="M28" i="22"/>
  <c r="L28" i="22"/>
  <c r="N27" i="22"/>
  <c r="L27" i="22"/>
  <c r="D27" i="22"/>
  <c r="D32" i="22" s="1"/>
  <c r="N26" i="22"/>
  <c r="L26" i="22"/>
  <c r="D26" i="22"/>
  <c r="M26" i="22" s="1"/>
  <c r="N25" i="22"/>
  <c r="M25" i="22"/>
  <c r="L25" i="22"/>
  <c r="N24" i="22"/>
  <c r="M24" i="22"/>
  <c r="L24" i="22"/>
  <c r="N23" i="22"/>
  <c r="M23" i="22"/>
  <c r="L23" i="22"/>
  <c r="N22" i="22"/>
  <c r="M22" i="22"/>
  <c r="L22" i="22"/>
  <c r="N21" i="22"/>
  <c r="M21" i="22"/>
  <c r="L21" i="22"/>
  <c r="N19" i="22"/>
  <c r="L19" i="22"/>
  <c r="D19" i="22"/>
  <c r="M19" i="22" s="1"/>
  <c r="N18" i="22"/>
  <c r="M18" i="22"/>
  <c r="L18" i="22"/>
  <c r="N17" i="22"/>
  <c r="M17" i="22"/>
  <c r="L17" i="22"/>
  <c r="N16" i="22"/>
  <c r="M16" i="22"/>
  <c r="L16" i="22"/>
  <c r="N15" i="22"/>
  <c r="M15" i="22"/>
  <c r="L15" i="22"/>
  <c r="K14" i="22"/>
  <c r="K20" i="22" s="1"/>
  <c r="I14" i="22"/>
  <c r="I20" i="22" s="1"/>
  <c r="I53" i="22" s="1"/>
  <c r="H14" i="22"/>
  <c r="H20" i="22" s="1"/>
  <c r="H53" i="22" s="1"/>
  <c r="G14" i="22"/>
  <c r="G20" i="22" s="1"/>
  <c r="G53" i="22" s="1"/>
  <c r="F14" i="22"/>
  <c r="F20" i="22" s="1"/>
  <c r="F53" i="22" s="1"/>
  <c r="E14" i="22"/>
  <c r="N14" i="22" s="1"/>
  <c r="C14" i="22"/>
  <c r="C20" i="22" s="1"/>
  <c r="N13" i="22"/>
  <c r="M13" i="22"/>
  <c r="L13" i="22"/>
  <c r="N12" i="22"/>
  <c r="M12" i="22"/>
  <c r="L12" i="22"/>
  <c r="D12" i="22"/>
  <c r="N11" i="22"/>
  <c r="M11" i="22"/>
  <c r="L11" i="22"/>
  <c r="D11" i="22"/>
  <c r="N10" i="22"/>
  <c r="M10" i="22"/>
  <c r="L10" i="22"/>
  <c r="D10" i="22"/>
  <c r="N9" i="22"/>
  <c r="M9" i="22"/>
  <c r="L9" i="22"/>
  <c r="D9" i="22"/>
  <c r="N8" i="22"/>
  <c r="M8" i="22"/>
  <c r="L8" i="22"/>
  <c r="D8" i="22"/>
  <c r="N7" i="22"/>
  <c r="L7" i="22"/>
  <c r="J7" i="22"/>
  <c r="J14" i="22" s="1"/>
  <c r="J20" i="22" s="1"/>
  <c r="J53" i="22" s="1"/>
  <c r="D7" i="22"/>
  <c r="M7" i="22" s="1"/>
  <c r="N83" i="22" l="1"/>
  <c r="E86" i="22"/>
  <c r="C53" i="22"/>
  <c r="L53" i="22" s="1"/>
  <c r="L20" i="22"/>
  <c r="M32" i="22"/>
  <c r="M34" i="22" s="1"/>
  <c r="D34" i="22"/>
  <c r="G73" i="22"/>
  <c r="G87" i="22" s="1"/>
  <c r="G89" i="22" s="1"/>
  <c r="C73" i="22"/>
  <c r="H73" i="22"/>
  <c r="H87" i="22" s="1"/>
  <c r="J83" i="22"/>
  <c r="J86" i="22" s="1"/>
  <c r="J87" i="22" s="1"/>
  <c r="M77" i="22"/>
  <c r="K73" i="22"/>
  <c r="K87" i="22" s="1"/>
  <c r="F87" i="22"/>
  <c r="I73" i="22"/>
  <c r="I87" i="22" s="1"/>
  <c r="M83" i="22"/>
  <c r="D86" i="22"/>
  <c r="D14" i="22"/>
  <c r="L14" i="22"/>
  <c r="M27" i="22"/>
  <c r="L32" i="22"/>
  <c r="L34" i="22" s="1"/>
  <c r="M36" i="22"/>
  <c r="D59" i="22"/>
  <c r="M59" i="22" s="1"/>
  <c r="M65" i="22"/>
  <c r="M70" i="22"/>
  <c r="N77" i="22"/>
  <c r="C83" i="22"/>
  <c r="E20" i="22"/>
  <c r="E34" i="22"/>
  <c r="E73" i="22" s="1"/>
  <c r="N73" i="22" s="1"/>
  <c r="N65" i="22"/>
  <c r="C86" i="22" l="1"/>
  <c r="L83" i="22"/>
  <c r="M14" i="22"/>
  <c r="D20" i="22"/>
  <c r="L73" i="22"/>
  <c r="N86" i="22"/>
  <c r="E87" i="22"/>
  <c r="N87" i="22" s="1"/>
  <c r="E53" i="22"/>
  <c r="N53" i="22" s="1"/>
  <c r="N20" i="22"/>
  <c r="M86" i="22"/>
  <c r="D53" i="22" l="1"/>
  <c r="M53" i="22" s="1"/>
  <c r="M20" i="22"/>
  <c r="D73" i="22"/>
  <c r="C87" i="22"/>
  <c r="L87" i="22" s="1"/>
  <c r="L86" i="22"/>
  <c r="M73" i="22" l="1"/>
  <c r="D87" i="22"/>
  <c r="M87" i="22" s="1"/>
  <c r="P27" i="21"/>
  <c r="P26" i="21"/>
  <c r="P25" i="21"/>
  <c r="L25" i="21"/>
  <c r="M25" i="21" s="1"/>
  <c r="G25" i="21"/>
  <c r="H25" i="21" s="1"/>
  <c r="I25" i="21" s="1"/>
  <c r="J25" i="21" s="1"/>
  <c r="F25" i="21"/>
  <c r="P24" i="21"/>
  <c r="N24" i="21" s="1"/>
  <c r="O24" i="21" s="1"/>
  <c r="P23" i="21"/>
  <c r="C23" i="21" s="1"/>
  <c r="D23" i="21" s="1"/>
  <c r="E23" i="21" s="1"/>
  <c r="F23" i="21" s="1"/>
  <c r="G23" i="21" s="1"/>
  <c r="H23" i="21" s="1"/>
  <c r="I23" i="21" s="1"/>
  <c r="J23" i="21" s="1"/>
  <c r="K23" i="21" s="1"/>
  <c r="L23" i="21" s="1"/>
  <c r="M23" i="21" s="1"/>
  <c r="P22" i="21"/>
  <c r="N22" i="21" s="1"/>
  <c r="O22" i="21" s="1"/>
  <c r="P21" i="21"/>
  <c r="C21" i="21" s="1"/>
  <c r="D21" i="21" s="1"/>
  <c r="E21" i="21" s="1"/>
  <c r="F21" i="21" s="1"/>
  <c r="G21" i="21" s="1"/>
  <c r="H21" i="21" s="1"/>
  <c r="I21" i="21" s="1"/>
  <c r="J21" i="21" s="1"/>
  <c r="P20" i="21"/>
  <c r="C20" i="21" s="1"/>
  <c r="D20" i="21" s="1"/>
  <c r="E20" i="21" s="1"/>
  <c r="F20" i="21" s="1"/>
  <c r="G20" i="21" s="1"/>
  <c r="H20" i="21" s="1"/>
  <c r="I20" i="21" s="1"/>
  <c r="J20" i="21" s="1"/>
  <c r="K20" i="21" s="1"/>
  <c r="L20" i="21" s="1"/>
  <c r="M20" i="21" s="1"/>
  <c r="P19" i="21"/>
  <c r="Q18" i="21"/>
  <c r="P16" i="21"/>
  <c r="C16" i="21" s="1"/>
  <c r="D16" i="21" s="1"/>
  <c r="E16" i="21" s="1"/>
  <c r="F16" i="21" s="1"/>
  <c r="G16" i="21" s="1"/>
  <c r="H16" i="21" s="1"/>
  <c r="I16" i="21" s="1"/>
  <c r="J16" i="21" s="1"/>
  <c r="K16" i="21" s="1"/>
  <c r="P15" i="21"/>
  <c r="C15" i="21" s="1"/>
  <c r="D15" i="21" s="1"/>
  <c r="E15" i="21" s="1"/>
  <c r="F15" i="21" s="1"/>
  <c r="G15" i="21" s="1"/>
  <c r="H15" i="21" s="1"/>
  <c r="I15" i="21" s="1"/>
  <c r="J15" i="21" s="1"/>
  <c r="K15" i="21" s="1"/>
  <c r="L15" i="21" s="1"/>
  <c r="M15" i="21" s="1"/>
  <c r="P14" i="21"/>
  <c r="N14" i="21" s="1"/>
  <c r="O14" i="21" s="1"/>
  <c r="P13" i="21"/>
  <c r="C13" i="21" s="1"/>
  <c r="P12" i="21"/>
  <c r="C12" i="21" s="1"/>
  <c r="D12" i="21" s="1"/>
  <c r="E12" i="21" s="1"/>
  <c r="F12" i="21" s="1"/>
  <c r="G12" i="21" s="1"/>
  <c r="H12" i="21" s="1"/>
  <c r="I12" i="21" s="1"/>
  <c r="J12" i="21" s="1"/>
  <c r="P11" i="21"/>
  <c r="N11" i="21" s="1"/>
  <c r="O11" i="21" s="1"/>
  <c r="P10" i="21"/>
  <c r="N10" i="21" s="1"/>
  <c r="O10" i="21" s="1"/>
  <c r="Q10" i="21" s="1"/>
  <c r="P9" i="21"/>
  <c r="C9" i="21" s="1"/>
  <c r="D9" i="21" s="1"/>
  <c r="E9" i="21" s="1"/>
  <c r="F9" i="21" s="1"/>
  <c r="G9" i="21" s="1"/>
  <c r="H9" i="21" s="1"/>
  <c r="I9" i="21" s="1"/>
  <c r="J9" i="21" s="1"/>
  <c r="K9" i="21" s="1"/>
  <c r="L9" i="21" s="1"/>
  <c r="M9" i="21" s="1"/>
  <c r="P8" i="21"/>
  <c r="B2" i="21"/>
  <c r="P17" i="21" l="1"/>
  <c r="Q11" i="21"/>
  <c r="Q14" i="21"/>
  <c r="K12" i="21"/>
  <c r="L12" i="21" s="1"/>
  <c r="M12" i="21" s="1"/>
  <c r="L16" i="21"/>
  <c r="M16" i="21" s="1"/>
  <c r="K21" i="21"/>
  <c r="L21" i="21" s="1"/>
  <c r="M21" i="21" s="1"/>
  <c r="N27" i="21"/>
  <c r="O27" i="21" s="1"/>
  <c r="Q27" i="21" s="1"/>
  <c r="N9" i="21"/>
  <c r="N16" i="21"/>
  <c r="O16" i="21" s="1"/>
  <c r="Q16" i="21" s="1"/>
  <c r="C8" i="21"/>
  <c r="N13" i="21"/>
  <c r="O13" i="21" s="1"/>
  <c r="Q13" i="21" s="1"/>
  <c r="P28" i="21"/>
  <c r="C19" i="21"/>
  <c r="N25" i="21"/>
  <c r="O25" i="21" s="1"/>
  <c r="Q25" i="21" s="1"/>
  <c r="N23" i="21"/>
  <c r="O23" i="21" s="1"/>
  <c r="Q23" i="21" s="1"/>
  <c r="N15" i="21"/>
  <c r="O15" i="21" s="1"/>
  <c r="Q15" i="21" s="1"/>
  <c r="N20" i="21"/>
  <c r="Q22" i="21"/>
  <c r="N26" i="21"/>
  <c r="O26" i="21" s="1"/>
  <c r="Q26" i="21" s="1"/>
  <c r="O9" i="21"/>
  <c r="Q9" i="21" s="1"/>
  <c r="O20" i="21"/>
  <c r="Q20" i="21" s="1"/>
  <c r="Q24" i="21"/>
  <c r="N21" i="21" l="1"/>
  <c r="O21" i="21" s="1"/>
  <c r="Q21" i="21" s="1"/>
  <c r="N12" i="21"/>
  <c r="O12" i="21" s="1"/>
  <c r="Q12" i="21" s="1"/>
  <c r="C17" i="21"/>
  <c r="D8" i="21"/>
  <c r="P29" i="21"/>
  <c r="C28" i="21"/>
  <c r="D19" i="21"/>
  <c r="E8" i="21" l="1"/>
  <c r="D17" i="21"/>
  <c r="C29" i="21"/>
  <c r="D28" i="21"/>
  <c r="E19" i="21"/>
  <c r="D29" i="21" l="1"/>
  <c r="F8" i="21"/>
  <c r="E17" i="21"/>
  <c r="F19" i="21"/>
  <c r="E28" i="21"/>
  <c r="G19" i="21" l="1"/>
  <c r="F28" i="21"/>
  <c r="E29" i="21"/>
  <c r="G8" i="21"/>
  <c r="F17" i="21"/>
  <c r="F29" i="21" l="1"/>
  <c r="G17" i="21"/>
  <c r="H8" i="21"/>
  <c r="G28" i="21"/>
  <c r="H19" i="21"/>
  <c r="G29" i="21" l="1"/>
  <c r="H28" i="21"/>
  <c r="I19" i="21"/>
  <c r="H17" i="21"/>
  <c r="I8" i="21"/>
  <c r="H29" i="21" l="1"/>
  <c r="J19" i="21"/>
  <c r="I28" i="21"/>
  <c r="J8" i="21"/>
  <c r="I17" i="21"/>
  <c r="I29" i="21" l="1"/>
  <c r="K8" i="21"/>
  <c r="J17" i="21"/>
  <c r="K19" i="21"/>
  <c r="J28" i="21"/>
  <c r="K28" i="21" l="1"/>
  <c r="L19" i="21"/>
  <c r="J29" i="21"/>
  <c r="K17" i="21"/>
  <c r="L8" i="21"/>
  <c r="K29" i="21" l="1"/>
  <c r="L28" i="21"/>
  <c r="M19" i="21"/>
  <c r="M28" i="21" s="1"/>
  <c r="M8" i="21"/>
  <c r="M17" i="21" s="1"/>
  <c r="L17" i="21"/>
  <c r="M29" i="21" l="1"/>
  <c r="L29" i="21"/>
  <c r="N8" i="21"/>
  <c r="N17" i="21" s="1"/>
  <c r="N19" i="21"/>
  <c r="O8" i="21" l="1"/>
  <c r="O17" i="21" s="1"/>
  <c r="N28" i="21"/>
  <c r="N29" i="21" s="1"/>
  <c r="O19" i="21"/>
  <c r="Q8" i="21" l="1"/>
  <c r="O28" i="21"/>
  <c r="Q28" i="21" s="1"/>
  <c r="Q19" i="21"/>
  <c r="O29" i="21"/>
  <c r="Q29" i="21" s="1"/>
  <c r="Q17" i="21"/>
  <c r="D17" i="8" l="1"/>
  <c r="D12" i="8"/>
  <c r="A2" i="8"/>
  <c r="D26" i="7"/>
  <c r="D24" i="7"/>
  <c r="D15" i="7"/>
  <c r="D12" i="7"/>
  <c r="D27" i="7" s="1"/>
  <c r="E26" i="6"/>
  <c r="C26" i="6"/>
  <c r="C20" i="6"/>
  <c r="C14" i="6"/>
  <c r="E10" i="6"/>
  <c r="C9" i="6"/>
  <c r="E8" i="6"/>
  <c r="E13" i="6" s="1"/>
  <c r="E27" i="6" s="1"/>
  <c r="C8" i="6"/>
  <c r="C13" i="6" l="1"/>
  <c r="C27" i="6" s="1"/>
  <c r="E25" i="5"/>
  <c r="C22" i="5"/>
  <c r="C25" i="5" s="1"/>
  <c r="C13" i="5"/>
  <c r="E10" i="5"/>
  <c r="C10" i="5"/>
  <c r="E8" i="5"/>
  <c r="C8" i="5"/>
  <c r="E7" i="5"/>
  <c r="C7" i="5"/>
  <c r="E23" i="4"/>
  <c r="C21" i="4"/>
  <c r="C22" i="4" s="1"/>
  <c r="C19" i="4"/>
  <c r="D19" i="4" s="1"/>
  <c r="C17" i="4"/>
  <c r="D17" i="4" s="1"/>
  <c r="C13" i="4"/>
  <c r="D13" i="4" s="1"/>
  <c r="D11" i="4"/>
  <c r="C11" i="4"/>
  <c r="C10" i="4"/>
  <c r="D10" i="4" s="1"/>
  <c r="D9" i="4"/>
  <c r="C9" i="4"/>
  <c r="A2" i="4"/>
  <c r="D18" i="4" l="1"/>
  <c r="E16" i="5"/>
  <c r="E26" i="5" s="1"/>
  <c r="C16" i="5"/>
  <c r="E27" i="5" s="1"/>
  <c r="C18" i="4"/>
  <c r="C23" i="4" s="1"/>
  <c r="D21" i="4"/>
  <c r="D22" i="4" s="1"/>
  <c r="D23" i="4" s="1"/>
  <c r="E28" i="5" l="1"/>
  <c r="C26" i="5"/>
  <c r="O84" i="2"/>
  <c r="N84" i="2"/>
  <c r="M84" i="2"/>
  <c r="L84" i="2"/>
  <c r="K84" i="2"/>
  <c r="J84" i="2"/>
  <c r="H84" i="2"/>
  <c r="G84" i="2"/>
  <c r="F84" i="2"/>
  <c r="C84" i="2"/>
  <c r="O83" i="2"/>
  <c r="I83" i="2"/>
  <c r="E83" i="2"/>
  <c r="P82" i="2"/>
  <c r="O82" i="2"/>
  <c r="I82" i="2"/>
  <c r="I84" i="2" s="1"/>
  <c r="E82" i="2"/>
  <c r="E84" i="2" s="1"/>
  <c r="P81" i="2"/>
  <c r="P84" i="2" s="1"/>
  <c r="O81" i="2"/>
  <c r="D81" i="2"/>
  <c r="D84" i="2" s="1"/>
  <c r="M79" i="2"/>
  <c r="P78" i="2"/>
  <c r="M78" i="2"/>
  <c r="G78" i="2"/>
  <c r="I78" i="2" s="1"/>
  <c r="E78" i="2"/>
  <c r="P77" i="2"/>
  <c r="O77" i="2"/>
  <c r="M77" i="2"/>
  <c r="I77" i="2"/>
  <c r="E77" i="2"/>
  <c r="N76" i="2"/>
  <c r="M76" i="2"/>
  <c r="L76" i="2"/>
  <c r="K76" i="2"/>
  <c r="J76" i="2"/>
  <c r="I76" i="2"/>
  <c r="H76" i="2"/>
  <c r="G76" i="2"/>
  <c r="F76" i="2"/>
  <c r="C76" i="2"/>
  <c r="C79" i="2" s="1"/>
  <c r="O75" i="2"/>
  <c r="M75" i="2"/>
  <c r="I75" i="2"/>
  <c r="D75" i="2"/>
  <c r="P75" i="2" s="1"/>
  <c r="P74" i="2"/>
  <c r="O74" i="2"/>
  <c r="M74" i="2"/>
  <c r="I74" i="2"/>
  <c r="E74" i="2"/>
  <c r="P73" i="2"/>
  <c r="O73" i="2"/>
  <c r="M73" i="2"/>
  <c r="I73" i="2"/>
  <c r="E73" i="2"/>
  <c r="O72" i="2"/>
  <c r="M72" i="2"/>
  <c r="I72" i="2"/>
  <c r="D72" i="2"/>
  <c r="D76" i="2" s="1"/>
  <c r="N71" i="2"/>
  <c r="M71" i="2"/>
  <c r="L71" i="2"/>
  <c r="K71" i="2"/>
  <c r="J71" i="2"/>
  <c r="I71" i="2"/>
  <c r="H71" i="2"/>
  <c r="G71" i="2"/>
  <c r="F71" i="2"/>
  <c r="C71" i="2"/>
  <c r="O71" i="2" s="1"/>
  <c r="O70" i="2"/>
  <c r="M70" i="2"/>
  <c r="I70" i="2"/>
  <c r="D70" i="2"/>
  <c r="P70" i="2" s="1"/>
  <c r="P69" i="2"/>
  <c r="O69" i="2"/>
  <c r="M69" i="2"/>
  <c r="I69" i="2"/>
  <c r="E69" i="2"/>
  <c r="P68" i="2"/>
  <c r="O68" i="2"/>
  <c r="M68" i="2"/>
  <c r="I68" i="2"/>
  <c r="E68" i="2"/>
  <c r="O67" i="2"/>
  <c r="M67" i="2"/>
  <c r="I67" i="2"/>
  <c r="D67" i="2"/>
  <c r="P67" i="2" s="1"/>
  <c r="O66" i="2"/>
  <c r="M66" i="2"/>
  <c r="I66" i="2"/>
  <c r="D66" i="2"/>
  <c r="P66" i="2" s="1"/>
  <c r="O65" i="2"/>
  <c r="M65" i="2"/>
  <c r="I65" i="2"/>
  <c r="D65" i="2"/>
  <c r="P65" i="2" s="1"/>
  <c r="O64" i="2"/>
  <c r="M64" i="2"/>
  <c r="I64" i="2"/>
  <c r="D64" i="2"/>
  <c r="D71" i="2" s="1"/>
  <c r="N62" i="2"/>
  <c r="K62" i="2"/>
  <c r="J62" i="2"/>
  <c r="I62" i="2"/>
  <c r="H62" i="2"/>
  <c r="G62" i="2"/>
  <c r="F62" i="2"/>
  <c r="C62" i="2"/>
  <c r="O62" i="2" s="1"/>
  <c r="O61" i="2"/>
  <c r="M61" i="2"/>
  <c r="E61" i="2"/>
  <c r="D61" i="2"/>
  <c r="P61" i="2" s="1"/>
  <c r="O60" i="2"/>
  <c r="M60" i="2"/>
  <c r="D60" i="2"/>
  <c r="D62" i="2" s="1"/>
  <c r="O59" i="2"/>
  <c r="L59" i="2"/>
  <c r="L62" i="2" s="1"/>
  <c r="P58" i="2"/>
  <c r="O58" i="2"/>
  <c r="M58" i="2"/>
  <c r="I58" i="2"/>
  <c r="E58" i="2"/>
  <c r="P57" i="2"/>
  <c r="O57" i="2"/>
  <c r="M57" i="2"/>
  <c r="I57" i="2"/>
  <c r="E57" i="2"/>
  <c r="P56" i="2"/>
  <c r="O56" i="2"/>
  <c r="M56" i="2"/>
  <c r="I56" i="2"/>
  <c r="E56" i="2"/>
  <c r="P55" i="2"/>
  <c r="O55" i="2"/>
  <c r="M55" i="2"/>
  <c r="I55" i="2"/>
  <c r="E55" i="2"/>
  <c r="P54" i="2"/>
  <c r="O54" i="2"/>
  <c r="M54" i="2"/>
  <c r="I54" i="2"/>
  <c r="E54" i="2"/>
  <c r="O53" i="2"/>
  <c r="M53" i="2"/>
  <c r="L53" i="2"/>
  <c r="I53" i="2"/>
  <c r="D53" i="2"/>
  <c r="P53" i="2" s="1"/>
  <c r="N51" i="2"/>
  <c r="N52" i="2" s="1"/>
  <c r="K51" i="2"/>
  <c r="J51" i="2"/>
  <c r="H51" i="2"/>
  <c r="G51" i="2"/>
  <c r="I51" i="2" s="1"/>
  <c r="F51" i="2"/>
  <c r="C51" i="2"/>
  <c r="C52" i="2" s="1"/>
  <c r="O50" i="2"/>
  <c r="L50" i="2"/>
  <c r="M50" i="2" s="1"/>
  <c r="D50" i="2"/>
  <c r="P50" i="2" s="1"/>
  <c r="P49" i="2"/>
  <c r="O49" i="2"/>
  <c r="M49" i="2"/>
  <c r="I49" i="2"/>
  <c r="E49" i="2"/>
  <c r="P48" i="2"/>
  <c r="O48" i="2"/>
  <c r="M48" i="2"/>
  <c r="L48" i="2"/>
  <c r="I48" i="2"/>
  <c r="E48" i="2"/>
  <c r="P47" i="2"/>
  <c r="O47" i="2"/>
  <c r="M47" i="2"/>
  <c r="I47" i="2"/>
  <c r="E47" i="2"/>
  <c r="O46" i="2"/>
  <c r="L46" i="2"/>
  <c r="M46" i="2" s="1"/>
  <c r="D46" i="2"/>
  <c r="D51" i="2" s="1"/>
  <c r="N45" i="2"/>
  <c r="L45" i="2"/>
  <c r="M45" i="2" s="1"/>
  <c r="K45" i="2"/>
  <c r="J45" i="2"/>
  <c r="H45" i="2"/>
  <c r="I45" i="2" s="1"/>
  <c r="G45" i="2"/>
  <c r="F45" i="2"/>
  <c r="D45" i="2"/>
  <c r="P45" i="2" s="1"/>
  <c r="C45" i="2"/>
  <c r="O45" i="2" s="1"/>
  <c r="P44" i="2"/>
  <c r="O44" i="2"/>
  <c r="M44" i="2"/>
  <c r="I44" i="2"/>
  <c r="E44" i="2"/>
  <c r="O43" i="2"/>
  <c r="L43" i="2"/>
  <c r="M43" i="2" s="1"/>
  <c r="D43" i="2"/>
  <c r="P43" i="2" s="1"/>
  <c r="N42" i="2"/>
  <c r="L42" i="2"/>
  <c r="M42" i="2" s="1"/>
  <c r="K42" i="2"/>
  <c r="J42" i="2"/>
  <c r="H42" i="2"/>
  <c r="I42" i="2" s="1"/>
  <c r="G42" i="2"/>
  <c r="F42" i="2"/>
  <c r="C42" i="2"/>
  <c r="O42" i="2" s="1"/>
  <c r="O41" i="2"/>
  <c r="M41" i="2"/>
  <c r="L41" i="2"/>
  <c r="D41" i="2"/>
  <c r="P41" i="2" s="1"/>
  <c r="O40" i="2"/>
  <c r="L40" i="2"/>
  <c r="M40" i="2" s="1"/>
  <c r="D40" i="2"/>
  <c r="P40" i="2" s="1"/>
  <c r="P39" i="2"/>
  <c r="O39" i="2"/>
  <c r="M39" i="2"/>
  <c r="O38" i="2"/>
  <c r="L38" i="2"/>
  <c r="M38" i="2" s="1"/>
  <c r="D38" i="2"/>
  <c r="P38" i="2" s="1"/>
  <c r="O37" i="2"/>
  <c r="M37" i="2"/>
  <c r="L37" i="2"/>
  <c r="D37" i="2"/>
  <c r="P37" i="2" s="1"/>
  <c r="P36" i="2"/>
  <c r="O36" i="2"/>
  <c r="M36" i="2"/>
  <c r="O35" i="2"/>
  <c r="M35" i="2"/>
  <c r="L35" i="2"/>
  <c r="D35" i="2"/>
  <c r="D42" i="2" s="1"/>
  <c r="N34" i="2"/>
  <c r="K34" i="2"/>
  <c r="J34" i="2"/>
  <c r="I34" i="2"/>
  <c r="H34" i="2"/>
  <c r="G34" i="2"/>
  <c r="F34" i="2"/>
  <c r="C34" i="2"/>
  <c r="O34" i="2" s="1"/>
  <c r="O33" i="2"/>
  <c r="L33" i="2"/>
  <c r="M33" i="2" s="1"/>
  <c r="D33" i="2"/>
  <c r="P33" i="2" s="1"/>
  <c r="O32" i="2"/>
  <c r="L32" i="2"/>
  <c r="L34" i="2" s="1"/>
  <c r="M34" i="2" s="1"/>
  <c r="D32" i="2"/>
  <c r="D34" i="2" s="1"/>
  <c r="N31" i="2"/>
  <c r="J31" i="2"/>
  <c r="J52" i="2" s="1"/>
  <c r="H31" i="2"/>
  <c r="H52" i="2" s="1"/>
  <c r="H80" i="2" s="1"/>
  <c r="G31" i="2"/>
  <c r="G52" i="2" s="1"/>
  <c r="F31" i="2"/>
  <c r="F52" i="2" s="1"/>
  <c r="P30" i="2"/>
  <c r="O30" i="2"/>
  <c r="M30" i="2"/>
  <c r="O29" i="2"/>
  <c r="L29" i="2"/>
  <c r="M29" i="2" s="1"/>
  <c r="K29" i="2"/>
  <c r="K31" i="2" s="1"/>
  <c r="D29" i="2"/>
  <c r="P29" i="2" s="1"/>
  <c r="C29" i="2"/>
  <c r="C31" i="2" s="1"/>
  <c r="O28" i="2"/>
  <c r="M28" i="2"/>
  <c r="L28" i="2"/>
  <c r="D28" i="2"/>
  <c r="D31" i="2" s="1"/>
  <c r="O27" i="2"/>
  <c r="L27" i="2"/>
  <c r="M27" i="2" s="1"/>
  <c r="I27" i="2"/>
  <c r="E27" i="2"/>
  <c r="D27" i="2"/>
  <c r="N26" i="2"/>
  <c r="N63" i="2" s="1"/>
  <c r="J26" i="2"/>
  <c r="F26" i="2"/>
  <c r="F63" i="2" s="1"/>
  <c r="N25" i="2"/>
  <c r="K25" i="2"/>
  <c r="J25" i="2"/>
  <c r="H25" i="2"/>
  <c r="H26" i="2" s="1"/>
  <c r="G25" i="2"/>
  <c r="F25" i="2"/>
  <c r="D25" i="2"/>
  <c r="C25" i="2"/>
  <c r="O25" i="2" s="1"/>
  <c r="P24" i="2"/>
  <c r="O24" i="2"/>
  <c r="M24" i="2"/>
  <c r="L24" i="2"/>
  <c r="E24" i="2"/>
  <c r="D24" i="2"/>
  <c r="P23" i="2"/>
  <c r="O23" i="2"/>
  <c r="M23" i="2"/>
  <c r="I23" i="2"/>
  <c r="E23" i="2"/>
  <c r="O22" i="2"/>
  <c r="L22" i="2"/>
  <c r="P22" i="2" s="1"/>
  <c r="I22" i="2"/>
  <c r="E22" i="2"/>
  <c r="N21" i="2"/>
  <c r="K21" i="2"/>
  <c r="K26" i="2" s="1"/>
  <c r="J21" i="2"/>
  <c r="H21" i="2"/>
  <c r="G21" i="2"/>
  <c r="I21" i="2" s="1"/>
  <c r="F21" i="2"/>
  <c r="C21" i="2"/>
  <c r="C26" i="2" s="1"/>
  <c r="O20" i="2"/>
  <c r="M20" i="2"/>
  <c r="I20" i="2"/>
  <c r="D20" i="2"/>
  <c r="P20" i="2" s="1"/>
  <c r="P19" i="2"/>
  <c r="O19" i="2"/>
  <c r="M19" i="2"/>
  <c r="I19" i="2"/>
  <c r="E19" i="2"/>
  <c r="P18" i="2"/>
  <c r="O18" i="2"/>
  <c r="M18" i="2"/>
  <c r="I18" i="2"/>
  <c r="E18" i="2"/>
  <c r="P17" i="2"/>
  <c r="O17" i="2"/>
  <c r="M17" i="2"/>
  <c r="I17" i="2"/>
  <c r="E17" i="2"/>
  <c r="O16" i="2"/>
  <c r="M16" i="2"/>
  <c r="L16" i="2"/>
  <c r="I16" i="2"/>
  <c r="D16" i="2"/>
  <c r="P16" i="2" s="1"/>
  <c r="P15" i="2"/>
  <c r="O15" i="2"/>
  <c r="M15" i="2"/>
  <c r="I15" i="2"/>
  <c r="E15" i="2"/>
  <c r="O14" i="2"/>
  <c r="M14" i="2"/>
  <c r="L14" i="2"/>
  <c r="I14" i="2"/>
  <c r="D14" i="2"/>
  <c r="P14" i="2" s="1"/>
  <c r="O13" i="2"/>
  <c r="M13" i="2"/>
  <c r="I13" i="2"/>
  <c r="D13" i="2"/>
  <c r="P13" i="2" s="1"/>
  <c r="P12" i="2"/>
  <c r="O12" i="2"/>
  <c r="M12" i="2"/>
  <c r="I12" i="2"/>
  <c r="E12" i="2"/>
  <c r="P11" i="2"/>
  <c r="O11" i="2"/>
  <c r="M11" i="2"/>
  <c r="I11" i="2"/>
  <c r="E11" i="2"/>
  <c r="O10" i="2"/>
  <c r="L10" i="2"/>
  <c r="M10" i="2" s="1"/>
  <c r="I10" i="2"/>
  <c r="E10" i="2"/>
  <c r="D10" i="2"/>
  <c r="P10" i="2" s="1"/>
  <c r="P9" i="2"/>
  <c r="O9" i="2"/>
  <c r="M9" i="2"/>
  <c r="I9" i="2"/>
  <c r="E9" i="2"/>
  <c r="O8" i="2"/>
  <c r="L8" i="2"/>
  <c r="L21" i="2" s="1"/>
  <c r="M21" i="2" s="1"/>
  <c r="I8" i="2"/>
  <c r="E8" i="2"/>
  <c r="D8" i="2"/>
  <c r="P8" i="2" s="1"/>
  <c r="A2" i="2"/>
  <c r="C63" i="2" l="1"/>
  <c r="H85" i="2"/>
  <c r="C80" i="2"/>
  <c r="K63" i="2"/>
  <c r="P42" i="2"/>
  <c r="E42" i="2"/>
  <c r="K52" i="2"/>
  <c r="K80" i="2" s="1"/>
  <c r="K85" i="2" s="1"/>
  <c r="M62" i="2"/>
  <c r="F80" i="2"/>
  <c r="F85" i="2" s="1"/>
  <c r="J80" i="2"/>
  <c r="J85" i="2" s="1"/>
  <c r="N80" i="2"/>
  <c r="N85" i="2" s="1"/>
  <c r="H63" i="2"/>
  <c r="D52" i="2"/>
  <c r="E31" i="2"/>
  <c r="E52" i="2" s="1"/>
  <c r="E51" i="2"/>
  <c r="P71" i="2"/>
  <c r="E71" i="2"/>
  <c r="P76" i="2"/>
  <c r="D79" i="2"/>
  <c r="E76" i="2"/>
  <c r="C85" i="2"/>
  <c r="O52" i="2"/>
  <c r="O31" i="2"/>
  <c r="D26" i="2"/>
  <c r="J63" i="2"/>
  <c r="P34" i="2"/>
  <c r="E34" i="2"/>
  <c r="P62" i="2"/>
  <c r="E62" i="2"/>
  <c r="O21" i="2"/>
  <c r="P35" i="2"/>
  <c r="M8" i="2"/>
  <c r="E14" i="2"/>
  <c r="E16" i="2"/>
  <c r="D21" i="2"/>
  <c r="M22" i="2"/>
  <c r="E25" i="2"/>
  <c r="I25" i="2"/>
  <c r="G26" i="2"/>
  <c r="G63" i="2" s="1"/>
  <c r="P27" i="2"/>
  <c r="M32" i="2"/>
  <c r="E33" i="2"/>
  <c r="E45" i="2"/>
  <c r="P46" i="2"/>
  <c r="L51" i="2"/>
  <c r="P51" i="2" s="1"/>
  <c r="E53" i="2"/>
  <c r="M59" i="2"/>
  <c r="E60" i="2"/>
  <c r="E65" i="2"/>
  <c r="E67" i="2"/>
  <c r="E70" i="2"/>
  <c r="E72" i="2"/>
  <c r="P72" i="2"/>
  <c r="E75" i="2"/>
  <c r="O78" i="2"/>
  <c r="P25" i="2"/>
  <c r="O51" i="2"/>
  <c r="P28" i="2"/>
  <c r="L31" i="2"/>
  <c r="M31" i="2" s="1"/>
  <c r="O76" i="2"/>
  <c r="G79" i="2"/>
  <c r="O79" i="2" s="1"/>
  <c r="L25" i="2"/>
  <c r="P60" i="2"/>
  <c r="E13" i="2"/>
  <c r="E20" i="2"/>
  <c r="I31" i="2"/>
  <c r="I52" i="2" s="1"/>
  <c r="P32" i="2"/>
  <c r="E50" i="2"/>
  <c r="P59" i="2"/>
  <c r="E64" i="2"/>
  <c r="P64" i="2"/>
  <c r="E66" i="2"/>
  <c r="E21" i="2" l="1"/>
  <c r="P21" i="2"/>
  <c r="P79" i="2"/>
  <c r="E79" i="2"/>
  <c r="D80" i="2"/>
  <c r="O80" i="2"/>
  <c r="O26" i="2"/>
  <c r="O63" i="2" s="1"/>
  <c r="E26" i="2"/>
  <c r="E63" i="2" s="1"/>
  <c r="D63" i="2"/>
  <c r="L26" i="2"/>
  <c r="P26" i="2" s="1"/>
  <c r="M25" i="2"/>
  <c r="G80" i="2"/>
  <c r="I79" i="2"/>
  <c r="L52" i="2"/>
  <c r="P52" i="2" s="1"/>
  <c r="M51" i="2"/>
  <c r="P31" i="2"/>
  <c r="I26" i="2"/>
  <c r="I63" i="2" s="1"/>
  <c r="P63" i="2" l="1"/>
  <c r="G85" i="2"/>
  <c r="I80" i="2"/>
  <c r="M52" i="2"/>
  <c r="L80" i="2"/>
  <c r="M26" i="2"/>
  <c r="L63" i="2"/>
  <c r="D85" i="2"/>
  <c r="E80" i="2"/>
  <c r="P80" i="2"/>
  <c r="E85" i="2" l="1"/>
  <c r="M63" i="2"/>
  <c r="I85" i="2"/>
  <c r="O85" i="2"/>
  <c r="L85" i="2"/>
  <c r="M85" i="2" s="1"/>
  <c r="M80" i="2"/>
  <c r="Q80" i="2" s="1"/>
  <c r="P85" i="2" l="1"/>
  <c r="C27" i="1" l="1"/>
  <c r="B27" i="1"/>
  <c r="B25" i="1"/>
  <c r="B23" i="1"/>
  <c r="B22" i="1"/>
  <c r="C22" i="1" s="1"/>
  <c r="B21" i="1"/>
  <c r="B20" i="1"/>
  <c r="C20" i="1" s="1"/>
  <c r="B19" i="1"/>
  <c r="C19" i="1" s="1"/>
  <c r="B26" i="1" l="1"/>
  <c r="C25" i="1"/>
  <c r="C24" i="1"/>
  <c r="C23" i="1"/>
  <c r="C21" i="1"/>
  <c r="B17" i="1"/>
  <c r="C17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C26" i="1" l="1"/>
  <c r="C28" i="1" s="1"/>
  <c r="B16" i="1"/>
  <c r="B18" i="1" s="1"/>
  <c r="B28" i="1"/>
  <c r="C16" i="1"/>
  <c r="C18" i="1" s="1"/>
</calcChain>
</file>

<file path=xl/sharedStrings.xml><?xml version="1.0" encoding="utf-8"?>
<sst xmlns="http://schemas.openxmlformats.org/spreadsheetml/2006/main" count="1071" uniqueCount="742">
  <si>
    <t>Ják Község  Önkormányzata 2021. évi költségvetése</t>
  </si>
  <si>
    <t>Az egységes rovatrend szerint a kiemelt kiadási és bevételi jogcímek</t>
  </si>
  <si>
    <t xml:space="preserve"> Ft-ban</t>
  </si>
  <si>
    <t>Megnevezések</t>
  </si>
  <si>
    <t>Eredeti ei.</t>
  </si>
  <si>
    <t>Módosított ei.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</si>
  <si>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</si>
  <si>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</si>
  <si>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</si>
  <si>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</si>
  <si>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</si>
  <si>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</si>
  <si>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Tartalékok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</si>
  <si>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</si>
  <si>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</si>
  <si>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</si>
  <si>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</si>
  <si>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</si>
  <si>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</si>
  <si>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</si>
  <si>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</si>
  <si>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</si>
  <si>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</si>
  <si>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</si>
  <si>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</si>
  <si>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</si>
  <si>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</si>
  <si>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</si>
  <si>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</si>
  <si>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Kiadások ( Ft)</t>
  </si>
  <si>
    <t>KÖLTSÉGVETÉSI SZERV ELŐIRÁNYZATAI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</si>
  <si>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</si>
  <si>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</si>
  <si>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</si>
  <si>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</si>
  <si>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</si>
  <si>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</si>
  <si>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eredeti ei.</t>
  </si>
  <si>
    <t>módosított ei.</t>
  </si>
  <si>
    <t>teljesítés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</si>
  <si>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</si>
  <si>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</si>
  <si>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</si>
  <si>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</si>
  <si>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</si>
  <si>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</si>
  <si>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</si>
  <si>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</si>
  <si>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</si>
  <si>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</si>
  <si>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</si>
  <si>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</si>
  <si>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</si>
  <si>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</si>
  <si>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</si>
  <si>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</si>
  <si>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</si>
  <si>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</si>
  <si>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</si>
  <si>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</si>
  <si>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</si>
  <si>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</si>
  <si>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</si>
  <si>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</si>
  <si>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</si>
  <si>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</si>
  <si>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</si>
  <si>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</si>
  <si>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</si>
  <si>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</si>
  <si>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</si>
  <si>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</si>
  <si>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</si>
  <si>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</si>
  <si>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</si>
  <si>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</si>
  <si>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</si>
  <si>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</si>
  <si>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</si>
  <si>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</si>
  <si>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</si>
  <si>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</si>
  <si>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</si>
  <si>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</si>
  <si>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</si>
  <si>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</si>
  <si>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</si>
  <si>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</si>
  <si>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</si>
  <si>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</si>
  <si>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</si>
  <si>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</si>
  <si>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</si>
  <si>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</si>
  <si>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</si>
  <si>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</si>
  <si>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</si>
  <si>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</si>
  <si>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</si>
  <si>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</si>
  <si>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</si>
  <si>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</si>
  <si>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</si>
  <si>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</si>
  <si>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</si>
  <si>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</si>
  <si>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</si>
  <si>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</si>
  <si>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</si>
  <si>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</si>
  <si>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</si>
  <si>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</si>
  <si>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</si>
  <si>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</si>
  <si>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</si>
  <si>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</si>
  <si>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</si>
  <si>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</si>
  <si>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</si>
  <si>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</si>
  <si>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</si>
  <si>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</si>
  <si>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</si>
  <si>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</si>
  <si>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</si>
  <si>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</si>
  <si>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</si>
  <si>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</si>
  <si>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</si>
  <si>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</si>
  <si>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</si>
  <si>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</si>
  <si>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</si>
  <si>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</si>
  <si>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</si>
  <si>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</si>
  <si>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</si>
  <si>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</si>
  <si>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</si>
  <si>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</si>
  <si>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</si>
  <si>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</si>
  <si>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Működési célú  támogatások államháztartáson belülre</t>
  </si>
  <si>
    <t>K506</t>
  </si>
  <si>
    <t>Egyéb működési célú támogatások államháztartáson kivülre</t>
  </si>
  <si>
    <t>K512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</si>
  <si>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</si>
  <si>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</si>
  <si>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</si>
  <si>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</si>
  <si>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</si>
  <si>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</si>
  <si>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</si>
  <si>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</si>
  <si>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</si>
  <si>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</si>
  <si>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</si>
  <si>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</si>
  <si>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</si>
  <si>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</si>
  <si>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</si>
  <si>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</si>
  <si>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</si>
  <si>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</si>
  <si>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</si>
  <si>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</si>
  <si>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</si>
  <si>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</si>
  <si>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</si>
  <si>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</si>
  <si>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</si>
  <si>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</si>
  <si>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</si>
  <si>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</si>
  <si>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</si>
  <si>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</si>
  <si>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 xml:space="preserve">Egyéb felhalmozási célú támogatások államháztartáson kívülre </t>
  </si>
  <si>
    <t>K89</t>
  </si>
  <si>
    <t xml:space="preserve">Egyéb felhalmozási célú kiadások </t>
  </si>
  <si>
    <t xml:space="preserve">Felhalmozási költségvetés előirányzat csoport </t>
  </si>
  <si>
    <t xml:space="preserve">Költségvetési kiadások </t>
  </si>
  <si>
    <t>K1-K8</t>
  </si>
  <si>
    <t>Hosszú lejáratú hitel törlesztése</t>
  </si>
  <si>
    <t>K911</t>
  </si>
  <si>
    <t xml:space="preserve">Államháztartáson belüli megelőlegezések visszafizetése </t>
  </si>
  <si>
    <t>K914</t>
  </si>
  <si>
    <t>Központi irányítószervi támogatások folyósítása</t>
  </si>
  <si>
    <t>K915</t>
  </si>
  <si>
    <t xml:space="preserve">Finanszírozási kiadások </t>
  </si>
  <si>
    <t>K9</t>
  </si>
  <si>
    <t>Beruházások és felújítások (Ft)</t>
  </si>
  <si>
    <t>Megnevezés</t>
  </si>
  <si>
    <t>MINDÖSSZESEN</t>
  </si>
  <si>
    <t xml:space="preserve">Ingatlanok beszerzése, létesítése </t>
  </si>
  <si>
    <t>Kisértékű informatikai eszköz beszerzése</t>
  </si>
  <si>
    <t>Kisértékű tárgyi eszköz beszerzése</t>
  </si>
  <si>
    <t>Beruházások és felújítások összesen</t>
  </si>
  <si>
    <t>K6+K7</t>
  </si>
  <si>
    <t>I. Működési célú bevételek és kiadások mérlege                               
(Önkormányzati szinten)</t>
  </si>
  <si>
    <t>Sor-
szám</t>
  </si>
  <si>
    <t>Bevételek</t>
  </si>
  <si>
    <t>Kiadások</t>
  </si>
  <si>
    <t>2021. évi módosított előirányzat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</si>
  <si>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</si>
  <si>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</si>
  <si>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</si>
  <si>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</si>
  <si>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</si>
  <si>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</si>
  <si>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</si>
  <si>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</si>
  <si>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</si>
  <si>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</si>
  <si>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</si>
  <si>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</si>
  <si>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</si>
  <si>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</si>
  <si>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</si>
  <si>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</si>
  <si>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7.</t>
  </si>
  <si>
    <t>Egyéb működési bevételek</t>
  </si>
  <si>
    <t>8.</t>
  </si>
  <si>
    <t>9.</t>
  </si>
  <si>
    <t>10.</t>
  </si>
  <si>
    <t>Költségvetési bevételek összesen (1.+2.+4.+5.+7.+…+9.)</t>
  </si>
  <si>
    <t>Költségvetési kiadások összesen (1.+...+9.)</t>
  </si>
  <si>
    <t>11.</t>
  </si>
  <si>
    <t>Hiány belső finanszírozásának bevételei (15.+…+18. )</t>
  </si>
  <si>
    <t>Értékpapír vásárlása, visszavásárlása</t>
  </si>
  <si>
    <t>12.</t>
  </si>
  <si>
    <t xml:space="preserve">   Költségvetési maradvány igénybevétele </t>
  </si>
  <si>
    <t>Likviditási célú hitelek törlesztése</t>
  </si>
  <si>
    <t>13.</t>
  </si>
  <si>
    <t xml:space="preserve">   Vállalkozási maradvány igénybevétele </t>
  </si>
  <si>
    <t>Rövid lejáratú hitelek törlesztése</t>
  </si>
  <si>
    <t>14.</t>
  </si>
  <si>
    <t xml:space="preserve">   Betét visszavonásából származó bevétel </t>
  </si>
  <si>
    <t>Hosszú lejáratú hitelek törlesztése</t>
  </si>
  <si>
    <t>15.</t>
  </si>
  <si>
    <t xml:space="preserve">   Egyéb belső finanszírozási bevételek</t>
  </si>
  <si>
    <t>Kölcsön törlesztése</t>
  </si>
  <si>
    <t>16.</t>
  </si>
  <si>
    <t xml:space="preserve">Hiány külső finanszírozásának bevételei (20.+…+21.) </t>
  </si>
  <si>
    <t>Forgatási célú belföldi, külföldi értékpapírok vásárlása</t>
  </si>
  <si>
    <t>17.</t>
  </si>
  <si>
    <t xml:space="preserve">   Likviditási célú hitelek, kölcsönök felvétele</t>
  </si>
  <si>
    <t>Betét elhelyezése</t>
  </si>
  <si>
    <t>18.</t>
  </si>
  <si>
    <t xml:space="preserve">   Értékpapírok bevételei</t>
  </si>
  <si>
    <t>19.</t>
  </si>
  <si>
    <t>Működési célú finanszírozási bevételek összesen (11+…+18.)</t>
  </si>
  <si>
    <t>Működési célú finanszírozási kiadások összesen (11.+...+18.)</t>
  </si>
  <si>
    <t>20.</t>
  </si>
  <si>
    <t>BEVÉTEL ÖSSZESEN (13.+22.)</t>
  </si>
  <si>
    <t>KIADÁSOK ÖSSZESEN (13.+22.)</t>
  </si>
  <si>
    <t>21.</t>
  </si>
  <si>
    <t>Költségvetési hiány:</t>
  </si>
  <si>
    <t>Költségvetési többlet:</t>
  </si>
  <si>
    <t>22.</t>
  </si>
  <si>
    <t>Tárgyévi  hiány:</t>
  </si>
  <si>
    <t>Tárgyévi  többlet:</t>
  </si>
  <si>
    <t xml:space="preserve"> II. Felhalmozási célú bevételek és kiadások   mérlege                               
(Önkormányzati szinten)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</si>
  <si>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</si>
  <si>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</si>
  <si>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</si>
  <si>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</si>
  <si>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</si>
  <si>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</si>
  <si>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</si>
  <si>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</si>
  <si>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</si>
  <si>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</si>
  <si>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</si>
  <si>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</si>
  <si>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(1.+3.+4.+6.+7.)</t>
  </si>
  <si>
    <t>Hiány belső finanszírozás bevételei ( 10+…+14)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</si>
  <si>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</si>
  <si>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</si>
  <si>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</si>
  <si>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</si>
  <si>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</si>
  <si>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</si>
  <si>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</si>
  <si>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(16+…+20 )</t>
  </si>
  <si>
    <t>Hosszú lejáratú hitelek, kölcsönök felvétele</t>
  </si>
  <si>
    <t>Pénzügyi lízing kiadásai</t>
  </si>
  <si>
    <t>Likviditási célú hitelek, kölcsönök felvétele</t>
  </si>
  <si>
    <t>Államháztartáson belüli megelőlegezés visszafizetése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</si>
  <si>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</si>
  <si>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</si>
  <si>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</si>
  <si>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</si>
  <si>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(14.+...+25.)</t>
  </si>
  <si>
    <t>BEVÉTEL ÖSSZESEN (8+21)</t>
  </si>
  <si>
    <t>KIADÁSOK ÖSSZESEN (8+21)</t>
  </si>
  <si>
    <t>23.</t>
  </si>
  <si>
    <t>24.</t>
  </si>
  <si>
    <t>Ják Község Önkormányzata</t>
  </si>
  <si>
    <t>Ják, Kossuth Lajos u. 14.</t>
  </si>
  <si>
    <t>2021. évi létszám</t>
  </si>
  <si>
    <t>COFOG</t>
  </si>
  <si>
    <t>Létszám (fő)</t>
  </si>
  <si>
    <t>011130</t>
  </si>
  <si>
    <t>Önk. Ig. tev.</t>
  </si>
  <si>
    <t>074031</t>
  </si>
  <si>
    <t>Cs. nő eü. gondozás</t>
  </si>
  <si>
    <t>Önkormányzat összesen:</t>
  </si>
  <si>
    <t>Önk. ig. tevékenység</t>
  </si>
  <si>
    <t>104042</t>
  </si>
  <si>
    <t>Család- és gyermekjóléti szolgáltatások</t>
  </si>
  <si>
    <t>KÖH összesen:</t>
  </si>
  <si>
    <t>045160</t>
  </si>
  <si>
    <t>Közutak fenntart.</t>
  </si>
  <si>
    <t>066020</t>
  </si>
  <si>
    <t>Községgazd.</t>
  </si>
  <si>
    <t>62</t>
  </si>
  <si>
    <t>Élelmezési tev.</t>
  </si>
  <si>
    <t>63</t>
  </si>
  <si>
    <t>Közétkeztetés</t>
  </si>
  <si>
    <t>013350</t>
  </si>
  <si>
    <t>Építményüzemeltetés</t>
  </si>
  <si>
    <t>066010</t>
  </si>
  <si>
    <t>Zöldterületek fenntart.</t>
  </si>
  <si>
    <t>082092</t>
  </si>
  <si>
    <t>Közműv. tev. t.</t>
  </si>
  <si>
    <t>013320</t>
  </si>
  <si>
    <t>Temető fenntart.</t>
  </si>
  <si>
    <t>KÜÉSZ összesen:</t>
  </si>
  <si>
    <t>091110</t>
  </si>
  <si>
    <t>Óvodai nev. ellátás</t>
  </si>
  <si>
    <t>Óvoda összesen:</t>
  </si>
  <si>
    <t>Működés összesen</t>
  </si>
  <si>
    <t>Tartalékok (Ft)</t>
  </si>
  <si>
    <t>Működési  tartalékok</t>
  </si>
  <si>
    <t>Felhalmozási tartalék</t>
  </si>
  <si>
    <t xml:space="preserve">2021. évi költségvetés előirányzat-felhasználási terve                                                      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</si>
  <si>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</si>
  <si>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</si>
  <si>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</si>
  <si>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</si>
  <si>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</si>
  <si>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</si>
  <si>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</si>
  <si>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</si>
  <si>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</si>
  <si>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</si>
  <si>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</si>
  <si>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</si>
  <si>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</si>
  <si>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</si>
  <si>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</si>
  <si>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</si>
  <si>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</si>
  <si>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</si>
  <si>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</si>
  <si>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</si>
  <si>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Dologi  kiadások</t>
  </si>
  <si>
    <t xml:space="preserve"> Egyéb működési célú kiadások</t>
  </si>
  <si>
    <t>Finanszírozási kiadások</t>
  </si>
  <si>
    <t>Kiadások összesen:</t>
  </si>
  <si>
    <t>Egyenleg</t>
  </si>
  <si>
    <t>Bevételek ( Ft)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</si>
  <si>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</si>
  <si>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</si>
  <si>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</si>
  <si>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</si>
  <si>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  feladatainak támogatása</t>
  </si>
  <si>
    <t>B1131</t>
  </si>
  <si>
    <t>Települési önkormányzatok gyermekétkeztetési  feladatainak támogatása</t>
  </si>
  <si>
    <t>B1132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</si>
  <si>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</si>
  <si>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</si>
  <si>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</si>
  <si>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</si>
  <si>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</si>
  <si>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</si>
  <si>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</si>
  <si>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</si>
  <si>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</si>
  <si>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</si>
  <si>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</si>
  <si>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</si>
  <si>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</si>
  <si>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</si>
  <si>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</si>
  <si>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</si>
  <si>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</si>
  <si>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</si>
  <si>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</si>
  <si>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</si>
  <si>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</si>
  <si>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</si>
  <si>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</si>
  <si>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</si>
  <si>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</si>
  <si>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</si>
  <si>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</si>
  <si>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</si>
  <si>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</si>
  <si>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</si>
  <si>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</si>
  <si>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</si>
  <si>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</si>
  <si>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</si>
  <si>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</si>
  <si>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</si>
  <si>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</si>
  <si>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</si>
  <si>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</si>
  <si>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</si>
  <si>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</si>
  <si>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</si>
  <si>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</si>
  <si>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</si>
  <si>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</si>
  <si>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</si>
  <si>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</si>
  <si>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</si>
  <si>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</si>
  <si>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</si>
  <si>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</si>
  <si>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</si>
  <si>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</si>
  <si>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</si>
  <si>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</si>
  <si>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</si>
  <si>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</si>
  <si>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</si>
  <si>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</si>
  <si>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</si>
  <si>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</si>
  <si>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</si>
  <si>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</si>
  <si>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</si>
  <si>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</si>
  <si>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</si>
  <si>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</si>
  <si>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</si>
  <si>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</si>
  <si>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</si>
  <si>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</si>
  <si>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</si>
  <si>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</si>
  <si>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</si>
  <si>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</si>
  <si>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</si>
  <si>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</si>
  <si>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</si>
  <si>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</si>
  <si>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</si>
  <si>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</si>
  <si>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</si>
  <si>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</si>
  <si>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</si>
  <si>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</si>
  <si>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</si>
  <si>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</si>
  <si>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</si>
  <si>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</si>
  <si>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</si>
  <si>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</si>
  <si>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</si>
  <si>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</si>
  <si>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</si>
  <si>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</si>
  <si>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</si>
  <si>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</si>
  <si>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</si>
  <si>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</si>
  <si>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</si>
  <si>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</si>
  <si>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</si>
  <si>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</si>
  <si>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</si>
  <si>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 xml:space="preserve">Felh.i ccélú visszatér.ő tám., kölcsönök v.térülése korm.tól és más nemz.i szerv.től </t>
  </si>
  <si>
    <t>B73</t>
  </si>
  <si>
    <t>Felh.i ccélú visszatér.ő tám., kölcsönök v.térülése áll.-n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</si>
  <si>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</si>
  <si>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</si>
  <si>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</si>
  <si>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</si>
  <si>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</si>
  <si>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Költségvetési bevételek </t>
  </si>
  <si>
    <t>B1-B7</t>
  </si>
  <si>
    <t>Hitel-, kölcsönfelvétel pénzügyi váll.tól</t>
  </si>
  <si>
    <t>B811</t>
  </si>
  <si>
    <t xml:space="preserve">Belföldi értékpapírok bevételei </t>
  </si>
  <si>
    <t>B812</t>
  </si>
  <si>
    <t xml:space="preserve">Előző év költségvetési maradványának igénybevétele </t>
  </si>
  <si>
    <t>B8131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</si>
  <si>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</si>
  <si>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</si>
  <si>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</si>
  <si>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</si>
  <si>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</si>
  <si>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</si>
  <si>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</si>
  <si>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</si>
  <si>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</si>
  <si>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</si>
  <si>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</si>
  <si>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</si>
  <si>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</si>
  <si>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</si>
  <si>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</si>
  <si>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</si>
  <si>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</si>
  <si>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</si>
  <si>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</si>
  <si>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</si>
  <si>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Támogatások, kölcsönök nyújtása és törlesztése ( Ft)</t>
  </si>
  <si>
    <t xml:space="preserve">Működési célú visszatérítendő támogatások, kölcsönök törlesztése államháztartáson belülre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</si>
  <si>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</si>
  <si>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</si>
  <si>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</si>
  <si>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</si>
  <si>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</si>
  <si>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</si>
  <si>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</si>
  <si>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</si>
  <si>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</si>
  <si>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</si>
  <si>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Egyéb működési célú támogatások államháztartáson belülre</t>
  </si>
  <si>
    <t xml:space="preserve">Működési célú visszatérítendő támogatások, kölcsönök nyújtása államháztartáson kívülre </t>
  </si>
  <si>
    <t>K508</t>
  </si>
  <si>
    <t>Működési célú támogatások az Európai Uniónak</t>
  </si>
  <si>
    <t>K511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</si>
  <si>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</si>
  <si>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</si>
  <si>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>K82</t>
  </si>
  <si>
    <t xml:space="preserve">Felhalmozási célú visszatérítendő támogatások, kölcsönök törlesztése államháztartáson belülre </t>
  </si>
  <si>
    <t>K83</t>
  </si>
  <si>
    <t xml:space="preserve">Egyéb felhalmozási célú támogatások államháztartáson belülre </t>
  </si>
  <si>
    <t>K84</t>
  </si>
  <si>
    <t xml:space="preserve">Felhalmozási célú visszatérítendő támogatások, kölcsönök nyújtása államháztartáson kívülre </t>
  </si>
  <si>
    <t>K86</t>
  </si>
  <si>
    <t>K 506   Szombathelyi Kistérség Többcélú Társulása</t>
  </si>
  <si>
    <t>K 506   JKÖH továbbszámlázás</t>
  </si>
  <si>
    <t>K 512     Sporttevékenységek támogatása</t>
  </si>
  <si>
    <t>K 512    Civil szervezetek</t>
  </si>
  <si>
    <t xml:space="preserve">                                Támogatások, kölcsönök bevételei </t>
  </si>
  <si>
    <t xml:space="preserve">Működési célú visszatérítendő támogatások, kölcsönök igénybevétele államháztartáson belülről 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</si>
  <si>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</si>
  <si>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</si>
  <si>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</si>
  <si>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</si>
  <si>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</si>
  <si>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</si>
  <si>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</si>
  <si>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</si>
  <si>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</si>
  <si>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</si>
  <si>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Egyéb működési célú támogatások bevételei államháztartáson belülről </t>
  </si>
  <si>
    <t>Felhalmozási cálú önkormányzati támogatások</t>
  </si>
  <si>
    <t xml:space="preserve">Felhalmozási célú visszatérítendő támogatások, kölcsönök visszatérülése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</si>
  <si>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</si>
  <si>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</si>
  <si>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>B64</t>
  </si>
  <si>
    <t xml:space="preserve">Egyéb működési célú átvett pénzeszközök </t>
  </si>
  <si>
    <t>B65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</si>
  <si>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</si>
  <si>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</si>
  <si>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 xml:space="preserve">Irányító szervi támogatások folyósítása </t>
  </si>
  <si>
    <t>ÖNKORMÁNYZATI ELŐIRÁNYZATOK</t>
  </si>
  <si>
    <t>Rovatszám</t>
  </si>
  <si>
    <t>Eredeti előirányzat</t>
  </si>
  <si>
    <t>Módosított előirányzat</t>
  </si>
  <si>
    <t>Államháztartáson belüli megelőlegezések visszafizetése</t>
  </si>
  <si>
    <t>Központi, irányító szervi támogatások folyósítása működédési célra</t>
  </si>
  <si>
    <t>ÖSSZESEN:</t>
  </si>
  <si>
    <t xml:space="preserve">Helyi adó és egyéb közhatalmi bevételek </t>
  </si>
  <si>
    <t>Rovat szám</t>
  </si>
  <si>
    <t>eredeti előirányzat</t>
  </si>
  <si>
    <t>módosított előirányzat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</si>
  <si>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</si>
  <si>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</si>
  <si>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</si>
  <si>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</si>
  <si>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ebből: állandó jeleggel végzett iparűzési tevékenység után fizetett helyi iparűzési adó</t>
  </si>
  <si>
    <t>ebből: ideiglenes jeleggel végzett tevékenység után fizetett helyi iparűzési adó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</si>
  <si>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</si>
  <si>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</si>
  <si>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</si>
  <si>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</si>
  <si>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</si>
  <si>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 xml:space="preserve">ebből: tartózkodás után fizetett idegenforgalmi adó </t>
  </si>
  <si>
    <t>ebből: talajterhelési díj</t>
  </si>
  <si>
    <t>eljárási illetékek</t>
  </si>
  <si>
    <t>igazgatási szolgáltatási díjak</t>
  </si>
  <si>
    <t>késedelmi pótlék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</si>
  <si>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</si>
  <si>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</si>
  <si>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</si>
  <si>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</si>
  <si>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</si>
  <si>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</si>
  <si>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</si>
  <si>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Többéves kihatással járó döntések számszerűsítése évenkénti bontásban és összesítve célok szerint</t>
  </si>
  <si>
    <t>forintban</t>
  </si>
  <si>
    <t>Kötelezettség jogcíme</t>
  </si>
  <si>
    <t>Köt. váll.
 éve</t>
  </si>
  <si>
    <t>2020-ig kifizetés</t>
  </si>
  <si>
    <t>Kiadás vonzata évenként</t>
  </si>
  <si>
    <t>Összesen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</si>
  <si>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</si>
  <si>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</si>
  <si>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</si>
  <si>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</si>
  <si>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2016</t>
  </si>
  <si>
    <t>2017</t>
  </si>
  <si>
    <t>2018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</si>
  <si>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</si>
  <si>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</si>
  <si>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</si>
  <si>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</si>
  <si>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2016.</t>
  </si>
  <si>
    <t>2026-ban jár le évi 1 millió utolsó évben 577 025 Ft</t>
  </si>
  <si>
    <t>2017.</t>
  </si>
  <si>
    <t>2027-ben jár le évi 1 millió</t>
  </si>
  <si>
    <t>2018.</t>
  </si>
  <si>
    <t>2028-ban jár le évi 1 millió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</si>
  <si>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</si>
  <si>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</si>
  <si>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</si>
  <si>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</si>
  <si>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</si>
  <si>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</si>
  <si>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</si>
  <si>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</si>
  <si>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</si>
  <si>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</si>
  <si>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</si>
  <si>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</si>
  <si>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</si>
  <si>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</si>
  <si>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</si>
  <si>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</si>
  <si>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</si>
  <si>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</si>
  <si>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</si>
  <si>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</si>
  <si>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Ják Község önkormányzata által</t>
  </si>
  <si>
    <t xml:space="preserve">a lakosságnak juttatott támogatások, szociális, </t>
  </si>
  <si>
    <t>rászorultsági jellegű ellátások</t>
  </si>
  <si>
    <t>2021. évi</t>
  </si>
  <si>
    <t>Előirányzat</t>
  </si>
  <si>
    <t>Mód. Ei.</t>
  </si>
  <si>
    <t>Ft-ban</t>
  </si>
  <si>
    <t>Egyéb nem intézményi ellátások</t>
  </si>
  <si>
    <t>ebből: egyéb, az önkormányzat rendeletében megállapított juttatás</t>
  </si>
  <si>
    <t>ebből: köztemetés</t>
  </si>
  <si>
    <t xml:space="preserve">ebből: települési támogatás </t>
  </si>
  <si>
    <t xml:space="preserve">ebből: önkormányzat által saját hatáskörben (nem szociális és </t>
  </si>
  <si>
    <t xml:space="preserve">gyermekvédelmi előírások alapján) adott más ellátás </t>
  </si>
  <si>
    <t>ebből: időskorúak járadéka</t>
  </si>
  <si>
    <t>ebből: szépkorúak jubileumi juttatása</t>
  </si>
  <si>
    <t>Adatszolgáltatás 
az elismert tartozásállományról</t>
  </si>
  <si>
    <t>Költségvetési szerv neve:</t>
  </si>
  <si>
    <t>Költségvetési szerv számlaszáma:</t>
  </si>
  <si>
    <t>72100237-10140004</t>
  </si>
  <si>
    <t xml:space="preserve">Éves eredeti kiadási előirányzat: </t>
  </si>
  <si>
    <t>30 napon túli elismert tartozásállomány összesen:  0 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</si>
  <si>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</si>
  <si>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</si>
  <si>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</si>
  <si>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</si>
  <si>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</si>
  <si>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</si>
  <si>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</si>
  <si>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</si>
  <si>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</si>
  <si>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</si>
  <si>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</si>
  <si>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 xml:space="preserve">Általános költségek felosztása </t>
  </si>
  <si>
    <t>2021.</t>
  </si>
  <si>
    <t>Szakfeladat</t>
  </si>
  <si>
    <t>Élelm. tev.       62212 (%)</t>
  </si>
  <si>
    <t>Közétkezt.      62213 (%)</t>
  </si>
  <si>
    <t>562912, 562913</t>
  </si>
  <si>
    <t>096015</t>
  </si>
  <si>
    <t>Gyermekétkeztetés</t>
  </si>
  <si>
    <t>096025</t>
  </si>
  <si>
    <t>Munkah. étk.</t>
  </si>
  <si>
    <t>Községgazdálkodás</t>
  </si>
  <si>
    <t>107051</t>
  </si>
  <si>
    <t xml:space="preserve">Szociális étk. </t>
  </si>
  <si>
    <t>081041</t>
  </si>
  <si>
    <t>Versenysport</t>
  </si>
  <si>
    <t xml:space="preserve">Ják Község Önkormányzata adósságot keletkeztető ügyleteiből eredő fizetési kötelezettségeinek bemutatása                                       </t>
  </si>
  <si>
    <t>forint</t>
  </si>
  <si>
    <t>MEGNEVEZÉS</t>
  </si>
  <si>
    <t>Saját bevétel és adósságot keletkeztető ügyletből eredő fizetési kötelezettség összegei</t>
  </si>
  <si>
    <t>ÖSSZESEN
7=(3+4+5+6)</t>
  </si>
  <si>
    <t>Helyi adók</t>
  </si>
  <si>
    <t>01</t>
  </si>
  <si>
    <t>Osztalék, koncessziós díjak</t>
  </si>
  <si>
    <t>02</t>
  </si>
  <si>
    <t>Díjak, pótlékok, bírságok</t>
  </si>
  <si>
    <t>03</t>
  </si>
  <si>
    <t>Tárgyi eszközök, immateriális javak, vagyoni értékű jog értékesítése, vagyonhasznosításból származó bevétel</t>
  </si>
  <si>
    <t>04</t>
  </si>
  <si>
    <t>Részvények, részesedések értékesítése</t>
  </si>
  <si>
    <t>05</t>
  </si>
  <si>
    <t>Vállalatértékesítésből, privatizációból származó bevételek</t>
  </si>
  <si>
    <t>06</t>
  </si>
  <si>
    <t>Kezességvállalással kapcsolatos megtérülés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</si>
  <si>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</si>
  <si>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</si>
  <si>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</si>
  <si>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</si>
  <si>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</si>
  <si>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</si>
  <si>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</si>
  <si>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</si>
  <si>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</si>
  <si>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</si>
  <si>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</si>
  <si>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</si>
  <si>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</si>
  <si>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</si>
  <si>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</si>
  <si>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</si>
  <si>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1. melléklet a 8/2021. (VIII.18.) önkormányzati rendelethez</t>
  </si>
  <si>
    <t>2. melléklet a 8/2021. (VIII.18.) önkormányzati rendelethez</t>
  </si>
  <si>
    <t>3. melléklet a 8/2021. (VIII.18.) önkormányzati rendelethez</t>
  </si>
  <si>
    <t>4. melléklet a 8/2021. (VIII.18.) önkormányzati rendelethez</t>
  </si>
  <si>
    <t>5. melléklet a 8/2021. (VIII.18.) önkormányzati rendelethez</t>
  </si>
  <si>
    <t>6. melléklet a 8/2021. (VIII.18.) önkormányzati rendelethez</t>
  </si>
  <si>
    <t>7. melléklet a 8/2021. (VIII.18.) önkormányzati rendelethez</t>
  </si>
  <si>
    <t>8. melléklet a 8/2021. (VIII.18.) önkormányzati rendelethez</t>
  </si>
  <si>
    <t>9. melléklet a 8/2021. (VIII.18.) önkormányzati rendelethez</t>
  </si>
  <si>
    <t>10. melléklet a 8/2021. (VIII.18.) önkormányzati rendelethez</t>
  </si>
  <si>
    <t>11. melléklet a 8/2021. (VIII.18.) önkormányzati rendelethez</t>
  </si>
  <si>
    <t>12. melléklet a 8/2021. (VIII.18.) önkormányzati rendelethez</t>
  </si>
  <si>
    <t>13. melléklet a 8/2021. (VIII.18.) önkormányzati rendelethez</t>
  </si>
  <si>
    <t>14. melléklet a 8/2021. (VIII.18.) önkormányzati rendelethez</t>
  </si>
  <si>
    <t>15. melléklet a 8/2021. (VIII.18.) önkormányzati rendelethez</t>
  </si>
  <si>
    <t>16. melléklet a 8/2021. (VIII.18.) önkormányzati rendelethez</t>
  </si>
  <si>
    <t>17. melléklet a 8/2021. (VIII.18.) önkormányzati rendelethez</t>
  </si>
  <si>
    <t>18. melléklet a 8/2021. (VIII.18.) önkormányzati rendelethez</t>
  </si>
  <si>
    <t>19. melléklet a 8/2021. (VIII.18.) önkormányzati rendelethez</t>
  </si>
  <si>
    <t>20. melléklet a 8/2021. (VIII.18.)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</si>
</sst>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##########"/>
    <numFmt numFmtId="165" formatCode="0__"/>
    <numFmt numFmtId="166" formatCode="#,###"/>
    <numFmt numFmtId="167" formatCode="0.0"/>
    <numFmt numFmtId="168" formatCode="0.000"/>
    <numFmt numFmtId="169" formatCode="_-* #,##0.00\ _F_t_-;\-* #,##0.00\ _F_t_-;_-* &quot;-&quot;??\ _F_t_-;_-@_-"/>
    <numFmt numFmtId="170" formatCode="_-* #,##0\ _F_t_-;\-* #,##0\ _F_t_-;_-* &quot;-&quot;??\ _F_t_-;_-@_-"/>
  </numFmts>
  <fonts count="6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i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</font>
    <font>
      <b/>
      <sz val="14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light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2" fillId="0" borderId="0"/>
    <xf numFmtId="169" fontId="18" fillId="0" borderId="0" applyFont="0" applyFill="0" applyBorder="0" applyAlignment="0" applyProtection="0"/>
  </cellStyleXfs>
  <cellXfs count="475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/>
    <xf numFmtId="3" fontId="7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1" xfId="0" applyNumberFormat="1" applyFont="1" applyBorder="1"/>
    <xf numFmtId="3" fontId="7" fillId="0" borderId="0" xfId="0" applyNumberFormat="1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3" fontId="18" fillId="2" borderId="1" xfId="0" applyNumberFormat="1" applyFont="1" applyFill="1" applyBorder="1"/>
    <xf numFmtId="3" fontId="17" fillId="3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/>
    <xf numFmtId="3" fontId="15" fillId="2" borderId="1" xfId="0" applyNumberFormat="1" applyFont="1" applyFill="1" applyBorder="1"/>
    <xf numFmtId="16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3" fontId="14" fillId="2" borderId="1" xfId="0" applyNumberFormat="1" applyFont="1" applyFill="1" applyBorder="1"/>
    <xf numFmtId="3" fontId="16" fillId="2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164" fontId="19" fillId="0" borderId="1" xfId="0" applyNumberFormat="1" applyFont="1" applyBorder="1" applyAlignment="1">
      <alignment vertical="center"/>
    </xf>
    <xf numFmtId="3" fontId="19" fillId="2" borderId="1" xfId="0" applyNumberFormat="1" applyFont="1" applyFill="1" applyBorder="1" applyAlignment="1">
      <alignment vertical="center"/>
    </xf>
    <xf numFmtId="3" fontId="19" fillId="2" borderId="1" xfId="0" applyNumberFormat="1" applyFont="1" applyFill="1" applyBorder="1"/>
    <xf numFmtId="3" fontId="13" fillId="2" borderId="1" xfId="0" applyNumberFormat="1" applyFont="1" applyFill="1" applyBorder="1"/>
    <xf numFmtId="0" fontId="20" fillId="0" borderId="0" xfId="0" applyFont="1"/>
    <xf numFmtId="0" fontId="19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3" fontId="20" fillId="0" borderId="0" xfId="0" applyNumberFormat="1" applyFont="1"/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3" fontId="24" fillId="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3" fontId="10" fillId="2" borderId="1" xfId="0" applyNumberFormat="1" applyFont="1" applyFill="1" applyBorder="1"/>
    <xf numFmtId="0" fontId="26" fillId="0" borderId="0" xfId="0" applyFont="1"/>
    <xf numFmtId="3" fontId="9" fillId="0" borderId="0" xfId="0" applyNumberFormat="1" applyFon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/>
    </xf>
    <xf numFmtId="0" fontId="13" fillId="0" borderId="1" xfId="0" applyFont="1" applyBorder="1"/>
    <xf numFmtId="3" fontId="13" fillId="0" borderId="1" xfId="0" applyNumberFormat="1" applyFont="1" applyBorder="1"/>
    <xf numFmtId="0" fontId="18" fillId="0" borderId="0" xfId="0" applyFont="1"/>
    <xf numFmtId="166" fontId="0" fillId="0" borderId="0" xfId="0" applyNumberFormat="1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166" fontId="28" fillId="0" borderId="0" xfId="0" applyNumberFormat="1" applyFont="1" applyAlignment="1">
      <alignment horizontal="right" vertical="center"/>
    </xf>
    <xf numFmtId="166" fontId="27" fillId="0" borderId="8" xfId="0" applyNumberFormat="1" applyFont="1" applyBorder="1" applyAlignment="1">
      <alignment horizontal="centerContinuous" vertical="center" wrapText="1"/>
    </xf>
    <xf numFmtId="166" fontId="27" fillId="0" borderId="9" xfId="0" applyNumberFormat="1" applyFont="1" applyBorder="1" applyAlignment="1">
      <alignment horizontal="centerContinuous" vertical="center" wrapText="1"/>
    </xf>
    <xf numFmtId="166" fontId="27" fillId="0" borderId="10" xfId="0" applyNumberFormat="1" applyFont="1" applyBorder="1" applyAlignment="1">
      <alignment horizontal="centerContinuous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9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0" fillId="0" borderId="13" xfId="0" applyNumberFormat="1" applyBorder="1" applyAlignment="1">
      <alignment horizontal="left" vertical="center" wrapText="1" indent="1"/>
    </xf>
    <xf numFmtId="166" fontId="8" fillId="0" borderId="14" xfId="0" applyNumberFormat="1" applyFont="1" applyBorder="1" applyAlignment="1">
      <alignment horizontal="left" vertical="center" wrapText="1" indent="1"/>
    </xf>
    <xf numFmtId="166" fontId="8" fillId="0" borderId="6" xfId="0" applyNumberFormat="1" applyFont="1" applyBorder="1" applyAlignment="1" applyProtection="1">
      <alignment horizontal="right" vertical="center" wrapText="1" indent="1"/>
      <protection locked="0"/>
    </xf>
    <xf numFmtId="166" fontId="8" fillId="0" borderId="15" xfId="0" applyNumberFormat="1" applyFont="1" applyBorder="1" applyAlignment="1" applyProtection="1">
      <alignment horizontal="right" vertical="center" wrapText="1" indent="1"/>
      <protection locked="0"/>
    </xf>
    <xf numFmtId="166" fontId="0" fillId="0" borderId="16" xfId="0" applyNumberFormat="1" applyBorder="1" applyAlignment="1">
      <alignment horizontal="left" vertical="center" wrapText="1" indent="1"/>
    </xf>
    <xf numFmtId="166" fontId="8" fillId="0" borderId="17" xfId="0" applyNumberFormat="1" applyFont="1" applyBorder="1" applyAlignment="1">
      <alignment horizontal="left" vertical="center" wrapText="1" indent="1"/>
    </xf>
    <xf numFmtId="166" fontId="8" fillId="0" borderId="1" xfId="0" applyNumberFormat="1" applyFont="1" applyBorder="1" applyAlignment="1" applyProtection="1">
      <alignment horizontal="right" vertical="center" wrapText="1" indent="1"/>
      <protection locked="0"/>
    </xf>
    <xf numFmtId="166" fontId="8" fillId="0" borderId="18" xfId="0" applyNumberFormat="1" applyFont="1" applyBorder="1" applyAlignment="1" applyProtection="1">
      <alignment horizontal="right" vertical="center" wrapText="1" indent="1"/>
      <protection locked="0"/>
    </xf>
    <xf numFmtId="166" fontId="8" fillId="0" borderId="19" xfId="0" applyNumberFormat="1" applyFont="1" applyBorder="1" applyAlignment="1">
      <alignment horizontal="left" vertical="center" wrapText="1" indent="1"/>
    </xf>
    <xf numFmtId="166" fontId="8" fillId="0" borderId="3" xfId="0" applyNumberFormat="1" applyFont="1" applyBorder="1" applyAlignment="1" applyProtection="1">
      <alignment horizontal="right" vertical="center" wrapText="1" indent="1"/>
      <protection locked="0"/>
    </xf>
    <xf numFmtId="166" fontId="8" fillId="0" borderId="17" xfId="0" applyNumberFormat="1" applyFont="1" applyBorder="1" applyAlignment="1" applyProtection="1">
      <alignment horizontal="left" vertical="center" wrapText="1" indent="1"/>
      <protection locked="0"/>
    </xf>
    <xf numFmtId="166" fontId="8" fillId="0" borderId="20" xfId="0" applyNumberFormat="1" applyFont="1" applyBorder="1" applyAlignment="1" applyProtection="1">
      <alignment horizontal="left" vertical="center" wrapText="1" indent="1"/>
      <protection locked="0"/>
    </xf>
    <xf numFmtId="166" fontId="8" fillId="0" borderId="2" xfId="0" applyNumberFormat="1" applyFont="1" applyBorder="1" applyAlignment="1" applyProtection="1">
      <alignment horizontal="right" vertical="center" wrapText="1" indent="1"/>
      <protection locked="0"/>
    </xf>
    <xf numFmtId="166" fontId="8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27" fillId="0" borderId="12" xfId="0" applyNumberFormat="1" applyFont="1" applyBorder="1" applyAlignment="1">
      <alignment horizontal="left" vertical="center" wrapText="1" indent="1"/>
    </xf>
    <xf numFmtId="166" fontId="27" fillId="0" borderId="8" xfId="0" applyNumberFormat="1" applyFont="1" applyBorder="1" applyAlignment="1">
      <alignment horizontal="left" vertical="center" wrapText="1" indent="1"/>
    </xf>
    <xf numFmtId="166" fontId="27" fillId="0" borderId="9" xfId="0" applyNumberFormat="1" applyFont="1" applyBorder="1" applyAlignment="1">
      <alignment horizontal="right" vertical="center" wrapText="1" indent="1"/>
    </xf>
    <xf numFmtId="166" fontId="27" fillId="0" borderId="10" xfId="0" applyNumberFormat="1" applyFont="1" applyBorder="1" applyAlignment="1">
      <alignment horizontal="right" vertical="center" wrapText="1" indent="1"/>
    </xf>
    <xf numFmtId="166" fontId="8" fillId="0" borderId="22" xfId="0" applyNumberFormat="1" applyFont="1" applyBorder="1" applyAlignment="1">
      <alignment horizontal="left" vertical="center" wrapText="1" indent="1"/>
    </xf>
    <xf numFmtId="166" fontId="8" fillId="0" borderId="23" xfId="0" applyNumberFormat="1" applyFont="1" applyBorder="1" applyAlignment="1">
      <alignment horizontal="left" vertical="center" wrapText="1" indent="1"/>
    </xf>
    <xf numFmtId="3" fontId="29" fillId="0" borderId="24" xfId="0" applyNumberFormat="1" applyFont="1" applyBorder="1" applyAlignment="1">
      <alignment horizontal="right" vertical="center" wrapText="1" indent="1"/>
    </xf>
    <xf numFmtId="166" fontId="8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8" fillId="0" borderId="16" xfId="0" applyNumberFormat="1" applyFont="1" applyBorder="1" applyAlignment="1">
      <alignment horizontal="left" vertical="center" wrapText="1" indent="1"/>
    </xf>
    <xf numFmtId="166" fontId="29" fillId="0" borderId="1" xfId="0" applyNumberFormat="1" applyFont="1" applyBorder="1" applyAlignment="1">
      <alignment horizontal="right" vertical="center" wrapText="1" indent="1"/>
    </xf>
    <xf numFmtId="166" fontId="8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7" fillId="0" borderId="26" xfId="0" applyNumberFormat="1" applyFont="1" applyBorder="1" applyAlignment="1">
      <alignment horizontal="right" vertical="center" wrapText="1" indent="1"/>
    </xf>
    <xf numFmtId="166" fontId="0" fillId="0" borderId="22" xfId="0" applyNumberFormat="1" applyBorder="1" applyAlignment="1">
      <alignment horizontal="left" vertical="center" wrapText="1" indent="1"/>
    </xf>
    <xf numFmtId="166" fontId="8" fillId="0" borderId="23" xfId="0" applyNumberFormat="1" applyFont="1" applyBorder="1" applyAlignment="1" applyProtection="1">
      <alignment horizontal="left" vertical="center" wrapText="1" indent="1"/>
      <protection locked="0"/>
    </xf>
    <xf numFmtId="166" fontId="8" fillId="0" borderId="29" xfId="0" applyNumberFormat="1" applyFont="1" applyBorder="1" applyAlignment="1" applyProtection="1">
      <alignment horizontal="right" vertical="center" wrapText="1" indent="1"/>
      <protection locked="0"/>
    </xf>
    <xf numFmtId="166" fontId="0" fillId="0" borderId="0" xfId="0" applyNumberFormat="1"/>
    <xf numFmtId="166" fontId="29" fillId="0" borderId="23" xfId="0" applyNumberFormat="1" applyFont="1" applyBorder="1" applyAlignment="1">
      <alignment horizontal="left" vertical="center" wrapText="1" indent="1"/>
    </xf>
    <xf numFmtId="166" fontId="29" fillId="0" borderId="6" xfId="0" applyNumberFormat="1" applyFont="1" applyBorder="1" applyAlignment="1">
      <alignment horizontal="right" vertical="center" wrapText="1" indent="1"/>
    </xf>
    <xf numFmtId="166" fontId="8" fillId="0" borderId="17" xfId="0" applyNumberFormat="1" applyFont="1" applyBorder="1" applyAlignment="1">
      <alignment horizontal="left" vertical="center" wrapText="1" indent="2"/>
    </xf>
    <xf numFmtId="166" fontId="8" fillId="0" borderId="1" xfId="0" applyNumberFormat="1" applyFont="1" applyBorder="1" applyAlignment="1">
      <alignment horizontal="left" vertical="center" wrapText="1" indent="2"/>
    </xf>
    <xf numFmtId="166" fontId="29" fillId="0" borderId="1" xfId="0" applyNumberFormat="1" applyFont="1" applyBorder="1" applyAlignment="1">
      <alignment horizontal="left" vertical="center" wrapText="1" indent="1"/>
    </xf>
    <xf numFmtId="166" fontId="8" fillId="0" borderId="14" xfId="0" applyNumberFormat="1" applyFont="1" applyBorder="1" applyAlignment="1" applyProtection="1">
      <alignment horizontal="left" vertical="center" wrapText="1" indent="1"/>
      <protection locked="0"/>
    </xf>
    <xf numFmtId="166" fontId="8" fillId="0" borderId="14" xfId="0" applyNumberFormat="1" applyFont="1" applyBorder="1" applyAlignment="1">
      <alignment horizontal="left" vertical="center" wrapText="1" indent="2"/>
    </xf>
    <xf numFmtId="166" fontId="8" fillId="0" borderId="20" xfId="0" applyNumberFormat="1" applyFont="1" applyBorder="1" applyAlignment="1">
      <alignment horizontal="left" vertical="center" wrapText="1" indent="2"/>
    </xf>
    <xf numFmtId="0" fontId="30" fillId="0" borderId="0" xfId="0" applyFont="1"/>
    <xf numFmtId="49" fontId="0" fillId="0" borderId="0" xfId="0" applyNumberFormat="1" applyAlignment="1">
      <alignment horizontal="center"/>
    </xf>
    <xf numFmtId="0" fontId="31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30" xfId="0" applyFont="1" applyBorder="1"/>
    <xf numFmtId="0" fontId="0" fillId="0" borderId="30" xfId="0" applyBorder="1"/>
    <xf numFmtId="49" fontId="32" fillId="0" borderId="31" xfId="0" applyNumberFormat="1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32" fillId="0" borderId="14" xfId="0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49" fontId="32" fillId="0" borderId="17" xfId="0" applyNumberFormat="1" applyFont="1" applyBorder="1" applyAlignment="1">
      <alignment horizontal="center"/>
    </xf>
    <xf numFmtId="0" fontId="32" fillId="0" borderId="1" xfId="0" applyFont="1" applyBorder="1"/>
    <xf numFmtId="0" fontId="0" fillId="0" borderId="18" xfId="0" applyBorder="1" applyAlignment="1">
      <alignment horizontal="right" vertical="center"/>
    </xf>
    <xf numFmtId="49" fontId="33" fillId="5" borderId="17" xfId="0" applyNumberFormat="1" applyFont="1" applyFill="1" applyBorder="1" applyAlignment="1">
      <alignment horizontal="center"/>
    </xf>
    <xf numFmtId="0" fontId="33" fillId="5" borderId="1" xfId="0" applyFont="1" applyFill="1" applyBorder="1"/>
    <xf numFmtId="167" fontId="34" fillId="5" borderId="18" xfId="0" applyNumberFormat="1" applyFont="1" applyFill="1" applyBorder="1"/>
    <xf numFmtId="0" fontId="0" fillId="0" borderId="18" xfId="0" applyBorder="1"/>
    <xf numFmtId="0" fontId="34" fillId="5" borderId="18" xfId="0" applyFont="1" applyFill="1" applyBorder="1"/>
    <xf numFmtId="0" fontId="32" fillId="0" borderId="5" xfId="0" applyFont="1" applyBorder="1"/>
    <xf numFmtId="49" fontId="35" fillId="6" borderId="34" xfId="0" applyNumberFormat="1" applyFont="1" applyFill="1" applyBorder="1" applyAlignment="1">
      <alignment horizontal="center"/>
    </xf>
    <xf numFmtId="0" fontId="36" fillId="6" borderId="35" xfId="0" applyFont="1" applyFill="1" applyBorder="1"/>
    <xf numFmtId="168" fontId="34" fillId="6" borderId="36" xfId="0" applyNumberFormat="1" applyFont="1" applyFill="1" applyBorder="1"/>
    <xf numFmtId="49" fontId="32" fillId="0" borderId="0" xfId="0" applyNumberFormat="1" applyFont="1" applyAlignment="1">
      <alignment horizontal="center"/>
    </xf>
    <xf numFmtId="0" fontId="3" fillId="0" borderId="0" xfId="0" applyFont="1"/>
    <xf numFmtId="0" fontId="38" fillId="0" borderId="0" xfId="0" applyFont="1"/>
    <xf numFmtId="0" fontId="1" fillId="0" borderId="0" xfId="0" applyFont="1"/>
    <xf numFmtId="0" fontId="39" fillId="0" borderId="1" xfId="0" applyFont="1" applyBorder="1" applyAlignment="1">
      <alignment horizontal="center" vertical="center" wrapText="1"/>
    </xf>
    <xf numFmtId="0" fontId="0" fillId="0" borderId="1" xfId="0" applyBorder="1"/>
    <xf numFmtId="0" fontId="40" fillId="7" borderId="1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left" vertical="center"/>
    </xf>
    <xf numFmtId="3" fontId="0" fillId="7" borderId="1" xfId="0" applyNumberFormat="1" applyFill="1" applyBorder="1"/>
    <xf numFmtId="0" fontId="4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41" fillId="0" borderId="0" xfId="0" applyFont="1"/>
    <xf numFmtId="0" fontId="44" fillId="0" borderId="0" xfId="1" applyFont="1"/>
    <xf numFmtId="0" fontId="44" fillId="0" borderId="0" xfId="1" applyFont="1" applyAlignment="1" applyProtection="1">
      <alignment wrapText="1"/>
      <protection locked="0"/>
    </xf>
    <xf numFmtId="0" fontId="44" fillId="0" borderId="0" xfId="1" applyFont="1" applyProtection="1">
      <protection locked="0"/>
    </xf>
    <xf numFmtId="0" fontId="45" fillId="0" borderId="0" xfId="0" applyFont="1" applyAlignment="1">
      <alignment horizontal="right"/>
    </xf>
    <xf numFmtId="0" fontId="46" fillId="0" borderId="37" xfId="1" applyFont="1" applyBorder="1" applyAlignment="1">
      <alignment horizontal="center" vertical="center" wrapText="1"/>
    </xf>
    <xf numFmtId="0" fontId="46" fillId="0" borderId="38" xfId="1" applyFont="1" applyBorder="1" applyAlignment="1">
      <alignment horizontal="center" vertical="center" wrapText="1"/>
    </xf>
    <xf numFmtId="0" fontId="46" fillId="0" borderId="38" xfId="1" applyFont="1" applyBorder="1" applyAlignment="1">
      <alignment horizontal="center" vertical="center"/>
    </xf>
    <xf numFmtId="0" fontId="46" fillId="0" borderId="39" xfId="1" applyFont="1" applyBorder="1" applyAlignment="1">
      <alignment horizontal="center" vertical="center"/>
    </xf>
    <xf numFmtId="0" fontId="47" fillId="0" borderId="8" xfId="1" applyFont="1" applyBorder="1" applyAlignment="1">
      <alignment horizontal="left" vertical="center" indent="1"/>
    </xf>
    <xf numFmtId="0" fontId="47" fillId="0" borderId="23" xfId="1" applyFont="1" applyBorder="1" applyAlignment="1">
      <alignment horizontal="left" vertical="center" indent="1"/>
    </xf>
    <xf numFmtId="0" fontId="47" fillId="0" borderId="24" xfId="1" applyFont="1" applyBorder="1" applyAlignment="1">
      <alignment horizontal="left" vertical="center" wrapText="1"/>
    </xf>
    <xf numFmtId="166" fontId="47" fillId="0" borderId="24" xfId="1" applyNumberFormat="1" applyFont="1" applyBorder="1" applyAlignment="1" applyProtection="1">
      <alignment vertical="center"/>
      <protection locked="0"/>
    </xf>
    <xf numFmtId="166" fontId="47" fillId="0" borderId="1" xfId="1" applyNumberFormat="1" applyFont="1" applyBorder="1" applyAlignment="1" applyProtection="1">
      <alignment vertical="center"/>
      <protection locked="0"/>
    </xf>
    <xf numFmtId="166" fontId="47" fillId="0" borderId="25" xfId="1" applyNumberFormat="1" applyFont="1" applyBorder="1" applyAlignment="1">
      <alignment vertical="center"/>
    </xf>
    <xf numFmtId="0" fontId="47" fillId="0" borderId="17" xfId="1" applyFont="1" applyBorder="1" applyAlignment="1">
      <alignment horizontal="left" vertical="center" indent="1"/>
    </xf>
    <xf numFmtId="0" fontId="47" fillId="0" borderId="1" xfId="1" applyFont="1" applyBorder="1" applyAlignment="1">
      <alignment horizontal="left" vertical="center" wrapText="1"/>
    </xf>
    <xf numFmtId="166" fontId="47" fillId="0" borderId="18" xfId="1" applyNumberFormat="1" applyFont="1" applyBorder="1" applyAlignment="1">
      <alignment vertical="center"/>
    </xf>
    <xf numFmtId="0" fontId="47" fillId="0" borderId="6" xfId="1" applyFont="1" applyBorder="1" applyAlignment="1">
      <alignment horizontal="left" vertical="center" wrapText="1"/>
    </xf>
    <xf numFmtId="166" fontId="47" fillId="0" borderId="6" xfId="1" applyNumberFormat="1" applyFont="1" applyBorder="1" applyAlignment="1" applyProtection="1">
      <alignment vertical="center"/>
      <protection locked="0"/>
    </xf>
    <xf numFmtId="166" fontId="47" fillId="0" borderId="15" xfId="1" applyNumberFormat="1" applyFont="1" applyBorder="1" applyAlignment="1">
      <alignment vertical="center"/>
    </xf>
    <xf numFmtId="166" fontId="47" fillId="0" borderId="2" xfId="1" applyNumberFormat="1" applyFont="1" applyBorder="1" applyAlignment="1" applyProtection="1">
      <alignment vertical="center"/>
      <protection locked="0"/>
    </xf>
    <xf numFmtId="166" fontId="47" fillId="0" borderId="21" xfId="1" applyNumberFormat="1" applyFont="1" applyBorder="1" applyAlignment="1">
      <alignment vertical="center"/>
    </xf>
    <xf numFmtId="0" fontId="46" fillId="0" borderId="9" xfId="1" applyFont="1" applyBorder="1" applyAlignment="1">
      <alignment horizontal="left" vertical="center" wrapText="1"/>
    </xf>
    <xf numFmtId="166" fontId="49" fillId="0" borderId="9" xfId="1" applyNumberFormat="1" applyFont="1" applyBorder="1" applyAlignment="1">
      <alignment vertical="center"/>
    </xf>
    <xf numFmtId="166" fontId="49" fillId="0" borderId="10" xfId="1" applyNumberFormat="1" applyFont="1" applyBorder="1" applyAlignment="1">
      <alignment vertical="center"/>
    </xf>
    <xf numFmtId="3" fontId="49" fillId="0" borderId="0" xfId="1" applyNumberFormat="1" applyFont="1" applyAlignment="1">
      <alignment vertical="center"/>
    </xf>
    <xf numFmtId="0" fontId="47" fillId="0" borderId="14" xfId="1" applyFont="1" applyBorder="1" applyAlignment="1">
      <alignment horizontal="left" vertical="center" indent="1"/>
    </xf>
    <xf numFmtId="0" fontId="49" fillId="0" borderId="8" xfId="1" applyFont="1" applyBorder="1" applyAlignment="1">
      <alignment horizontal="left" vertical="center" indent="1"/>
    </xf>
    <xf numFmtId="0" fontId="46" fillId="0" borderId="9" xfId="1" applyFont="1" applyBorder="1" applyAlignment="1">
      <alignment horizontal="left" wrapText="1"/>
    </xf>
    <xf numFmtId="166" fontId="49" fillId="0" borderId="9" xfId="1" applyNumberFormat="1" applyFont="1" applyBorder="1"/>
    <xf numFmtId="166" fontId="49" fillId="0" borderId="10" xfId="1" applyNumberFormat="1" applyFont="1" applyBorder="1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41" fillId="2" borderId="0" xfId="0" applyFont="1" applyFill="1"/>
    <xf numFmtId="0" fontId="50" fillId="2" borderId="0" xfId="0" applyFont="1" applyFill="1"/>
    <xf numFmtId="0" fontId="39" fillId="2" borderId="2" xfId="0" applyFont="1" applyFill="1" applyBorder="1" applyAlignment="1">
      <alignment vertical="center"/>
    </xf>
    <xf numFmtId="0" fontId="39" fillId="2" borderId="2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/>
    </xf>
    <xf numFmtId="0" fontId="39" fillId="2" borderId="6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51" fillId="2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left" vertical="center"/>
    </xf>
    <xf numFmtId="3" fontId="52" fillId="2" borderId="1" xfId="0" applyNumberFormat="1" applyFont="1" applyFill="1" applyBorder="1" applyAlignment="1">
      <alignment horizontal="right"/>
    </xf>
    <xf numFmtId="0" fontId="51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3" fontId="5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3" fontId="41" fillId="2" borderId="1" xfId="0" applyNumberFormat="1" applyFont="1" applyFill="1" applyBorder="1" applyAlignment="1">
      <alignment horizontal="right"/>
    </xf>
    <xf numFmtId="0" fontId="54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50" fillId="0" borderId="0" xfId="0" applyFont="1"/>
    <xf numFmtId="0" fontId="55" fillId="2" borderId="1" xfId="0" applyFont="1" applyFill="1" applyBorder="1" applyAlignment="1">
      <alignment wrapText="1"/>
    </xf>
    <xf numFmtId="0" fontId="56" fillId="2" borderId="1" xfId="0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left" vertical="center" wrapText="1"/>
    </xf>
    <xf numFmtId="3" fontId="54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56" fillId="2" borderId="1" xfId="0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30" xfId="0" applyFont="1" applyBorder="1"/>
    <xf numFmtId="0" fontId="39" fillId="0" borderId="1" xfId="0" applyFont="1" applyBorder="1"/>
    <xf numFmtId="0" fontId="39" fillId="0" borderId="1" xfId="0" applyFont="1" applyBorder="1" applyAlignment="1">
      <alignment horizontal="center" wrapText="1"/>
    </xf>
    <xf numFmtId="0" fontId="40" fillId="0" borderId="1" xfId="0" applyFont="1" applyBorder="1" applyAlignment="1">
      <alignment vertical="center" wrapText="1"/>
    </xf>
    <xf numFmtId="3" fontId="0" fillId="0" borderId="1" xfId="0" applyNumberFormat="1" applyBorder="1"/>
    <xf numFmtId="0" fontId="54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3" fontId="1" fillId="0" borderId="1" xfId="0" applyNumberFormat="1" applyFont="1" applyBorder="1"/>
    <xf numFmtId="0" fontId="8" fillId="0" borderId="0" xfId="0" applyFont="1" applyAlignment="1">
      <alignment vertical="center" wrapText="1"/>
    </xf>
    <xf numFmtId="3" fontId="0" fillId="0" borderId="0" xfId="0" applyNumberFormat="1" applyAlignment="1">
      <alignment horizontal="center" wrapText="1"/>
    </xf>
    <xf numFmtId="3" fontId="39" fillId="0" borderId="1" xfId="0" applyNumberFormat="1" applyFont="1" applyBorder="1" applyAlignment="1">
      <alignment horizontal="center"/>
    </xf>
    <xf numFmtId="3" fontId="39" fillId="0" borderId="1" xfId="0" applyNumberFormat="1" applyFont="1" applyBorder="1" applyAlignment="1">
      <alignment horizontal="center" wrapText="1"/>
    </xf>
    <xf numFmtId="0" fontId="39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6" fontId="43" fillId="0" borderId="0" xfId="0" applyNumberFormat="1" applyFont="1" applyAlignment="1">
      <alignment horizontal="center" vertical="center" wrapText="1"/>
    </xf>
    <xf numFmtId="0" fontId="32" fillId="0" borderId="0" xfId="0" applyFont="1"/>
    <xf numFmtId="166" fontId="45" fillId="0" borderId="0" xfId="0" applyNumberFormat="1" applyFont="1" applyAlignment="1">
      <alignment horizontal="right"/>
    </xf>
    <xf numFmtId="166" fontId="46" fillId="0" borderId="46" xfId="0" applyNumberFormat="1" applyFont="1" applyBorder="1" applyAlignment="1">
      <alignment horizontal="center" vertical="center"/>
    </xf>
    <xf numFmtId="166" fontId="46" fillId="0" borderId="36" xfId="0" applyNumberFormat="1" applyFont="1" applyBorder="1" applyAlignment="1">
      <alignment horizontal="center" vertical="center" wrapText="1"/>
    </xf>
    <xf numFmtId="166" fontId="49" fillId="0" borderId="47" xfId="0" applyNumberFormat="1" applyFont="1" applyBorder="1" applyAlignment="1">
      <alignment horizontal="center" vertical="center" wrapText="1"/>
    </xf>
    <xf numFmtId="166" fontId="49" fillId="0" borderId="12" xfId="0" applyNumberFormat="1" applyFont="1" applyBorder="1" applyAlignment="1">
      <alignment horizontal="center" vertical="center" wrapText="1"/>
    </xf>
    <xf numFmtId="166" fontId="49" fillId="0" borderId="40" xfId="0" applyNumberFormat="1" applyFont="1" applyBorder="1" applyAlignment="1">
      <alignment horizontal="center" vertical="center" wrapText="1"/>
    </xf>
    <xf numFmtId="166" fontId="49" fillId="0" borderId="10" xfId="0" applyNumberFormat="1" applyFont="1" applyBorder="1" applyAlignment="1">
      <alignment horizontal="center" vertical="center" wrapText="1"/>
    </xf>
    <xf numFmtId="166" fontId="49" fillId="0" borderId="22" xfId="0" applyNumberFormat="1" applyFont="1" applyBorder="1" applyAlignment="1">
      <alignment horizontal="center" vertical="center" wrapText="1"/>
    </xf>
    <xf numFmtId="166" fontId="49" fillId="0" borderId="8" xfId="0" applyNumberFormat="1" applyFont="1" applyBorder="1" applyAlignment="1">
      <alignment horizontal="center" vertical="center" wrapText="1"/>
    </xf>
    <xf numFmtId="166" fontId="49" fillId="0" borderId="12" xfId="0" applyNumberFormat="1" applyFont="1" applyBorder="1" applyAlignment="1">
      <alignment horizontal="left" vertical="center" wrapText="1" indent="1"/>
    </xf>
    <xf numFmtId="49" fontId="47" fillId="0" borderId="9" xfId="0" applyNumberFormat="1" applyFont="1" applyBorder="1" applyAlignment="1" applyProtection="1">
      <alignment horizontal="center" vertical="center" wrapText="1"/>
      <protection locked="0"/>
    </xf>
    <xf numFmtId="166" fontId="47" fillId="0" borderId="12" xfId="0" applyNumberFormat="1" applyFont="1" applyBorder="1" applyAlignment="1">
      <alignment vertical="center" wrapText="1"/>
    </xf>
    <xf numFmtId="166" fontId="47" fillId="0" borderId="8" xfId="0" applyNumberFormat="1" applyFont="1" applyBorder="1" applyAlignment="1">
      <alignment vertical="center" wrapText="1"/>
    </xf>
    <xf numFmtId="166" fontId="47" fillId="0" borderId="9" xfId="0" applyNumberFormat="1" applyFont="1" applyBorder="1" applyAlignment="1">
      <alignment vertical="center" wrapText="1"/>
    </xf>
    <xf numFmtId="166" fontId="47" fillId="0" borderId="10" xfId="0" applyNumberFormat="1" applyFont="1" applyBorder="1" applyAlignment="1">
      <alignment vertical="center" wrapText="1"/>
    </xf>
    <xf numFmtId="166" fontId="49" fillId="0" borderId="17" xfId="0" applyNumberFormat="1" applyFont="1" applyBorder="1" applyAlignment="1">
      <alignment horizontal="center" vertical="center" wrapText="1"/>
    </xf>
    <xf numFmtId="166" fontId="47" fillId="0" borderId="16" xfId="0" applyNumberFormat="1" applyFont="1" applyBorder="1" applyAlignment="1" applyProtection="1">
      <alignment horizontal="left" vertical="center" wrapText="1" indent="1"/>
      <protection locked="0"/>
    </xf>
    <xf numFmtId="49" fontId="54" fillId="0" borderId="1" xfId="0" applyNumberFormat="1" applyFont="1" applyBorder="1" applyAlignment="1" applyProtection="1">
      <alignment horizontal="center" vertical="center" wrapText="1"/>
      <protection locked="0"/>
    </xf>
    <xf numFmtId="166" fontId="47" fillId="0" borderId="16" xfId="0" applyNumberFormat="1" applyFont="1" applyBorder="1" applyAlignment="1" applyProtection="1">
      <alignment vertical="center" wrapText="1"/>
      <protection locked="0"/>
    </xf>
    <xf numFmtId="166" fontId="47" fillId="0" borderId="17" xfId="0" applyNumberFormat="1" applyFont="1" applyBorder="1" applyAlignment="1" applyProtection="1">
      <alignment vertical="center" wrapText="1"/>
      <protection locked="0"/>
    </xf>
    <xf numFmtId="166" fontId="47" fillId="0" borderId="1" xfId="0" applyNumberFormat="1" applyFont="1" applyBorder="1" applyAlignment="1" applyProtection="1">
      <alignment vertical="center" wrapText="1"/>
      <protection locked="0"/>
    </xf>
    <xf numFmtId="166" fontId="47" fillId="0" borderId="18" xfId="0" applyNumberFormat="1" applyFont="1" applyBorder="1" applyAlignment="1" applyProtection="1">
      <alignment vertical="center" wrapText="1"/>
      <protection locked="0"/>
    </xf>
    <xf numFmtId="166" fontId="47" fillId="0" borderId="16" xfId="0" applyNumberFormat="1" applyFont="1" applyBorder="1" applyAlignment="1">
      <alignment vertical="center" wrapText="1"/>
    </xf>
    <xf numFmtId="49" fontId="54" fillId="0" borderId="9" xfId="0" applyNumberFormat="1" applyFont="1" applyBorder="1" applyAlignment="1" applyProtection="1">
      <alignment horizontal="center" vertical="center" wrapText="1"/>
      <protection locked="0"/>
    </xf>
    <xf numFmtId="166" fontId="49" fillId="0" borderId="20" xfId="0" applyNumberFormat="1" applyFont="1" applyBorder="1" applyAlignment="1">
      <alignment horizontal="center" vertical="center" wrapText="1"/>
    </xf>
    <xf numFmtId="166" fontId="47" fillId="0" borderId="48" xfId="0" applyNumberFormat="1" applyFont="1" applyBorder="1" applyAlignment="1" applyProtection="1">
      <alignment horizontal="left" vertical="center" wrapText="1" indent="1"/>
      <protection locked="0"/>
    </xf>
    <xf numFmtId="49" fontId="54" fillId="0" borderId="2" xfId="0" applyNumberFormat="1" applyFont="1" applyBorder="1" applyAlignment="1" applyProtection="1">
      <alignment horizontal="center" vertical="center" wrapText="1"/>
      <protection locked="0"/>
    </xf>
    <xf numFmtId="166" fontId="47" fillId="0" borderId="48" xfId="0" applyNumberFormat="1" applyFont="1" applyBorder="1" applyAlignment="1" applyProtection="1">
      <alignment vertical="center" wrapText="1"/>
      <protection locked="0"/>
    </xf>
    <xf numFmtId="166" fontId="47" fillId="0" borderId="20" xfId="0" applyNumberFormat="1" applyFont="1" applyBorder="1" applyAlignment="1" applyProtection="1">
      <alignment vertical="center" wrapText="1"/>
      <protection locked="0"/>
    </xf>
    <xf numFmtId="166" fontId="47" fillId="0" borderId="2" xfId="0" applyNumberFormat="1" applyFont="1" applyBorder="1" applyAlignment="1" applyProtection="1">
      <alignment vertical="center" wrapText="1"/>
      <protection locked="0"/>
    </xf>
    <xf numFmtId="166" fontId="47" fillId="0" borderId="21" xfId="0" applyNumberFormat="1" applyFont="1" applyBorder="1" applyAlignment="1" applyProtection="1">
      <alignment vertical="center" wrapText="1"/>
      <protection locked="0"/>
    </xf>
    <xf numFmtId="166" fontId="47" fillId="0" borderId="48" xfId="0" applyNumberFormat="1" applyFont="1" applyBorder="1" applyAlignment="1">
      <alignment vertical="center" wrapText="1"/>
    </xf>
    <xf numFmtId="166" fontId="49" fillId="0" borderId="23" xfId="0" applyNumberFormat="1" applyFont="1" applyBorder="1" applyAlignment="1">
      <alignment horizontal="center" vertical="center" wrapText="1"/>
    </xf>
    <xf numFmtId="166" fontId="47" fillId="0" borderId="13" xfId="0" applyNumberFormat="1" applyFont="1" applyBorder="1" applyAlignment="1" applyProtection="1">
      <alignment horizontal="left" vertical="center" wrapText="1" indent="1"/>
      <protection locked="0"/>
    </xf>
    <xf numFmtId="49" fontId="54" fillId="0" borderId="29" xfId="0" applyNumberFormat="1" applyFont="1" applyBorder="1" applyAlignment="1" applyProtection="1">
      <alignment horizontal="center" vertical="center" wrapText="1"/>
      <protection locked="0"/>
    </xf>
    <xf numFmtId="166" fontId="47" fillId="0" borderId="22" xfId="0" applyNumberFormat="1" applyFont="1" applyBorder="1" applyAlignment="1" applyProtection="1">
      <alignment vertical="center" wrapText="1"/>
      <protection locked="0"/>
    </xf>
    <xf numFmtId="166" fontId="47" fillId="0" borderId="23" xfId="0" applyNumberFormat="1" applyFont="1" applyBorder="1" applyAlignment="1" applyProtection="1">
      <alignment vertical="center" wrapText="1"/>
      <protection locked="0"/>
    </xf>
    <xf numFmtId="166" fontId="47" fillId="0" borderId="24" xfId="0" applyNumberFormat="1" applyFont="1" applyBorder="1" applyAlignment="1" applyProtection="1">
      <alignment vertical="center" wrapText="1"/>
      <protection locked="0"/>
    </xf>
    <xf numFmtId="166" fontId="47" fillId="0" borderId="25" xfId="0" applyNumberFormat="1" applyFont="1" applyBorder="1" applyAlignment="1" applyProtection="1">
      <alignment vertical="center" wrapText="1"/>
      <protection locked="0"/>
    </xf>
    <xf numFmtId="166" fontId="47" fillId="0" borderId="22" xfId="0" applyNumberFormat="1" applyFont="1" applyBorder="1" applyAlignment="1">
      <alignment vertical="center" wrapText="1"/>
    </xf>
    <xf numFmtId="166" fontId="54" fillId="8" borderId="40" xfId="0" applyNumberFormat="1" applyFont="1" applyFill="1" applyBorder="1" applyAlignment="1">
      <alignment horizontal="left" vertical="center" wrapText="1" indent="2"/>
    </xf>
    <xf numFmtId="166" fontId="49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center" wrapText="1" indent="1"/>
    </xf>
    <xf numFmtId="166" fontId="47" fillId="0" borderId="49" xfId="0" applyNumberFormat="1" applyFont="1" applyBorder="1" applyAlignment="1" applyProtection="1">
      <alignment horizontal="right" vertical="center" wrapText="1" indent="1"/>
      <protection locked="0"/>
    </xf>
    <xf numFmtId="166" fontId="47" fillId="0" borderId="15" xfId="0" applyNumberFormat="1" applyFont="1" applyBorder="1" applyAlignment="1" applyProtection="1">
      <alignment horizontal="right" vertical="center" wrapText="1" indent="1"/>
      <protection locked="0"/>
    </xf>
    <xf numFmtId="0" fontId="47" fillId="0" borderId="17" xfId="0" applyFont="1" applyBorder="1" applyAlignment="1">
      <alignment horizontal="left" vertical="center" wrapText="1" indent="1"/>
    </xf>
    <xf numFmtId="166" fontId="47" fillId="0" borderId="5" xfId="0" applyNumberFormat="1" applyFont="1" applyBorder="1" applyAlignment="1" applyProtection="1">
      <alignment horizontal="right" vertical="center" wrapText="1" indent="1"/>
      <protection locked="0"/>
    </xf>
    <xf numFmtId="166" fontId="47" fillId="0" borderId="18" xfId="0" applyNumberFormat="1" applyFont="1" applyBorder="1" applyAlignment="1" applyProtection="1">
      <alignment horizontal="right" vertical="center" wrapText="1" indent="1"/>
      <protection locked="0"/>
    </xf>
    <xf numFmtId="0" fontId="47" fillId="0" borderId="17" xfId="0" applyFont="1" applyBorder="1" applyAlignment="1">
      <alignment horizontal="left" vertical="center" wrapText="1" indent="8"/>
    </xf>
    <xf numFmtId="0" fontId="47" fillId="0" borderId="14" xfId="0" applyFont="1" applyBorder="1" applyAlignment="1" applyProtection="1">
      <alignment vertical="center" wrapText="1"/>
      <protection locked="0"/>
    </xf>
    <xf numFmtId="166" fontId="47" fillId="0" borderId="1" xfId="0" applyNumberFormat="1" applyFont="1" applyBorder="1" applyAlignment="1" applyProtection="1">
      <alignment horizontal="right" vertical="center" wrapText="1" indent="1"/>
      <protection locked="0"/>
    </xf>
    <xf numFmtId="0" fontId="47" fillId="0" borderId="17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166" fontId="47" fillId="0" borderId="35" xfId="0" applyNumberFormat="1" applyFont="1" applyBorder="1" applyAlignment="1" applyProtection="1">
      <alignment horizontal="right" vertical="center" wrapText="1" indent="1"/>
      <protection locked="0"/>
    </xf>
    <xf numFmtId="166" fontId="47" fillId="0" borderId="36" xfId="0" applyNumberFormat="1" applyFont="1" applyBorder="1" applyAlignment="1" applyProtection="1">
      <alignment horizontal="right" vertical="center" wrapText="1" indent="1"/>
      <protection locked="0"/>
    </xf>
    <xf numFmtId="0" fontId="46" fillId="0" borderId="50" xfId="0" applyFont="1" applyBorder="1" applyAlignment="1">
      <alignment vertical="center" wrapText="1"/>
    </xf>
    <xf numFmtId="166" fontId="49" fillId="0" borderId="50" xfId="0" applyNumberFormat="1" applyFont="1" applyBorder="1" applyAlignment="1">
      <alignment vertical="center" wrapText="1"/>
    </xf>
    <xf numFmtId="166" fontId="49" fillId="0" borderId="5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3" fontId="59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0" fillId="0" borderId="0" xfId="0" applyFont="1"/>
    <xf numFmtId="0" fontId="44" fillId="0" borderId="0" xfId="0" applyFont="1"/>
    <xf numFmtId="0" fontId="27" fillId="0" borderId="0" xfId="0" applyFont="1" applyProtection="1">
      <protection locked="0"/>
    </xf>
    <xf numFmtId="0" fontId="8" fillId="0" borderId="0" xfId="0" applyFont="1" applyProtection="1">
      <protection locked="0"/>
    </xf>
    <xf numFmtId="3" fontId="27" fillId="0" borderId="0" xfId="0" applyNumberFormat="1" applyFont="1"/>
    <xf numFmtId="0" fontId="27" fillId="0" borderId="0" xfId="0" applyFont="1"/>
    <xf numFmtId="0" fontId="8" fillId="0" borderId="0" xfId="0" applyFont="1"/>
    <xf numFmtId="0" fontId="47" fillId="0" borderId="14" xfId="0" applyFont="1" applyBorder="1" applyAlignment="1">
      <alignment horizontal="center" vertical="center"/>
    </xf>
    <xf numFmtId="0" fontId="47" fillId="0" borderId="6" xfId="0" applyFont="1" applyBorder="1" applyAlignment="1">
      <alignment vertical="center" wrapText="1"/>
    </xf>
    <xf numFmtId="166" fontId="47" fillId="0" borderId="6" xfId="0" applyNumberFormat="1" applyFont="1" applyBorder="1" applyAlignment="1" applyProtection="1">
      <alignment vertical="center"/>
      <protection locked="0"/>
    </xf>
    <xf numFmtId="166" fontId="49" fillId="0" borderId="15" xfId="0" applyNumberFormat="1" applyFont="1" applyBorder="1" applyAlignment="1">
      <alignment vertical="center"/>
    </xf>
    <xf numFmtId="0" fontId="47" fillId="0" borderId="17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166" fontId="47" fillId="0" borderId="1" xfId="0" applyNumberFormat="1" applyFont="1" applyBorder="1" applyAlignment="1" applyProtection="1">
      <alignment vertical="center"/>
      <protection locked="0"/>
    </xf>
    <xf numFmtId="166" fontId="49" fillId="0" borderId="18" xfId="0" applyNumberFormat="1" applyFont="1" applyBorder="1" applyAlignment="1">
      <alignment vertical="center"/>
    </xf>
    <xf numFmtId="0" fontId="47" fillId="0" borderId="20" xfId="0" applyFont="1" applyBorder="1" applyAlignment="1">
      <alignment horizontal="center" vertical="center"/>
    </xf>
    <xf numFmtId="0" fontId="47" fillId="0" borderId="2" xfId="0" applyFont="1" applyBorder="1" applyAlignment="1">
      <alignment vertical="center" wrapText="1"/>
    </xf>
    <xf numFmtId="166" fontId="47" fillId="0" borderId="2" xfId="0" applyNumberFormat="1" applyFont="1" applyBorder="1" applyAlignment="1" applyProtection="1">
      <alignment vertical="center"/>
      <protection locked="0"/>
    </xf>
    <xf numFmtId="166" fontId="49" fillId="0" borderId="21" xfId="0" applyNumberFormat="1" applyFont="1" applyBorder="1" applyAlignment="1">
      <alignment vertical="center"/>
    </xf>
    <xf numFmtId="0" fontId="49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vertical="center" wrapText="1"/>
    </xf>
    <xf numFmtId="166" fontId="49" fillId="0" borderId="9" xfId="0" applyNumberFormat="1" applyFont="1" applyBorder="1" applyAlignment="1">
      <alignment vertical="center"/>
    </xf>
    <xf numFmtId="166" fontId="49" fillId="0" borderId="10" xfId="0" applyNumberFormat="1" applyFont="1" applyBorder="1" applyAlignment="1">
      <alignment vertical="center"/>
    </xf>
    <xf numFmtId="0" fontId="32" fillId="0" borderId="30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54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6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textRotation="90" wrapText="1"/>
    </xf>
    <xf numFmtId="0" fontId="34" fillId="0" borderId="1" xfId="0" applyFont="1" applyBorder="1" applyAlignment="1">
      <alignment textRotation="90" wrapText="1"/>
    </xf>
    <xf numFmtId="0" fontId="32" fillId="0" borderId="1" xfId="0" applyFont="1" applyBorder="1" applyAlignment="1">
      <alignment horizontal="center"/>
    </xf>
    <xf numFmtId="49" fontId="32" fillId="0" borderId="5" xfId="0" applyNumberFormat="1" applyFont="1" applyBorder="1" applyAlignment="1">
      <alignment horizontal="center"/>
    </xf>
    <xf numFmtId="3" fontId="32" fillId="0" borderId="1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1" fillId="0" borderId="1" xfId="0" applyFont="1" applyBorder="1"/>
    <xf numFmtId="0" fontId="62" fillId="0" borderId="0" xfId="0" applyFont="1"/>
    <xf numFmtId="0" fontId="64" fillId="0" borderId="0" xfId="0" applyFont="1" applyAlignment="1">
      <alignment horizontal="right"/>
    </xf>
    <xf numFmtId="0" fontId="66" fillId="0" borderId="35" xfId="0" applyFont="1" applyBorder="1" applyAlignment="1">
      <alignment horizontal="center" vertical="center" wrapText="1"/>
    </xf>
    <xf numFmtId="0" fontId="67" fillId="0" borderId="31" xfId="0" applyFont="1" applyBorder="1" applyAlignment="1">
      <alignment horizontal="center" wrapText="1"/>
    </xf>
    <xf numFmtId="0" fontId="67" fillId="0" borderId="32" xfId="0" applyFont="1" applyBorder="1" applyAlignment="1">
      <alignment horizontal="center" wrapText="1"/>
    </xf>
    <xf numFmtId="0" fontId="67" fillId="0" borderId="7" xfId="0" applyFont="1" applyBorder="1" applyAlignment="1">
      <alignment horizontal="center" wrapText="1"/>
    </xf>
    <xf numFmtId="0" fontId="67" fillId="0" borderId="17" xfId="0" applyFont="1" applyBorder="1" applyAlignment="1">
      <alignment horizontal="left" vertical="center" wrapText="1"/>
    </xf>
    <xf numFmtId="49" fontId="67" fillId="0" borderId="1" xfId="0" applyNumberFormat="1" applyFont="1" applyBorder="1" applyAlignment="1">
      <alignment horizontal="center" wrapText="1"/>
    </xf>
    <xf numFmtId="170" fontId="67" fillId="0" borderId="1" xfId="2" applyNumberFormat="1" applyFont="1" applyBorder="1" applyAlignment="1" applyProtection="1">
      <alignment horizontal="right" vertical="center" wrapText="1"/>
      <protection locked="0"/>
    </xf>
    <xf numFmtId="170" fontId="67" fillId="0" borderId="16" xfId="2" applyNumberFormat="1" applyFont="1" applyBorder="1" applyAlignment="1">
      <alignment horizontal="right" vertical="center" wrapText="1"/>
    </xf>
    <xf numFmtId="0" fontId="67" fillId="0" borderId="20" xfId="0" applyFont="1" applyBorder="1" applyAlignment="1">
      <alignment horizontal="left" vertical="center" wrapText="1"/>
    </xf>
    <xf numFmtId="49" fontId="67" fillId="0" borderId="2" xfId="0" applyNumberFormat="1" applyFont="1" applyBorder="1" applyAlignment="1">
      <alignment horizontal="center" wrapText="1"/>
    </xf>
    <xf numFmtId="170" fontId="67" fillId="0" borderId="2" xfId="2" applyNumberFormat="1" applyFont="1" applyBorder="1" applyAlignment="1" applyProtection="1">
      <alignment horizontal="right" vertical="center" wrapText="1"/>
      <protection locked="0"/>
    </xf>
    <xf numFmtId="170" fontId="67" fillId="0" borderId="48" xfId="2" applyNumberFormat="1" applyFont="1" applyBorder="1" applyAlignment="1">
      <alignment horizontal="right" vertical="center" wrapText="1"/>
    </xf>
    <xf numFmtId="0" fontId="66" fillId="0" borderId="8" xfId="0" applyFont="1" applyBorder="1" applyAlignment="1">
      <alignment horizontal="left" vertical="center" wrapText="1"/>
    </xf>
    <xf numFmtId="49" fontId="66" fillId="0" borderId="9" xfId="0" applyNumberFormat="1" applyFont="1" applyBorder="1" applyAlignment="1">
      <alignment horizontal="center" wrapText="1"/>
    </xf>
    <xf numFmtId="170" fontId="66" fillId="0" borderId="9" xfId="2" applyNumberFormat="1" applyFont="1" applyBorder="1" applyAlignment="1">
      <alignment horizontal="right" vertical="center" wrapText="1"/>
    </xf>
    <xf numFmtId="170" fontId="67" fillId="0" borderId="12" xfId="2" applyNumberFormat="1" applyFont="1" applyBorder="1" applyAlignment="1">
      <alignment horizontal="right" vertical="center" wrapText="1"/>
    </xf>
    <xf numFmtId="0" fontId="66" fillId="0" borderId="23" xfId="0" applyFont="1" applyBorder="1" applyAlignment="1">
      <alignment horizontal="left" vertical="center" wrapText="1"/>
    </xf>
    <xf numFmtId="49" fontId="66" fillId="0" borderId="24" xfId="0" applyNumberFormat="1" applyFont="1" applyBorder="1" applyAlignment="1">
      <alignment horizontal="center" wrapText="1"/>
    </xf>
    <xf numFmtId="170" fontId="66" fillId="0" borderId="24" xfId="2" applyNumberFormat="1" applyFont="1" applyBorder="1" applyAlignment="1">
      <alignment horizontal="right" vertical="center" wrapText="1"/>
    </xf>
    <xf numFmtId="170" fontId="67" fillId="0" borderId="22" xfId="2" applyNumberFormat="1" applyFont="1" applyBorder="1" applyAlignment="1">
      <alignment horizontal="right" vertical="center" wrapText="1"/>
    </xf>
    <xf numFmtId="0" fontId="66" fillId="0" borderId="9" xfId="0" applyFont="1" applyBorder="1" applyAlignment="1">
      <alignment horizontal="center" wrapText="1"/>
    </xf>
    <xf numFmtId="0" fontId="67" fillId="0" borderId="14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center" wrapText="1"/>
    </xf>
    <xf numFmtId="170" fontId="67" fillId="0" borderId="6" xfId="2" applyNumberFormat="1" applyFont="1" applyBorder="1" applyAlignment="1" applyProtection="1">
      <alignment horizontal="right" vertical="center" wrapText="1"/>
      <protection locked="0"/>
    </xf>
    <xf numFmtId="170" fontId="67" fillId="0" borderId="13" xfId="2" applyNumberFormat="1" applyFont="1" applyBorder="1" applyAlignment="1">
      <alignment horizontal="right" vertical="center" wrapText="1"/>
    </xf>
    <xf numFmtId="0" fontId="67" fillId="0" borderId="1" xfId="0" applyFont="1" applyBorder="1" applyAlignment="1">
      <alignment horizontal="center" wrapText="1"/>
    </xf>
    <xf numFmtId="0" fontId="67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4" fillId="2" borderId="1" xfId="0" applyFont="1" applyFill="1" applyBorder="1"/>
    <xf numFmtId="0" fontId="3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9" fillId="2" borderId="1" xfId="0" applyFont="1" applyFill="1" applyBorder="1" applyAlignment="1">
      <alignment horizontal="center" wrapText="1"/>
    </xf>
    <xf numFmtId="0" fontId="9" fillId="0" borderId="6" xfId="0" applyFont="1" applyBorder="1"/>
    <xf numFmtId="0" fontId="16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166" fontId="27" fillId="0" borderId="0" xfId="0" applyNumberFormat="1" applyFont="1" applyAlignment="1">
      <alignment horizontal="center" vertical="center" wrapText="1"/>
    </xf>
    <xf numFmtId="166" fontId="27" fillId="0" borderId="7" xfId="0" applyNumberFormat="1" applyFont="1" applyBorder="1" applyAlignment="1">
      <alignment horizontal="center" vertical="center" wrapText="1"/>
    </xf>
    <xf numFmtId="166" fontId="27" fillId="0" borderId="11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66" fontId="27" fillId="0" borderId="2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9" fillId="0" borderId="2" xfId="0" applyFont="1" applyBorder="1" applyAlignment="1">
      <alignment horizontal="center" vertical="center"/>
    </xf>
    <xf numFmtId="0" fontId="0" fillId="0" borderId="6" xfId="0" applyBorder="1"/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48" fillId="0" borderId="40" xfId="1" applyFont="1" applyBorder="1" applyAlignment="1">
      <alignment horizontal="left" vertical="center" indent="1"/>
    </xf>
    <xf numFmtId="0" fontId="48" fillId="0" borderId="41" xfId="1" applyFont="1" applyBorder="1" applyAlignment="1">
      <alignment horizontal="left" vertical="center" indent="1"/>
    </xf>
    <xf numFmtId="0" fontId="48" fillId="0" borderId="42" xfId="1" applyFont="1" applyBorder="1" applyAlignment="1">
      <alignment horizontal="left" vertical="center" indent="1"/>
    </xf>
    <xf numFmtId="0" fontId="48" fillId="0" borderId="26" xfId="1" applyFont="1" applyBorder="1" applyAlignment="1">
      <alignment horizontal="left" vertical="center" indent="1"/>
    </xf>
    <xf numFmtId="0" fontId="0" fillId="0" borderId="0" xfId="0"/>
    <xf numFmtId="0" fontId="57" fillId="0" borderId="0" xfId="0" applyFont="1" applyAlignment="1">
      <alignment horizontal="center" vertical="center" wrapText="1"/>
    </xf>
    <xf numFmtId="166" fontId="46" fillId="0" borderId="47" xfId="0" applyNumberFormat="1" applyFont="1" applyBorder="1" applyAlignment="1">
      <alignment horizontal="left" vertical="center" wrapText="1" indent="2"/>
    </xf>
    <xf numFmtId="166" fontId="46" fillId="0" borderId="26" xfId="0" applyNumberFormat="1" applyFont="1" applyBorder="1" applyAlignment="1">
      <alignment horizontal="left" vertical="center" wrapText="1" indent="2"/>
    </xf>
    <xf numFmtId="166" fontId="43" fillId="0" borderId="0" xfId="0" applyNumberFormat="1" applyFont="1" applyAlignment="1">
      <alignment horizontal="center" vertical="center" wrapText="1"/>
    </xf>
    <xf numFmtId="166" fontId="46" fillId="0" borderId="7" xfId="0" applyNumberFormat="1" applyFont="1" applyBorder="1" applyAlignment="1">
      <alignment horizontal="center" vertical="center" wrapText="1"/>
    </xf>
    <xf numFmtId="166" fontId="46" fillId="0" borderId="11" xfId="0" applyNumberFormat="1" applyFont="1" applyBorder="1" applyAlignment="1">
      <alignment horizontal="center" vertical="center" wrapText="1"/>
    </xf>
    <xf numFmtId="166" fontId="46" fillId="0" borderId="7" xfId="0" applyNumberFormat="1" applyFont="1" applyBorder="1" applyAlignment="1">
      <alignment horizontal="center" vertical="center"/>
    </xf>
    <xf numFmtId="166" fontId="46" fillId="0" borderId="11" xfId="0" applyNumberFormat="1" applyFont="1" applyBorder="1" applyAlignment="1">
      <alignment horizontal="center" vertical="center"/>
    </xf>
    <xf numFmtId="166" fontId="46" fillId="0" borderId="43" xfId="0" applyNumberFormat="1" applyFont="1" applyBorder="1" applyAlignment="1">
      <alignment horizontal="center" vertical="center"/>
    </xf>
    <xf numFmtId="166" fontId="46" fillId="0" borderId="44" xfId="0" applyNumberFormat="1" applyFont="1" applyBorder="1" applyAlignment="1">
      <alignment horizontal="center" vertical="center"/>
    </xf>
    <xf numFmtId="166" fontId="46" fillId="0" borderId="4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2" fillId="0" borderId="3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4" fillId="0" borderId="0" xfId="0" applyFont="1" applyAlignment="1" applyProtection="1">
      <alignment horizontal="left"/>
      <protection locked="0"/>
    </xf>
    <xf numFmtId="0" fontId="31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61" fillId="0" borderId="0" xfId="0" applyFont="1" applyAlignment="1">
      <alignment horizontal="right"/>
    </xf>
    <xf numFmtId="0" fontId="63" fillId="0" borderId="0" xfId="0" applyFont="1" applyAlignment="1" applyProtection="1">
      <alignment horizontal="center" vertical="center" wrapText="1"/>
      <protection locked="0"/>
    </xf>
    <xf numFmtId="0" fontId="65" fillId="0" borderId="37" xfId="0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55" xfId="0" applyFont="1" applyBorder="1" applyAlignment="1">
      <alignment horizontal="center" vertical="center" wrapText="1"/>
    </xf>
    <xf numFmtId="0" fontId="65" fillId="0" borderId="38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65" fillId="0" borderId="50" xfId="0" applyFont="1" applyBorder="1" applyAlignment="1">
      <alignment horizontal="center" vertical="center" wrapText="1"/>
    </xf>
    <xf numFmtId="0" fontId="65" fillId="0" borderId="53" xfId="0" applyFont="1" applyBorder="1" applyAlignment="1">
      <alignment horizontal="center" vertical="center" wrapText="1"/>
    </xf>
    <xf numFmtId="0" fontId="65" fillId="0" borderId="42" xfId="0" applyFont="1" applyBorder="1" applyAlignment="1">
      <alignment horizontal="center" vertical="center" wrapText="1"/>
    </xf>
    <xf numFmtId="0" fontId="65" fillId="0" borderId="54" xfId="0" applyFont="1" applyBorder="1" applyAlignment="1">
      <alignment horizontal="center" vertical="center" wrapText="1"/>
    </xf>
    <xf numFmtId="0" fontId="65" fillId="0" borderId="52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</cellXfs>
  <cellStyles count="3">
    <cellStyle name="Ezres 2" xfId="2" xr:uid="{69422805-328A-456A-9C15-92A36E35E8B2}"/>
    <cellStyle name="Normál" xfId="0" builtinId="0"/>
    <cellStyle name="Normál_SEGEDLETEK" xfId="1" xr:uid="{27A6D249-E411-4CB7-8EE3-F1848DF04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haszn&#225;l&#243;k/P&#233;nz&#252;gy/Judith/2021.%20&#233;vi%20k&#246;lts&#233;gvet&#233;s/test&#252;letnek%20t&#225;bl&#225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sz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st&#252;letnek%20t&#225;bl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kiadások önk"/>
      <sheetName val="2."/>
      <sheetName val="kiadások összesen"/>
      <sheetName val="kiadások egyszerűsített önkorm"/>
      <sheetName val="kiadások egyszerűsített kv szer"/>
      <sheetName val="kiadások egyszerűsített össz"/>
      <sheetName val="kiadások funkciócsoportra"/>
      <sheetName val="bevételek önk"/>
      <sheetName val="3."/>
      <sheetName val="bevételek összesen"/>
      <sheetName val="bevételek egyszerűsített önk"/>
      <sheetName val="bevétel egyszerűsített kvszerv"/>
      <sheetName val="bevétel egyszerűsített összes"/>
      <sheetName val="bevételek funkciócsoportra"/>
      <sheetName val="4."/>
      <sheetName val="5."/>
      <sheetName val="6."/>
      <sheetName val="7."/>
      <sheetName val="8."/>
      <sheetName val="stabilitási 1"/>
      <sheetName val="stabilitási 2"/>
      <sheetName val="EU projektek"/>
      <sheetName val="hitelek"/>
      <sheetName val="finanszírozás"/>
      <sheetName val="szociális kiadások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helyi adók"/>
      <sheetName val="eredménykimutatás önkorm"/>
      <sheetName val="vagyonmérleg önkorm"/>
      <sheetName val="MÉRLEG (2)"/>
      <sheetName val="MÉRLEG (3)"/>
      <sheetName val="TÖBB ÉVES"/>
      <sheetName val="KÖZVETETT"/>
      <sheetName val="GÖRDÜLŐ"/>
    </sheetNames>
    <sheetDataSet>
      <sheetData sheetId="0">
        <row r="1">
          <cell r="A1" t="str">
            <v>Ják Község  Önkormányzata 2021. évi költségvetése</v>
          </cell>
        </row>
      </sheetData>
      <sheetData sheetId="1"/>
      <sheetData sheetId="2">
        <row r="25">
          <cell r="O25">
            <v>209343375</v>
          </cell>
        </row>
        <row r="26">
          <cell r="O26">
            <v>33335250</v>
          </cell>
        </row>
        <row r="51">
          <cell r="O51">
            <v>134279941</v>
          </cell>
        </row>
        <row r="52">
          <cell r="O52">
            <v>9930000</v>
          </cell>
        </row>
        <row r="60">
          <cell r="O60">
            <v>25000000</v>
          </cell>
        </row>
        <row r="61">
          <cell r="O61">
            <v>33000000</v>
          </cell>
        </row>
        <row r="63">
          <cell r="C63">
            <v>200000</v>
          </cell>
        </row>
        <row r="64">
          <cell r="O64">
            <v>4500000</v>
          </cell>
        </row>
        <row r="65">
          <cell r="C65">
            <v>2075000</v>
          </cell>
        </row>
        <row r="66">
          <cell r="C66">
            <v>6100000</v>
          </cell>
        </row>
        <row r="69">
          <cell r="C69">
            <v>3487500</v>
          </cell>
        </row>
        <row r="70">
          <cell r="O70">
            <v>16362500</v>
          </cell>
        </row>
        <row r="71">
          <cell r="O71">
            <v>61742796</v>
          </cell>
        </row>
        <row r="74">
          <cell r="O74">
            <v>16662555</v>
          </cell>
        </row>
        <row r="75">
          <cell r="O75">
            <v>78405351</v>
          </cell>
        </row>
        <row r="77">
          <cell r="O77">
            <v>0</v>
          </cell>
        </row>
        <row r="83">
          <cell r="O83">
            <v>3000000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 önk"/>
      <sheetName val="kiadások összesen"/>
      <sheetName val="kiadások egyszerűsített önkorm"/>
      <sheetName val="kiadások egyszerűsített kv szer"/>
      <sheetName val="kiadások egyszerűsített össz"/>
      <sheetName val="kiadások funkciócsoportra"/>
      <sheetName val="bevételek önk"/>
      <sheetName val="3."/>
      <sheetName val="bevételek összesen"/>
      <sheetName val="bevételek egyszerűsített önk"/>
      <sheetName val="bevétel egyszerűsített kvszerv"/>
      <sheetName val="bevétel egyszerűsített összes"/>
      <sheetName val="bevételek funkciócsoportra"/>
      <sheetName val="stabilitási 1"/>
      <sheetName val="stabilitási 2"/>
      <sheetName val="EU projektek"/>
      <sheetName val="hitelek"/>
      <sheetName val="finanszírozás"/>
      <sheetName val="szociális kiadások"/>
      <sheetName val="helyi adók"/>
      <sheetName val="eredménykimutatás önkorm"/>
      <sheetName val="vagyonmérleg önkorm"/>
      <sheetName val="MÉRLEG (2)"/>
      <sheetName val="MÉRLEG (3)"/>
      <sheetName val="TÖBB ÉVES"/>
      <sheetName val="KÖZVETETT"/>
      <sheetName val="GÖRDÜL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M19">
            <v>25580160</v>
          </cell>
        </row>
        <row r="20">
          <cell r="L20">
            <v>307717795</v>
          </cell>
          <cell r="M20">
            <v>319078658</v>
          </cell>
        </row>
        <row r="34">
          <cell r="L34">
            <v>52550000</v>
          </cell>
        </row>
        <row r="39">
          <cell r="L39">
            <v>8559872</v>
          </cell>
        </row>
        <row r="48">
          <cell r="L48">
            <v>52408211</v>
          </cell>
        </row>
        <row r="58">
          <cell r="L58">
            <v>88107097</v>
          </cell>
        </row>
        <row r="70">
          <cell r="M70">
            <v>1100882</v>
          </cell>
        </row>
        <row r="83">
          <cell r="L83">
            <v>15772432</v>
          </cell>
          <cell r="M83">
            <v>90307952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kiadások önk"/>
      <sheetName val="2."/>
      <sheetName val="kiadások összesen"/>
      <sheetName val="kiadások egyszerűsített önkorm"/>
      <sheetName val="kiadások egyszerűsített kv szer"/>
      <sheetName val="kiadások egyszerűsített össz"/>
      <sheetName val="kiadások funkciócsoportra"/>
      <sheetName val="bevételek önk"/>
      <sheetName val="3."/>
      <sheetName val="bevételek összesen"/>
      <sheetName val="bevételek egyszerűsített önk"/>
      <sheetName val="bevétel egyszerűsített kvszerv"/>
      <sheetName val="bevétel egyszerűsített összes"/>
      <sheetName val="bevételek funkciócsoportra"/>
      <sheetName val="4."/>
      <sheetName val="5."/>
      <sheetName val="6."/>
      <sheetName val="7."/>
      <sheetName val="8."/>
      <sheetName val="stabilitási 1"/>
      <sheetName val="stabilitási 2"/>
      <sheetName val="EU projektek"/>
      <sheetName val="hitelek"/>
      <sheetName val="finanszírozás"/>
      <sheetName val="szociális kiadások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Munka1"/>
      <sheetName val="helyi adók"/>
      <sheetName val="eredménykimutatás önkorm"/>
      <sheetName val="vagyonmérleg önkorm"/>
      <sheetName val="MÉRLEG (2)"/>
      <sheetName val="MÉRLEG (3)"/>
      <sheetName val="TÖBB ÉVES"/>
      <sheetName val="KÖZVETETT"/>
      <sheetName val="GÖRDÜLŐ"/>
    </sheetNames>
    <sheetDataSet>
      <sheetData sheetId="0">
        <row r="1">
          <cell r="A1" t="str">
            <v>Ják Község  Önkormányzata 2021. évi költségvetése</v>
          </cell>
        </row>
        <row r="19">
          <cell r="B19">
            <v>88107097</v>
          </cell>
        </row>
        <row r="24">
          <cell r="B24">
            <v>1100882</v>
          </cell>
        </row>
      </sheetData>
      <sheetData sheetId="1"/>
      <sheetData sheetId="2">
        <row r="25">
          <cell r="O25">
            <v>209343375</v>
          </cell>
        </row>
        <row r="26">
          <cell r="O26">
            <v>33335250</v>
          </cell>
        </row>
        <row r="51">
          <cell r="O51">
            <v>134279941</v>
          </cell>
        </row>
        <row r="52">
          <cell r="O52">
            <v>9930000</v>
          </cell>
        </row>
        <row r="58">
          <cell r="O58">
            <v>4500000</v>
          </cell>
        </row>
        <row r="59">
          <cell r="O59">
            <v>3500000</v>
          </cell>
        </row>
        <row r="61">
          <cell r="O61">
            <v>33000000</v>
          </cell>
        </row>
        <row r="70">
          <cell r="O70">
            <v>16362500</v>
          </cell>
        </row>
        <row r="75">
          <cell r="O75">
            <v>78405351</v>
          </cell>
        </row>
        <row r="77">
          <cell r="O77">
            <v>0</v>
          </cell>
          <cell r="P77">
            <v>0</v>
          </cell>
        </row>
        <row r="81">
          <cell r="O81">
            <v>0</v>
          </cell>
        </row>
        <row r="83">
          <cell r="O83">
            <v>3000000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4">
          <cell r="L14">
            <v>282137635</v>
          </cell>
        </row>
        <row r="19">
          <cell r="L19">
            <v>25580160</v>
          </cell>
          <cell r="M19">
            <v>0</v>
          </cell>
        </row>
        <row r="34">
          <cell r="L34">
            <v>52550000</v>
          </cell>
        </row>
        <row r="38">
          <cell r="L38">
            <v>8559872</v>
          </cell>
        </row>
        <row r="47">
          <cell r="L47">
            <v>52408211</v>
          </cell>
        </row>
        <row r="53">
          <cell r="M53">
            <v>0</v>
          </cell>
        </row>
        <row r="58">
          <cell r="L58">
            <v>88107097</v>
          </cell>
        </row>
        <row r="70">
          <cell r="L70">
            <v>1100882</v>
          </cell>
        </row>
        <row r="85">
          <cell r="L85">
            <v>15772432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95CF-E65F-4AD8-950D-59E5D9B9E94A}">
  <dimension ref="A1:I35"/>
  <sheetViews>
    <sheetView workbookViewId="0">
      <selection sqref="A1:D1"/>
    </sheetView>
  </sheetViews>
  <sheetFormatPr defaultRowHeight="15" x14ac:dyDescent="0.25"/>
  <cols>
    <col min="1" max="1" width="57.42578125" customWidth="1"/>
    <col min="2" max="2" width="12.140625" style="2" customWidth="1"/>
    <col min="3" max="3" width="14.28515625" style="2" bestFit="1" customWidth="1"/>
    <col min="4" max="4" width="10" style="2" customWidth="1"/>
    <col min="257" max="257" width="85.5703125" customWidth="1"/>
    <col min="258" max="258" width="17.42578125" customWidth="1"/>
    <col min="259" max="259" width="17.85546875" customWidth="1"/>
    <col min="260" max="260" width="15.28515625" customWidth="1"/>
    <col min="513" max="513" width="85.5703125" customWidth="1"/>
    <col min="514" max="514" width="17.42578125" customWidth="1"/>
    <col min="515" max="515" width="17.85546875" customWidth="1"/>
    <col min="516" max="516" width="15.28515625" customWidth="1"/>
    <col min="769" max="769" width="85.5703125" customWidth="1"/>
    <col min="770" max="770" width="17.42578125" customWidth="1"/>
    <col min="771" max="771" width="17.85546875" customWidth="1"/>
    <col min="772" max="772" width="15.28515625" customWidth="1"/>
    <col min="1025" max="1025" width="85.5703125" customWidth="1"/>
    <col min="1026" max="1026" width="17.42578125" customWidth="1"/>
    <col min="1027" max="1027" width="17.85546875" customWidth="1"/>
    <col min="1028" max="1028" width="15.28515625" customWidth="1"/>
    <col min="1281" max="1281" width="85.5703125" customWidth="1"/>
    <col min="1282" max="1282" width="17.42578125" customWidth="1"/>
    <col min="1283" max="1283" width="17.85546875" customWidth="1"/>
    <col min="1284" max="1284" width="15.28515625" customWidth="1"/>
    <col min="1537" max="1537" width="85.5703125" customWidth="1"/>
    <col min="1538" max="1538" width="17.42578125" customWidth="1"/>
    <col min="1539" max="1539" width="17.85546875" customWidth="1"/>
    <col min="1540" max="1540" width="15.28515625" customWidth="1"/>
    <col min="1793" max="1793" width="85.5703125" customWidth="1"/>
    <col min="1794" max="1794" width="17.42578125" customWidth="1"/>
    <col min="1795" max="1795" width="17.85546875" customWidth="1"/>
    <col min="1796" max="1796" width="15.28515625" customWidth="1"/>
    <col min="2049" max="2049" width="85.5703125" customWidth="1"/>
    <col min="2050" max="2050" width="17.42578125" customWidth="1"/>
    <col min="2051" max="2051" width="17.85546875" customWidth="1"/>
    <col min="2052" max="2052" width="15.28515625" customWidth="1"/>
    <col min="2305" max="2305" width="85.5703125" customWidth="1"/>
    <col min="2306" max="2306" width="17.42578125" customWidth="1"/>
    <col min="2307" max="2307" width="17.85546875" customWidth="1"/>
    <col min="2308" max="2308" width="15.28515625" customWidth="1"/>
    <col min="2561" max="2561" width="85.5703125" customWidth="1"/>
    <col min="2562" max="2562" width="17.42578125" customWidth="1"/>
    <col min="2563" max="2563" width="17.85546875" customWidth="1"/>
    <col min="2564" max="2564" width="15.28515625" customWidth="1"/>
    <col min="2817" max="2817" width="85.5703125" customWidth="1"/>
    <col min="2818" max="2818" width="17.42578125" customWidth="1"/>
    <col min="2819" max="2819" width="17.85546875" customWidth="1"/>
    <col min="2820" max="2820" width="15.28515625" customWidth="1"/>
    <col min="3073" max="3073" width="85.5703125" customWidth="1"/>
    <col min="3074" max="3074" width="17.42578125" customWidth="1"/>
    <col min="3075" max="3075" width="17.85546875" customWidth="1"/>
    <col min="3076" max="3076" width="15.28515625" customWidth="1"/>
    <col min="3329" max="3329" width="85.5703125" customWidth="1"/>
    <col min="3330" max="3330" width="17.42578125" customWidth="1"/>
    <col min="3331" max="3331" width="17.85546875" customWidth="1"/>
    <col min="3332" max="3332" width="15.28515625" customWidth="1"/>
    <col min="3585" max="3585" width="85.5703125" customWidth="1"/>
    <col min="3586" max="3586" width="17.42578125" customWidth="1"/>
    <col min="3587" max="3587" width="17.85546875" customWidth="1"/>
    <col min="3588" max="3588" width="15.28515625" customWidth="1"/>
    <col min="3841" max="3841" width="85.5703125" customWidth="1"/>
    <col min="3842" max="3842" width="17.42578125" customWidth="1"/>
    <col min="3843" max="3843" width="17.85546875" customWidth="1"/>
    <col min="3844" max="3844" width="15.28515625" customWidth="1"/>
    <col min="4097" max="4097" width="85.5703125" customWidth="1"/>
    <col min="4098" max="4098" width="17.42578125" customWidth="1"/>
    <col min="4099" max="4099" width="17.85546875" customWidth="1"/>
    <col min="4100" max="4100" width="15.28515625" customWidth="1"/>
    <col min="4353" max="4353" width="85.5703125" customWidth="1"/>
    <col min="4354" max="4354" width="17.42578125" customWidth="1"/>
    <col min="4355" max="4355" width="17.85546875" customWidth="1"/>
    <col min="4356" max="4356" width="15.28515625" customWidth="1"/>
    <col min="4609" max="4609" width="85.5703125" customWidth="1"/>
    <col min="4610" max="4610" width="17.42578125" customWidth="1"/>
    <col min="4611" max="4611" width="17.85546875" customWidth="1"/>
    <col min="4612" max="4612" width="15.28515625" customWidth="1"/>
    <col min="4865" max="4865" width="85.5703125" customWidth="1"/>
    <col min="4866" max="4866" width="17.42578125" customWidth="1"/>
    <col min="4867" max="4867" width="17.85546875" customWidth="1"/>
    <col min="4868" max="4868" width="15.28515625" customWidth="1"/>
    <col min="5121" max="5121" width="85.5703125" customWidth="1"/>
    <col min="5122" max="5122" width="17.42578125" customWidth="1"/>
    <col min="5123" max="5123" width="17.85546875" customWidth="1"/>
    <col min="5124" max="5124" width="15.28515625" customWidth="1"/>
    <col min="5377" max="5377" width="85.5703125" customWidth="1"/>
    <col min="5378" max="5378" width="17.42578125" customWidth="1"/>
    <col min="5379" max="5379" width="17.85546875" customWidth="1"/>
    <col min="5380" max="5380" width="15.28515625" customWidth="1"/>
    <col min="5633" max="5633" width="85.5703125" customWidth="1"/>
    <col min="5634" max="5634" width="17.42578125" customWidth="1"/>
    <col min="5635" max="5635" width="17.85546875" customWidth="1"/>
    <col min="5636" max="5636" width="15.28515625" customWidth="1"/>
    <col min="5889" max="5889" width="85.5703125" customWidth="1"/>
    <col min="5890" max="5890" width="17.42578125" customWidth="1"/>
    <col min="5891" max="5891" width="17.85546875" customWidth="1"/>
    <col min="5892" max="5892" width="15.28515625" customWidth="1"/>
    <col min="6145" max="6145" width="85.5703125" customWidth="1"/>
    <col min="6146" max="6146" width="17.42578125" customWidth="1"/>
    <col min="6147" max="6147" width="17.85546875" customWidth="1"/>
    <col min="6148" max="6148" width="15.28515625" customWidth="1"/>
    <col min="6401" max="6401" width="85.5703125" customWidth="1"/>
    <col min="6402" max="6402" width="17.42578125" customWidth="1"/>
    <col min="6403" max="6403" width="17.85546875" customWidth="1"/>
    <col min="6404" max="6404" width="15.28515625" customWidth="1"/>
    <col min="6657" max="6657" width="85.5703125" customWidth="1"/>
    <col min="6658" max="6658" width="17.42578125" customWidth="1"/>
    <col min="6659" max="6659" width="17.85546875" customWidth="1"/>
    <col min="6660" max="6660" width="15.28515625" customWidth="1"/>
    <col min="6913" max="6913" width="85.5703125" customWidth="1"/>
    <col min="6914" max="6914" width="17.42578125" customWidth="1"/>
    <col min="6915" max="6915" width="17.85546875" customWidth="1"/>
    <col min="6916" max="6916" width="15.28515625" customWidth="1"/>
    <col min="7169" max="7169" width="85.5703125" customWidth="1"/>
    <col min="7170" max="7170" width="17.42578125" customWidth="1"/>
    <col min="7171" max="7171" width="17.85546875" customWidth="1"/>
    <col min="7172" max="7172" width="15.28515625" customWidth="1"/>
    <col min="7425" max="7425" width="85.5703125" customWidth="1"/>
    <col min="7426" max="7426" width="17.42578125" customWidth="1"/>
    <col min="7427" max="7427" width="17.85546875" customWidth="1"/>
    <col min="7428" max="7428" width="15.28515625" customWidth="1"/>
    <col min="7681" max="7681" width="85.5703125" customWidth="1"/>
    <col min="7682" max="7682" width="17.42578125" customWidth="1"/>
    <col min="7683" max="7683" width="17.85546875" customWidth="1"/>
    <col min="7684" max="7684" width="15.28515625" customWidth="1"/>
    <col min="7937" max="7937" width="85.5703125" customWidth="1"/>
    <col min="7938" max="7938" width="17.42578125" customWidth="1"/>
    <col min="7939" max="7939" width="17.85546875" customWidth="1"/>
    <col min="7940" max="7940" width="15.28515625" customWidth="1"/>
    <col min="8193" max="8193" width="85.5703125" customWidth="1"/>
    <col min="8194" max="8194" width="17.42578125" customWidth="1"/>
    <col min="8195" max="8195" width="17.85546875" customWidth="1"/>
    <col min="8196" max="8196" width="15.28515625" customWidth="1"/>
    <col min="8449" max="8449" width="85.5703125" customWidth="1"/>
    <col min="8450" max="8450" width="17.42578125" customWidth="1"/>
    <col min="8451" max="8451" width="17.85546875" customWidth="1"/>
    <col min="8452" max="8452" width="15.28515625" customWidth="1"/>
    <col min="8705" max="8705" width="85.5703125" customWidth="1"/>
    <col min="8706" max="8706" width="17.42578125" customWidth="1"/>
    <col min="8707" max="8707" width="17.85546875" customWidth="1"/>
    <col min="8708" max="8708" width="15.28515625" customWidth="1"/>
    <col min="8961" max="8961" width="85.5703125" customWidth="1"/>
    <col min="8962" max="8962" width="17.42578125" customWidth="1"/>
    <col min="8963" max="8963" width="17.85546875" customWidth="1"/>
    <col min="8964" max="8964" width="15.28515625" customWidth="1"/>
    <col min="9217" max="9217" width="85.5703125" customWidth="1"/>
    <col min="9218" max="9218" width="17.42578125" customWidth="1"/>
    <col min="9219" max="9219" width="17.85546875" customWidth="1"/>
    <col min="9220" max="9220" width="15.28515625" customWidth="1"/>
    <col min="9473" max="9473" width="85.5703125" customWidth="1"/>
    <col min="9474" max="9474" width="17.42578125" customWidth="1"/>
    <col min="9475" max="9475" width="17.85546875" customWidth="1"/>
    <col min="9476" max="9476" width="15.28515625" customWidth="1"/>
    <col min="9729" max="9729" width="85.5703125" customWidth="1"/>
    <col min="9730" max="9730" width="17.42578125" customWidth="1"/>
    <col min="9731" max="9731" width="17.85546875" customWidth="1"/>
    <col min="9732" max="9732" width="15.28515625" customWidth="1"/>
    <col min="9985" max="9985" width="85.5703125" customWidth="1"/>
    <col min="9986" max="9986" width="17.42578125" customWidth="1"/>
    <col min="9987" max="9987" width="17.85546875" customWidth="1"/>
    <col min="9988" max="9988" width="15.28515625" customWidth="1"/>
    <col min="10241" max="10241" width="85.5703125" customWidth="1"/>
    <col min="10242" max="10242" width="17.42578125" customWidth="1"/>
    <col min="10243" max="10243" width="17.85546875" customWidth="1"/>
    <col min="10244" max="10244" width="15.28515625" customWidth="1"/>
    <col min="10497" max="10497" width="85.5703125" customWidth="1"/>
    <col min="10498" max="10498" width="17.42578125" customWidth="1"/>
    <col min="10499" max="10499" width="17.85546875" customWidth="1"/>
    <col min="10500" max="10500" width="15.28515625" customWidth="1"/>
    <col min="10753" max="10753" width="85.5703125" customWidth="1"/>
    <col min="10754" max="10754" width="17.42578125" customWidth="1"/>
    <col min="10755" max="10755" width="17.85546875" customWidth="1"/>
    <col min="10756" max="10756" width="15.28515625" customWidth="1"/>
    <col min="11009" max="11009" width="85.5703125" customWidth="1"/>
    <col min="11010" max="11010" width="17.42578125" customWidth="1"/>
    <col min="11011" max="11011" width="17.85546875" customWidth="1"/>
    <col min="11012" max="11012" width="15.28515625" customWidth="1"/>
    <col min="11265" max="11265" width="85.5703125" customWidth="1"/>
    <col min="11266" max="11266" width="17.42578125" customWidth="1"/>
    <col min="11267" max="11267" width="17.85546875" customWidth="1"/>
    <col min="11268" max="11268" width="15.28515625" customWidth="1"/>
    <col min="11521" max="11521" width="85.5703125" customWidth="1"/>
    <col min="11522" max="11522" width="17.42578125" customWidth="1"/>
    <col min="11523" max="11523" width="17.85546875" customWidth="1"/>
    <col min="11524" max="11524" width="15.28515625" customWidth="1"/>
    <col min="11777" max="11777" width="85.5703125" customWidth="1"/>
    <col min="11778" max="11778" width="17.42578125" customWidth="1"/>
    <col min="11779" max="11779" width="17.85546875" customWidth="1"/>
    <col min="11780" max="11780" width="15.28515625" customWidth="1"/>
    <col min="12033" max="12033" width="85.5703125" customWidth="1"/>
    <col min="12034" max="12034" width="17.42578125" customWidth="1"/>
    <col min="12035" max="12035" width="17.85546875" customWidth="1"/>
    <col min="12036" max="12036" width="15.28515625" customWidth="1"/>
    <col min="12289" max="12289" width="85.5703125" customWidth="1"/>
    <col min="12290" max="12290" width="17.42578125" customWidth="1"/>
    <col min="12291" max="12291" width="17.85546875" customWidth="1"/>
    <col min="12292" max="12292" width="15.28515625" customWidth="1"/>
    <col min="12545" max="12545" width="85.5703125" customWidth="1"/>
    <col min="12546" max="12546" width="17.42578125" customWidth="1"/>
    <col min="12547" max="12547" width="17.85546875" customWidth="1"/>
    <col min="12548" max="12548" width="15.28515625" customWidth="1"/>
    <col min="12801" max="12801" width="85.5703125" customWidth="1"/>
    <col min="12802" max="12802" width="17.42578125" customWidth="1"/>
    <col min="12803" max="12803" width="17.85546875" customWidth="1"/>
    <col min="12804" max="12804" width="15.28515625" customWidth="1"/>
    <col min="13057" max="13057" width="85.5703125" customWidth="1"/>
    <col min="13058" max="13058" width="17.42578125" customWidth="1"/>
    <col min="13059" max="13059" width="17.85546875" customWidth="1"/>
    <col min="13060" max="13060" width="15.28515625" customWidth="1"/>
    <col min="13313" max="13313" width="85.5703125" customWidth="1"/>
    <col min="13314" max="13314" width="17.42578125" customWidth="1"/>
    <col min="13315" max="13315" width="17.85546875" customWidth="1"/>
    <col min="13316" max="13316" width="15.28515625" customWidth="1"/>
    <col min="13569" max="13569" width="85.5703125" customWidth="1"/>
    <col min="13570" max="13570" width="17.42578125" customWidth="1"/>
    <col min="13571" max="13571" width="17.85546875" customWidth="1"/>
    <col min="13572" max="13572" width="15.28515625" customWidth="1"/>
    <col min="13825" max="13825" width="85.5703125" customWidth="1"/>
    <col min="13826" max="13826" width="17.42578125" customWidth="1"/>
    <col min="13827" max="13827" width="17.85546875" customWidth="1"/>
    <col min="13828" max="13828" width="15.28515625" customWidth="1"/>
    <col min="14081" max="14081" width="85.5703125" customWidth="1"/>
    <col min="14082" max="14082" width="17.42578125" customWidth="1"/>
    <col min="14083" max="14083" width="17.85546875" customWidth="1"/>
    <col min="14084" max="14084" width="15.28515625" customWidth="1"/>
    <col min="14337" max="14337" width="85.5703125" customWidth="1"/>
    <col min="14338" max="14338" width="17.42578125" customWidth="1"/>
    <col min="14339" max="14339" width="17.85546875" customWidth="1"/>
    <col min="14340" max="14340" width="15.28515625" customWidth="1"/>
    <col min="14593" max="14593" width="85.5703125" customWidth="1"/>
    <col min="14594" max="14594" width="17.42578125" customWidth="1"/>
    <col min="14595" max="14595" width="17.85546875" customWidth="1"/>
    <col min="14596" max="14596" width="15.28515625" customWidth="1"/>
    <col min="14849" max="14849" width="85.5703125" customWidth="1"/>
    <col min="14850" max="14850" width="17.42578125" customWidth="1"/>
    <col min="14851" max="14851" width="17.85546875" customWidth="1"/>
    <col min="14852" max="14852" width="15.28515625" customWidth="1"/>
    <col min="15105" max="15105" width="85.5703125" customWidth="1"/>
    <col min="15106" max="15106" width="17.42578125" customWidth="1"/>
    <col min="15107" max="15107" width="17.85546875" customWidth="1"/>
    <col min="15108" max="15108" width="15.28515625" customWidth="1"/>
    <col min="15361" max="15361" width="85.5703125" customWidth="1"/>
    <col min="15362" max="15362" width="17.42578125" customWidth="1"/>
    <col min="15363" max="15363" width="17.85546875" customWidth="1"/>
    <col min="15364" max="15364" width="15.28515625" customWidth="1"/>
    <col min="15617" max="15617" width="85.5703125" customWidth="1"/>
    <col min="15618" max="15618" width="17.42578125" customWidth="1"/>
    <col min="15619" max="15619" width="17.85546875" customWidth="1"/>
    <col min="15620" max="15620" width="15.28515625" customWidth="1"/>
    <col min="15873" max="15873" width="85.5703125" customWidth="1"/>
    <col min="15874" max="15874" width="17.42578125" customWidth="1"/>
    <col min="15875" max="15875" width="17.85546875" customWidth="1"/>
    <col min="15876" max="15876" width="15.28515625" customWidth="1"/>
    <col min="16129" max="16129" width="85.5703125" customWidth="1"/>
    <col min="16130" max="16130" width="17.42578125" customWidth="1"/>
    <col min="16131" max="16131" width="17.85546875" customWidth="1"/>
    <col min="16132" max="16132" width="15.28515625" customWidth="1"/>
  </cols>
  <sheetData>
    <row r="1" spans="1:9" x14ac:dyDescent="0.25">
      <c r="A1" s="397" t="s">
        <v>722</v>
      </c>
      <c r="B1" s="397"/>
      <c r="C1" s="397"/>
      <c r="D1" s="397"/>
    </row>
    <row r="2" spans="1:9" ht="15.75" x14ac:dyDescent="0.25">
      <c r="A2" s="395" t="s">
        <v>0</v>
      </c>
      <c r="B2" s="395"/>
      <c r="C2" s="395"/>
      <c r="D2" s="395"/>
    </row>
    <row r="3" spans="1:9" ht="15.75" x14ac:dyDescent="0.25">
      <c r="A3" s="1"/>
      <c r="B3" s="1"/>
      <c r="C3" s="1"/>
      <c r="D3" s="1"/>
    </row>
    <row r="4" spans="1:9" ht="37.5" customHeight="1" x14ac:dyDescent="0.25">
      <c r="A4" s="396" t="s">
        <v>1</v>
      </c>
      <c r="B4" s="396"/>
      <c r="C4" s="396"/>
      <c r="D4" s="396"/>
    </row>
    <row r="5" spans="1:9" x14ac:dyDescent="0.25">
      <c r="B5" s="4"/>
      <c r="D5" s="3" t="s">
        <v>2</v>
      </c>
    </row>
    <row r="6" spans="1:9" ht="18.75" x14ac:dyDescent="0.3">
      <c r="A6" s="5" t="s">
        <v>3</v>
      </c>
      <c r="B6" s="6" t="s">
        <v>4</v>
      </c>
      <c r="C6" s="6" t="s">
        <v>5</v>
      </c>
      <c r="D6" s="6" t="s">
        <v>6</v>
      </c>
      <c r="E6" s="7"/>
      <c r="F6" s="7"/>
      <c r="G6" s="7"/>
      <c r="H6" s="7"/>
      <c r="I6" s="7"/>
    </row>
    <row r="7" spans="1:9" x14ac:dyDescent="0.25">
      <c r="A7" s="8" t="s">
        <v>7</v>
      </c>
      <c r="B7" s="9">
        <f>SUM('[1]2.'!O25)</f>
        <v>209343375</v>
      </c>
      <c r="C7" s="9">
        <f>B7</f>
        <v>209343375</v>
      </c>
      <c r="D7" s="9"/>
      <c r="E7" s="7"/>
      <c r="F7" s="7"/>
      <c r="G7" s="7"/>
      <c r="H7" s="7"/>
      <c r="I7" s="7"/>
    </row>
    <row r="8" spans="1:9" x14ac:dyDescent="0.25">
      <c r="A8" s="8" t="s">
        <v>8</v>
      </c>
      <c r="B8" s="9">
        <f>SUM('[1]2.'!O26)</f>
        <v>33335250</v>
      </c>
      <c r="C8" s="9">
        <f t="shared" ref="C8:C15" si="0">B8</f>
        <v>33335250</v>
      </c>
      <c r="D8" s="9"/>
      <c r="E8" s="7"/>
      <c r="F8" s="7"/>
      <c r="G8" s="7"/>
      <c r="H8" s="7"/>
      <c r="I8" s="7"/>
    </row>
    <row r="9" spans="1:9" x14ac:dyDescent="0.25">
      <c r="A9" s="8" t="s">
        <v>9</v>
      </c>
      <c r="B9" s="9">
        <f>SUM('[1]2.'!O51)</f>
        <v>134279941</v>
      </c>
      <c r="C9" s="9">
        <f>B9+3375224</f>
        <v>137655165</v>
      </c>
      <c r="D9" s="9"/>
      <c r="E9" s="7"/>
      <c r="F9" s="7"/>
      <c r="G9" s="7"/>
      <c r="H9" s="7"/>
      <c r="I9" s="7"/>
    </row>
    <row r="10" spans="1:9" x14ac:dyDescent="0.25">
      <c r="A10" s="8" t="s">
        <v>10</v>
      </c>
      <c r="B10" s="9">
        <f>SUM('[1]2.'!O52)</f>
        <v>9930000</v>
      </c>
      <c r="C10" s="9">
        <f t="shared" si="0"/>
        <v>9930000</v>
      </c>
      <c r="D10" s="9"/>
      <c r="E10" s="7"/>
      <c r="F10" s="7"/>
      <c r="G10" s="7"/>
      <c r="H10" s="7"/>
      <c r="I10" s="7"/>
    </row>
    <row r="11" spans="1:9" x14ac:dyDescent="0.25">
      <c r="A11" s="8" t="s">
        <v>11</v>
      </c>
      <c r="B11" s="9">
        <f>SUM('[1]2.'!O61)-25000000</f>
        <v>8000000</v>
      </c>
      <c r="C11" s="9">
        <f>B11+54002</f>
        <v>8054002</v>
      </c>
      <c r="D11" s="9"/>
      <c r="E11" s="7"/>
      <c r="F11" s="7"/>
      <c r="G11" s="7"/>
      <c r="H11" s="7"/>
      <c r="I11" s="7"/>
    </row>
    <row r="12" spans="1:9" x14ac:dyDescent="0.25">
      <c r="A12" s="8" t="s">
        <v>12</v>
      </c>
      <c r="B12" s="9">
        <f>SUM('[1]2.'!O60)</f>
        <v>25000000</v>
      </c>
      <c r="C12" s="9">
        <f>B12+69251224</f>
        <v>94251224</v>
      </c>
      <c r="D12" s="9"/>
      <c r="E12" s="7"/>
      <c r="F12" s="7"/>
      <c r="G12" s="7"/>
      <c r="H12" s="7"/>
      <c r="I12" s="7"/>
    </row>
    <row r="13" spans="1:9" x14ac:dyDescent="0.25">
      <c r="A13" s="8" t="s">
        <v>13</v>
      </c>
      <c r="B13" s="9">
        <f>SUM('[1]2.'!O70)</f>
        <v>16362500</v>
      </c>
      <c r="C13" s="9">
        <f>B13+5350000</f>
        <v>21712500</v>
      </c>
      <c r="D13" s="9"/>
      <c r="E13" s="7"/>
      <c r="F13" s="7"/>
      <c r="G13" s="7"/>
      <c r="H13" s="7"/>
      <c r="I13" s="7"/>
    </row>
    <row r="14" spans="1:9" x14ac:dyDescent="0.25">
      <c r="A14" s="8" t="s">
        <v>14</v>
      </c>
      <c r="B14" s="9">
        <f>SUM('[1]2.'!O75)</f>
        <v>78405351</v>
      </c>
      <c r="C14" s="9">
        <f t="shared" si="0"/>
        <v>78405351</v>
      </c>
      <c r="D14" s="9"/>
      <c r="E14" s="7"/>
      <c r="F14" s="7"/>
      <c r="G14" s="7"/>
      <c r="H14" s="7"/>
      <c r="I14" s="7"/>
    </row>
    <row r="15" spans="1:9" x14ac:dyDescent="0.25">
      <c r="A15" s="8" t="s">
        <v>15</v>
      </c>
      <c r="B15" s="9">
        <f>SUM('[1]2.'!O77)</f>
        <v>0</v>
      </c>
      <c r="C15" s="9">
        <f t="shared" si="0"/>
        <v>0</v>
      </c>
      <c r="D15" s="9"/>
      <c r="E15" s="7"/>
      <c r="F15" s="7"/>
      <c r="G15" s="7"/>
      <c r="H15" s="7"/>
      <c r="I15" s="7"/>
    </row>
    <row r="16" spans="1:9" x14ac:dyDescent="0.25">
      <c r="A16" s="10" t="s">
        <v>16</v>
      </c>
      <c r="B16" s="11">
        <f>SUM(B7:B15)</f>
        <v>514656417</v>
      </c>
      <c r="C16" s="11">
        <f>SUM(C7:C15)</f>
        <v>592686867</v>
      </c>
      <c r="D16" s="11"/>
      <c r="E16" s="7"/>
      <c r="F16" s="7"/>
      <c r="G16" s="7"/>
      <c r="H16" s="7"/>
      <c r="I16" s="7"/>
    </row>
    <row r="17" spans="1:9" x14ac:dyDescent="0.25">
      <c r="A17" s="10" t="s">
        <v>17</v>
      </c>
      <c r="B17" s="9">
        <f>SUM('[1]2.'!O83)</f>
        <v>3000000</v>
      </c>
      <c r="C17" s="9">
        <f>B17+11285505</f>
        <v>14285505</v>
      </c>
      <c r="D17" s="9"/>
      <c r="E17" s="7"/>
      <c r="F17" s="7"/>
      <c r="G17" s="7"/>
      <c r="H17" s="7"/>
      <c r="I17" s="7"/>
    </row>
    <row r="18" spans="1:9" ht="15.75" x14ac:dyDescent="0.25">
      <c r="A18" s="14" t="s">
        <v>18</v>
      </c>
      <c r="B18" s="15">
        <f>SUM(B16:B17)</f>
        <v>517656417</v>
      </c>
      <c r="C18" s="15">
        <f>SUM(C16:C17)</f>
        <v>606972372</v>
      </c>
      <c r="D18" s="15"/>
      <c r="E18" s="7"/>
      <c r="F18" s="7"/>
      <c r="G18" s="7"/>
      <c r="H18" s="7"/>
      <c r="I18" s="7"/>
    </row>
    <row r="19" spans="1:9" x14ac:dyDescent="0.25">
      <c r="A19" s="8" t="s">
        <v>19</v>
      </c>
      <c r="B19" s="9">
        <f>'[2]3.'!$L$20</f>
        <v>307717795</v>
      </c>
      <c r="C19" s="9">
        <f>B19+2509931+172440+8678492</f>
        <v>319078658</v>
      </c>
      <c r="D19" s="9"/>
      <c r="E19" s="7"/>
      <c r="F19" s="7"/>
      <c r="G19" s="7"/>
      <c r="H19" s="7"/>
      <c r="I19" s="7"/>
    </row>
    <row r="20" spans="1:9" x14ac:dyDescent="0.25">
      <c r="A20" s="8" t="s">
        <v>20</v>
      </c>
      <c r="B20" s="12">
        <f>'[2]3.'!$L$58</f>
        <v>88107097</v>
      </c>
      <c r="C20" s="9">
        <f>B20+2819572</f>
        <v>90926669</v>
      </c>
      <c r="D20" s="9"/>
      <c r="E20" s="7"/>
      <c r="F20" s="7"/>
      <c r="G20" s="7"/>
      <c r="H20" s="7"/>
      <c r="I20" s="7"/>
    </row>
    <row r="21" spans="1:9" x14ac:dyDescent="0.25">
      <c r="A21" s="8" t="s">
        <v>21</v>
      </c>
      <c r="B21" s="12">
        <f>'[2]3.'!$L$34</f>
        <v>52550000</v>
      </c>
      <c r="C21" s="9">
        <f t="shared" ref="C21:C25" si="1">B21</f>
        <v>52550000</v>
      </c>
      <c r="D21" s="9"/>
      <c r="E21" s="7"/>
      <c r="F21" s="7"/>
      <c r="G21" s="7"/>
      <c r="H21" s="7"/>
      <c r="I21" s="7"/>
    </row>
    <row r="22" spans="1:9" x14ac:dyDescent="0.25">
      <c r="A22" s="8" t="s">
        <v>22</v>
      </c>
      <c r="B22" s="12">
        <f>'[2]3.'!$L$48-'[2]3.'!$L$39</f>
        <v>43848339</v>
      </c>
      <c r="C22" s="9">
        <f>B22+600000</f>
        <v>44448339</v>
      </c>
      <c r="D22" s="9"/>
      <c r="E22" s="7"/>
      <c r="F22" s="7"/>
      <c r="G22" s="7"/>
      <c r="H22" s="7"/>
      <c r="I22" s="7"/>
    </row>
    <row r="23" spans="1:9" x14ac:dyDescent="0.25">
      <c r="A23" s="8" t="s">
        <v>23</v>
      </c>
      <c r="B23" s="12">
        <f>'[2]3.'!$L$39</f>
        <v>8559872</v>
      </c>
      <c r="C23" s="9">
        <f t="shared" si="1"/>
        <v>8559872</v>
      </c>
      <c r="D23" s="9"/>
      <c r="E23" s="7"/>
      <c r="F23" s="7"/>
      <c r="G23" s="7"/>
      <c r="H23" s="7"/>
      <c r="I23" s="7"/>
    </row>
    <row r="24" spans="1:9" x14ac:dyDescent="0.25">
      <c r="A24" s="8" t="s">
        <v>24</v>
      </c>
      <c r="B24" s="9">
        <v>0</v>
      </c>
      <c r="C24" s="9">
        <f t="shared" si="1"/>
        <v>0</v>
      </c>
      <c r="D24" s="9"/>
      <c r="E24" s="7"/>
      <c r="F24" s="7"/>
      <c r="G24" s="7"/>
      <c r="H24" s="7"/>
      <c r="I24" s="7"/>
    </row>
    <row r="25" spans="1:9" x14ac:dyDescent="0.25">
      <c r="A25" s="8" t="s">
        <v>25</v>
      </c>
      <c r="B25" s="9">
        <f>'[2]3.'!$M$70</f>
        <v>1100882</v>
      </c>
      <c r="C25" s="9">
        <f t="shared" si="1"/>
        <v>1100882</v>
      </c>
      <c r="D25" s="9"/>
      <c r="E25" s="7"/>
      <c r="F25" s="7"/>
      <c r="G25" s="7"/>
      <c r="H25" s="7"/>
      <c r="I25" s="7"/>
    </row>
    <row r="26" spans="1:9" x14ac:dyDescent="0.25">
      <c r="A26" s="10" t="s">
        <v>26</v>
      </c>
      <c r="B26" s="9">
        <f>SUM(B19:B25)</f>
        <v>501883985</v>
      </c>
      <c r="C26" s="9">
        <f>SUM(C19:C25)</f>
        <v>516664420</v>
      </c>
      <c r="D26" s="9"/>
      <c r="E26" s="7"/>
      <c r="F26" s="7"/>
      <c r="G26" s="7"/>
      <c r="H26" s="7"/>
      <c r="I26" s="7"/>
    </row>
    <row r="27" spans="1:9" x14ac:dyDescent="0.25">
      <c r="A27" s="10" t="s">
        <v>27</v>
      </c>
      <c r="B27" s="9">
        <f>'[2]3.'!$L$83</f>
        <v>15772432</v>
      </c>
      <c r="C27" s="9">
        <f>'[2]3.'!$M$83</f>
        <v>90307952</v>
      </c>
      <c r="D27" s="9"/>
      <c r="E27" s="7"/>
      <c r="F27" s="7"/>
      <c r="G27" s="7"/>
      <c r="H27" s="7"/>
      <c r="I27" s="7"/>
    </row>
    <row r="28" spans="1:9" ht="15.75" x14ac:dyDescent="0.25">
      <c r="A28" s="14" t="s">
        <v>28</v>
      </c>
      <c r="B28" s="15">
        <f>SUM(B26:B27)</f>
        <v>517656417</v>
      </c>
      <c r="C28" s="15">
        <f>SUM(C26:C27)</f>
        <v>606972372</v>
      </c>
      <c r="D28" s="15"/>
      <c r="E28" s="7"/>
      <c r="F28" s="7"/>
      <c r="G28" s="7"/>
      <c r="H28" s="7"/>
      <c r="I28" s="7"/>
    </row>
    <row r="29" spans="1:9" x14ac:dyDescent="0.25">
      <c r="A29" s="7"/>
      <c r="B29" s="13"/>
      <c r="C29" s="13"/>
      <c r="D29" s="13"/>
      <c r="E29" s="7"/>
      <c r="F29" s="7"/>
      <c r="G29" s="7"/>
      <c r="H29" s="7"/>
      <c r="I29" s="7"/>
    </row>
    <row r="30" spans="1:9" x14ac:dyDescent="0.25">
      <c r="A30" s="7"/>
      <c r="B30" s="13"/>
      <c r="C30" s="13"/>
      <c r="D30" s="13"/>
      <c r="E30" s="7"/>
      <c r="F30" s="7"/>
      <c r="G30" s="7"/>
      <c r="H30" s="7"/>
      <c r="I30" s="7"/>
    </row>
    <row r="31" spans="1:9" x14ac:dyDescent="0.25">
      <c r="A31" s="7"/>
      <c r="B31" s="13"/>
      <c r="C31" s="13"/>
      <c r="D31" s="13"/>
      <c r="E31" s="7"/>
      <c r="F31" s="7"/>
      <c r="G31" s="7"/>
      <c r="H31" s="7"/>
      <c r="I31" s="7"/>
    </row>
    <row r="32" spans="1:9" x14ac:dyDescent="0.25">
      <c r="A32" s="7"/>
      <c r="B32" s="13"/>
      <c r="C32" s="13"/>
      <c r="D32" s="13"/>
      <c r="E32" s="7"/>
      <c r="F32" s="7"/>
      <c r="G32" s="7"/>
      <c r="H32" s="7"/>
      <c r="I32" s="7"/>
    </row>
    <row r="33" spans="1:9" x14ac:dyDescent="0.25">
      <c r="A33" s="7"/>
      <c r="B33" s="13"/>
      <c r="C33" s="13"/>
      <c r="D33" s="13"/>
      <c r="E33" s="7"/>
      <c r="F33" s="7"/>
      <c r="G33" s="7"/>
      <c r="H33" s="7"/>
      <c r="I33" s="7"/>
    </row>
    <row r="34" spans="1:9" x14ac:dyDescent="0.25">
      <c r="A34" s="7"/>
      <c r="B34" s="13"/>
      <c r="C34" s="13"/>
      <c r="D34" s="13"/>
      <c r="E34" s="7"/>
      <c r="F34" s="7"/>
      <c r="G34" s="7"/>
      <c r="H34" s="7"/>
      <c r="I34" s="7"/>
    </row>
    <row r="35" spans="1:9" x14ac:dyDescent="0.25">
      <c r="A35" s="7"/>
      <c r="B35" s="13"/>
      <c r="C35" s="13"/>
      <c r="D35" s="13"/>
      <c r="E35" s="7"/>
      <c r="F35" s="7"/>
      <c r="G35" s="7"/>
      <c r="H35" s="7"/>
      <c r="I35" s="7"/>
    </row>
  </sheetData>
  <mergeCells count="3">
    <mergeCell ref="A2:D2"/>
    <mergeCell ref="A4:D4"/>
    <mergeCell ref="A1:D1"/>
  </mergeCells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2230-56CE-448D-89D4-E5368BCDF4B8}">
  <dimension ref="A1:E34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420" t="s">
        <v>731</v>
      </c>
      <c r="B1" s="420"/>
      <c r="C1" s="420"/>
      <c r="D1" s="420"/>
      <c r="E1" s="420"/>
    </row>
    <row r="2" spans="1:5" ht="15.75" x14ac:dyDescent="0.3">
      <c r="A2" s="427" t="str">
        <f>'[3]1.'!A1</f>
        <v>Ják Község  Önkormányzata 2021. évi költségvetése</v>
      </c>
      <c r="B2" s="428"/>
      <c r="C2" s="428"/>
      <c r="D2" s="442"/>
      <c r="E2" s="442"/>
    </row>
    <row r="3" spans="1:5" ht="15.75" x14ac:dyDescent="0.3">
      <c r="A3" s="429" t="s">
        <v>510</v>
      </c>
      <c r="B3" s="428"/>
      <c r="C3" s="428"/>
      <c r="D3" s="442"/>
      <c r="E3" s="442"/>
    </row>
    <row r="4" spans="1:5" ht="18.75" x14ac:dyDescent="0.3">
      <c r="A4" s="229"/>
      <c r="B4" s="230"/>
      <c r="C4" s="230"/>
    </row>
    <row r="5" spans="1:5" ht="15.75" thickBot="1" x14ac:dyDescent="0.3">
      <c r="A5" s="7"/>
      <c r="B5" s="132"/>
      <c r="C5" s="231"/>
      <c r="D5" s="155"/>
    </row>
    <row r="6" spans="1:5" x14ac:dyDescent="0.25">
      <c r="A6" s="10" t="s">
        <v>191</v>
      </c>
      <c r="B6" s="156" t="s">
        <v>32</v>
      </c>
      <c r="C6" s="232" t="s">
        <v>37</v>
      </c>
      <c r="D6" s="233" t="s">
        <v>38</v>
      </c>
      <c r="E6" s="232" t="s">
        <v>39</v>
      </c>
    </row>
    <row r="7" spans="1:5" x14ac:dyDescent="0.25">
      <c r="A7" s="234" t="s">
        <v>138</v>
      </c>
      <c r="B7" s="162" t="s">
        <v>139</v>
      </c>
      <c r="C7" s="235"/>
      <c r="D7" s="235"/>
      <c r="E7" s="235"/>
    </row>
    <row r="8" spans="1:5" x14ac:dyDescent="0.25">
      <c r="A8" s="234" t="s">
        <v>511</v>
      </c>
      <c r="B8" s="162" t="s">
        <v>141</v>
      </c>
      <c r="C8" s="235"/>
      <c r="D8" s="235"/>
      <c r="E8" s="235"/>
    </row>
    <row r="9" spans="1:5" x14ac:dyDescent="0.25">
      <c r="A9" s="236" t="s">
        <v>512</v>
      </c>
      <c r="B9" s="237" t="s">
        <v>143</v>
      </c>
      <c r="C9" s="235"/>
      <c r="D9" s="235"/>
      <c r="E9" s="235"/>
    </row>
    <row r="10" spans="1:5" x14ac:dyDescent="0.25">
      <c r="A10" s="236" t="s">
        <v>513</v>
      </c>
      <c r="B10" s="237" t="s">
        <v>143</v>
      </c>
      <c r="C10" s="235"/>
      <c r="D10" s="235"/>
      <c r="E10" s="235"/>
    </row>
    <row r="11" spans="1:5" x14ac:dyDescent="0.25">
      <c r="A11" s="236" t="s">
        <v>514</v>
      </c>
      <c r="B11" s="237" t="s">
        <v>143</v>
      </c>
      <c r="C11" s="235"/>
      <c r="D11" s="235"/>
      <c r="E11" s="235"/>
    </row>
    <row r="12" spans="1:5" x14ac:dyDescent="0.25">
      <c r="A12" s="236" t="s">
        <v>515</v>
      </c>
      <c r="B12" s="237" t="s">
        <v>143</v>
      </c>
      <c r="C12" s="235"/>
      <c r="D12" s="235"/>
      <c r="E12" s="235"/>
    </row>
    <row r="13" spans="1:5" x14ac:dyDescent="0.25">
      <c r="A13" s="236" t="s">
        <v>516</v>
      </c>
      <c r="B13" s="237" t="s">
        <v>143</v>
      </c>
      <c r="C13" s="235"/>
      <c r="D13" s="235"/>
      <c r="E13" s="235"/>
    </row>
    <row r="14" spans="1:5" x14ac:dyDescent="0.25">
      <c r="A14" s="236" t="s">
        <v>517</v>
      </c>
      <c r="B14" s="237" t="s">
        <v>143</v>
      </c>
      <c r="C14" s="235"/>
      <c r="D14" s="235"/>
      <c r="E14" s="235"/>
    </row>
    <row r="15" spans="1:5" x14ac:dyDescent="0.25">
      <c r="A15" s="236" t="s">
        <v>518</v>
      </c>
      <c r="B15" s="237" t="s">
        <v>143</v>
      </c>
      <c r="C15" s="235"/>
      <c r="D15" s="235"/>
      <c r="E15" s="235"/>
    </row>
    <row r="16" spans="1:5" x14ac:dyDescent="0.25">
      <c r="A16" s="236" t="s">
        <v>519</v>
      </c>
      <c r="B16" s="237" t="s">
        <v>143</v>
      </c>
      <c r="C16" s="235">
        <f>'[3]2.'!O58</f>
        <v>4500000</v>
      </c>
      <c r="D16" s="235">
        <v>4500000</v>
      </c>
      <c r="E16" s="235"/>
    </row>
    <row r="17" spans="1:5" x14ac:dyDescent="0.25">
      <c r="A17" s="236" t="s">
        <v>520</v>
      </c>
      <c r="B17" s="237" t="s">
        <v>143</v>
      </c>
      <c r="C17" s="235"/>
      <c r="D17" s="235"/>
      <c r="E17" s="235"/>
    </row>
    <row r="18" spans="1:5" x14ac:dyDescent="0.25">
      <c r="A18" s="236" t="s">
        <v>521</v>
      </c>
      <c r="B18" s="237" t="s">
        <v>143</v>
      </c>
      <c r="C18" s="235"/>
      <c r="D18" s="235"/>
      <c r="E18" s="235"/>
    </row>
    <row r="19" spans="1:5" x14ac:dyDescent="0.25">
      <c r="A19" s="234" t="s">
        <v>522</v>
      </c>
      <c r="B19" s="162" t="s">
        <v>143</v>
      </c>
      <c r="C19" s="238"/>
      <c r="D19" s="238"/>
      <c r="E19" s="238"/>
    </row>
    <row r="20" spans="1:5" x14ac:dyDescent="0.25">
      <c r="A20" s="234" t="s">
        <v>523</v>
      </c>
      <c r="B20" s="162" t="s">
        <v>524</v>
      </c>
      <c r="C20" s="235"/>
      <c r="D20" s="235"/>
      <c r="E20" s="235"/>
    </row>
    <row r="21" spans="1:5" x14ac:dyDescent="0.25">
      <c r="A21" s="161" t="s">
        <v>525</v>
      </c>
      <c r="B21" s="162" t="s">
        <v>526</v>
      </c>
      <c r="C21" s="235"/>
      <c r="D21" s="235"/>
      <c r="E21" s="235"/>
    </row>
    <row r="22" spans="1:5" x14ac:dyDescent="0.25">
      <c r="A22" s="161" t="s">
        <v>527</v>
      </c>
      <c r="B22" s="162" t="s">
        <v>145</v>
      </c>
      <c r="C22" s="235">
        <f>'[3]2.'!O59</f>
        <v>3500000</v>
      </c>
      <c r="D22" s="235">
        <v>3500000</v>
      </c>
      <c r="E22" s="235"/>
    </row>
    <row r="23" spans="1:5" x14ac:dyDescent="0.25">
      <c r="A23" s="234" t="s">
        <v>528</v>
      </c>
      <c r="B23" s="162" t="s">
        <v>529</v>
      </c>
      <c r="C23" s="235"/>
      <c r="D23" s="235"/>
      <c r="E23" s="235"/>
    </row>
    <row r="24" spans="1:5" x14ac:dyDescent="0.25">
      <c r="A24" s="234" t="s">
        <v>530</v>
      </c>
      <c r="B24" s="162" t="s">
        <v>531</v>
      </c>
      <c r="C24" s="235"/>
      <c r="D24" s="235"/>
      <c r="E24" s="235"/>
    </row>
    <row r="25" spans="1:5" x14ac:dyDescent="0.25">
      <c r="A25" s="234" t="s">
        <v>532</v>
      </c>
      <c r="B25" s="162" t="s">
        <v>533</v>
      </c>
      <c r="C25" s="235"/>
      <c r="D25" s="235"/>
      <c r="E25" s="235"/>
    </row>
    <row r="26" spans="1:5" x14ac:dyDescent="0.25">
      <c r="A26" s="234" t="s">
        <v>534</v>
      </c>
      <c r="B26" s="162" t="s">
        <v>535</v>
      </c>
      <c r="C26" s="235"/>
      <c r="D26" s="235"/>
      <c r="E26" s="235"/>
    </row>
    <row r="27" spans="1:5" x14ac:dyDescent="0.25">
      <c r="A27" s="161" t="s">
        <v>176</v>
      </c>
      <c r="B27" s="162" t="s">
        <v>177</v>
      </c>
      <c r="C27" s="235"/>
      <c r="D27" s="235"/>
      <c r="E27" s="235"/>
    </row>
    <row r="28" spans="1:5" x14ac:dyDescent="0.25">
      <c r="C28" s="2"/>
      <c r="D28" s="2"/>
      <c r="E28" s="2"/>
    </row>
    <row r="29" spans="1:5" x14ac:dyDescent="0.25">
      <c r="A29" s="239" t="s">
        <v>536</v>
      </c>
      <c r="C29" s="2"/>
      <c r="D29" s="2"/>
      <c r="E29" s="2"/>
    </row>
    <row r="30" spans="1:5" x14ac:dyDescent="0.25">
      <c r="A30" s="239" t="s">
        <v>537</v>
      </c>
      <c r="C30" s="2"/>
      <c r="D30" s="2"/>
      <c r="E30" s="2"/>
    </row>
    <row r="31" spans="1:5" x14ac:dyDescent="0.25">
      <c r="A31" t="s">
        <v>538</v>
      </c>
      <c r="C31" s="2"/>
      <c r="D31" s="2"/>
      <c r="E31" s="2"/>
    </row>
    <row r="32" spans="1:5" x14ac:dyDescent="0.25">
      <c r="A32" t="s">
        <v>539</v>
      </c>
      <c r="C32" s="2"/>
      <c r="D32" s="2"/>
      <c r="E32" s="2"/>
    </row>
    <row r="33" spans="1:5" x14ac:dyDescent="0.25">
      <c r="A33" s="155"/>
      <c r="C33" s="3"/>
      <c r="D33" s="2"/>
      <c r="E33" s="2"/>
    </row>
    <row r="34" spans="1:5" x14ac:dyDescent="0.25">
      <c r="C34" s="2"/>
      <c r="D34" s="2"/>
      <c r="E34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7097-9D6B-4D59-BC5D-8A5F7B586CE5}">
  <dimension ref="A1:E28"/>
  <sheetViews>
    <sheetView workbookViewId="0">
      <selection sqref="A1:E1"/>
    </sheetView>
  </sheetViews>
  <sheetFormatPr defaultRowHeight="15" x14ac:dyDescent="0.25"/>
  <cols>
    <col min="1" max="1" width="76.5703125" customWidth="1"/>
    <col min="3" max="3" width="13" style="2" customWidth="1"/>
    <col min="4" max="4" width="12.7109375" style="2" customWidth="1"/>
    <col min="5" max="5" width="12.28515625" style="2" customWidth="1"/>
  </cols>
  <sheetData>
    <row r="1" spans="1:5" x14ac:dyDescent="0.25">
      <c r="A1" s="420" t="s">
        <v>732</v>
      </c>
      <c r="B1" s="420"/>
      <c r="C1" s="420"/>
      <c r="D1" s="420"/>
      <c r="E1" s="420"/>
    </row>
    <row r="2" spans="1:5" ht="15.75" x14ac:dyDescent="0.3">
      <c r="A2" s="427" t="str">
        <f>'[3]1.'!A1</f>
        <v>Ják Község  Önkormányzata 2021. évi költségvetése</v>
      </c>
      <c r="B2" s="428"/>
      <c r="C2" s="428"/>
      <c r="D2" s="442"/>
      <c r="E2" s="442"/>
    </row>
    <row r="3" spans="1:5" ht="15.75" x14ac:dyDescent="0.3">
      <c r="A3" s="429" t="s">
        <v>540</v>
      </c>
      <c r="B3" s="428"/>
      <c r="C3" s="428"/>
    </row>
    <row r="4" spans="1:5" ht="18.75" x14ac:dyDescent="0.3">
      <c r="A4" s="229"/>
      <c r="B4" s="230"/>
      <c r="C4" s="240"/>
    </row>
    <row r="5" spans="1:5" ht="15.75" thickBot="1" x14ac:dyDescent="0.3">
      <c r="A5" s="7"/>
      <c r="B5" s="132"/>
      <c r="D5" s="3"/>
    </row>
    <row r="6" spans="1:5" ht="25.5" x14ac:dyDescent="0.25">
      <c r="A6" s="10" t="s">
        <v>191</v>
      </c>
      <c r="B6" s="156" t="s">
        <v>32</v>
      </c>
      <c r="C6" s="241" t="s">
        <v>37</v>
      </c>
      <c r="D6" s="242" t="s">
        <v>38</v>
      </c>
      <c r="E6" s="241" t="s">
        <v>39</v>
      </c>
    </row>
    <row r="7" spans="1:5" ht="25.5" x14ac:dyDescent="0.25">
      <c r="A7" s="243" t="s">
        <v>382</v>
      </c>
      <c r="B7" s="162" t="s">
        <v>383</v>
      </c>
      <c r="C7" s="235"/>
      <c r="D7" s="235"/>
      <c r="E7" s="235"/>
    </row>
    <row r="8" spans="1:5" ht="25.5" x14ac:dyDescent="0.25">
      <c r="A8" s="243" t="s">
        <v>541</v>
      </c>
      <c r="B8" s="162" t="s">
        <v>385</v>
      </c>
      <c r="C8" s="235"/>
      <c r="D8" s="235"/>
      <c r="E8" s="235"/>
    </row>
    <row r="9" spans="1:5" x14ac:dyDescent="0.25">
      <c r="A9" s="236" t="s">
        <v>542</v>
      </c>
      <c r="B9" s="237" t="s">
        <v>387</v>
      </c>
      <c r="C9" s="235">
        <f>3769920+1390650+2202854</f>
        <v>7363424</v>
      </c>
      <c r="D9" s="235">
        <f>C9</f>
        <v>7363424</v>
      </c>
      <c r="E9" s="235"/>
    </row>
    <row r="10" spans="1:5" x14ac:dyDescent="0.25">
      <c r="A10" s="236" t="s">
        <v>543</v>
      </c>
      <c r="B10" s="237" t="s">
        <v>387</v>
      </c>
      <c r="C10" s="235"/>
      <c r="D10" s="235"/>
      <c r="E10" s="235"/>
    </row>
    <row r="11" spans="1:5" x14ac:dyDescent="0.25">
      <c r="A11" s="236" t="s">
        <v>544</v>
      </c>
      <c r="B11" s="237" t="s">
        <v>387</v>
      </c>
      <c r="C11" s="235"/>
      <c r="D11" s="235"/>
      <c r="E11" s="235"/>
    </row>
    <row r="12" spans="1:5" x14ac:dyDescent="0.25">
      <c r="A12" s="236" t="s">
        <v>545</v>
      </c>
      <c r="B12" s="237" t="s">
        <v>387</v>
      </c>
      <c r="C12" s="235">
        <v>1900000</v>
      </c>
      <c r="D12" s="235">
        <f>C12</f>
        <v>1900000</v>
      </c>
      <c r="E12" s="235"/>
    </row>
    <row r="13" spans="1:5" x14ac:dyDescent="0.25">
      <c r="A13" s="236" t="s">
        <v>546</v>
      </c>
      <c r="B13" s="237" t="s">
        <v>387</v>
      </c>
      <c r="C13" s="235">
        <v>11000000</v>
      </c>
      <c r="D13" s="235">
        <f>C13</f>
        <v>11000000</v>
      </c>
      <c r="E13" s="235"/>
    </row>
    <row r="14" spans="1:5" x14ac:dyDescent="0.25">
      <c r="A14" s="236" t="s">
        <v>547</v>
      </c>
      <c r="B14" s="237" t="s">
        <v>387</v>
      </c>
      <c r="C14" s="235"/>
      <c r="D14" s="235"/>
      <c r="E14" s="235"/>
    </row>
    <row r="15" spans="1:5" x14ac:dyDescent="0.25">
      <c r="A15" s="236" t="s">
        <v>548</v>
      </c>
      <c r="B15" s="237" t="s">
        <v>387</v>
      </c>
      <c r="C15" s="235">
        <f>1316736+4000000</f>
        <v>5316736</v>
      </c>
      <c r="D15" s="235">
        <f>C15</f>
        <v>5316736</v>
      </c>
      <c r="E15" s="235"/>
    </row>
    <row r="16" spans="1:5" x14ac:dyDescent="0.25">
      <c r="A16" s="236" t="s">
        <v>549</v>
      </c>
      <c r="B16" s="237" t="s">
        <v>387</v>
      </c>
      <c r="C16" s="235"/>
      <c r="D16" s="235"/>
      <c r="E16" s="235"/>
    </row>
    <row r="17" spans="1:5" x14ac:dyDescent="0.25">
      <c r="A17" s="236" t="s">
        <v>550</v>
      </c>
      <c r="B17" s="237" t="s">
        <v>387</v>
      </c>
      <c r="C17" s="235"/>
      <c r="D17" s="235"/>
      <c r="E17" s="235"/>
    </row>
    <row r="18" spans="1:5" x14ac:dyDescent="0.25">
      <c r="A18" s="236" t="s">
        <v>551</v>
      </c>
      <c r="B18" s="237" t="s">
        <v>387</v>
      </c>
      <c r="C18" s="235"/>
      <c r="D18" s="235"/>
      <c r="E18" s="235"/>
    </row>
    <row r="19" spans="1:5" x14ac:dyDescent="0.25">
      <c r="A19" s="243" t="s">
        <v>552</v>
      </c>
      <c r="B19" s="162" t="s">
        <v>387</v>
      </c>
      <c r="C19" s="238">
        <f>SUM(C9:C18)</f>
        <v>25580160</v>
      </c>
      <c r="D19" s="238">
        <f>SUM(D9:D18)</f>
        <v>25580160</v>
      </c>
      <c r="E19" s="238"/>
    </row>
    <row r="20" spans="1:5" x14ac:dyDescent="0.25">
      <c r="A20" s="243" t="s">
        <v>553</v>
      </c>
      <c r="B20" s="162" t="s">
        <v>447</v>
      </c>
      <c r="C20" s="238"/>
      <c r="D20" s="238"/>
      <c r="E20" s="238"/>
    </row>
    <row r="21" spans="1:5" ht="25.5" x14ac:dyDescent="0.25">
      <c r="A21" s="243" t="s">
        <v>554</v>
      </c>
      <c r="B21" s="162" t="s">
        <v>451</v>
      </c>
      <c r="C21" s="235"/>
      <c r="D21" s="235"/>
      <c r="E21" s="235"/>
    </row>
    <row r="22" spans="1:5" ht="25.5" x14ac:dyDescent="0.25">
      <c r="A22" s="243" t="s">
        <v>555</v>
      </c>
      <c r="B22" s="162" t="s">
        <v>453</v>
      </c>
      <c r="C22" s="235"/>
      <c r="D22" s="235"/>
      <c r="E22" s="235"/>
    </row>
    <row r="23" spans="1:5" x14ac:dyDescent="0.25">
      <c r="A23" s="236" t="s">
        <v>542</v>
      </c>
      <c r="B23" s="237" t="s">
        <v>455</v>
      </c>
      <c r="C23" s="235"/>
      <c r="D23" s="235"/>
      <c r="E23" s="235"/>
    </row>
    <row r="24" spans="1:5" x14ac:dyDescent="0.25">
      <c r="A24" s="243" t="s">
        <v>454</v>
      </c>
      <c r="B24" s="162" t="s">
        <v>455</v>
      </c>
      <c r="C24" s="238">
        <v>88107097</v>
      </c>
      <c r="D24" s="238">
        <f>C24+2819572</f>
        <v>90926669</v>
      </c>
      <c r="E24" s="238"/>
    </row>
    <row r="25" spans="1:5" ht="25.5" x14ac:dyDescent="0.25">
      <c r="A25" s="243" t="s">
        <v>556</v>
      </c>
      <c r="B25" s="162" t="s">
        <v>557</v>
      </c>
      <c r="C25" s="235"/>
      <c r="D25" s="235"/>
      <c r="E25" s="235"/>
    </row>
    <row r="26" spans="1:5" x14ac:dyDescent="0.25">
      <c r="A26" s="161" t="s">
        <v>558</v>
      </c>
      <c r="B26" s="162" t="s">
        <v>559</v>
      </c>
      <c r="C26" s="235"/>
      <c r="D26" s="235"/>
      <c r="E26" s="235"/>
    </row>
    <row r="27" spans="1:5" ht="25.5" x14ac:dyDescent="0.25">
      <c r="A27" s="243" t="s">
        <v>560</v>
      </c>
      <c r="B27" s="162" t="s">
        <v>477</v>
      </c>
      <c r="C27" s="235"/>
      <c r="D27" s="235"/>
      <c r="E27" s="235"/>
    </row>
    <row r="28" spans="1:5" x14ac:dyDescent="0.25">
      <c r="A28" s="161" t="s">
        <v>561</v>
      </c>
      <c r="B28" s="162" t="s">
        <v>479</v>
      </c>
      <c r="C28" s="238">
        <v>1100882</v>
      </c>
      <c r="D28" s="235">
        <f>C28</f>
        <v>1100882</v>
      </c>
      <c r="E28" s="235"/>
    </row>
  </sheetData>
  <mergeCells count="3">
    <mergeCell ref="A1:E1"/>
    <mergeCell ref="A2:E2"/>
    <mergeCell ref="A3:C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BB26-3D00-4BF0-A1FD-0EE02E15B1CD}">
  <dimension ref="A1:D10"/>
  <sheetViews>
    <sheetView workbookViewId="0">
      <selection sqref="A1:D1"/>
    </sheetView>
  </sheetViews>
  <sheetFormatPr defaultRowHeight="15" x14ac:dyDescent="0.25"/>
  <cols>
    <col min="1" max="1" width="38.7109375" customWidth="1"/>
    <col min="2" max="2" width="13" customWidth="1"/>
    <col min="3" max="3" width="18.42578125" customWidth="1"/>
    <col min="4" max="4" width="17.140625" customWidth="1"/>
  </cols>
  <sheetData>
    <row r="1" spans="1:4" x14ac:dyDescent="0.25">
      <c r="A1" s="420" t="s">
        <v>733</v>
      </c>
      <c r="B1" s="420"/>
      <c r="C1" s="420"/>
      <c r="D1" s="420"/>
    </row>
    <row r="2" spans="1:4" x14ac:dyDescent="0.25">
      <c r="C2" s="244"/>
    </row>
    <row r="3" spans="1:4" ht="15.75" customHeight="1" x14ac:dyDescent="0.3">
      <c r="A3" s="427" t="str">
        <f>'[3]1.'!A1</f>
        <v>Ják Község  Önkormányzata 2021. évi költségvetése</v>
      </c>
      <c r="B3" s="427"/>
      <c r="C3" s="427"/>
      <c r="D3" s="427"/>
    </row>
    <row r="4" spans="1:4" ht="33" customHeight="1" x14ac:dyDescent="0.25">
      <c r="A4" s="443" t="s">
        <v>562</v>
      </c>
      <c r="B4" s="443"/>
      <c r="C4" s="443"/>
      <c r="D4" s="443"/>
    </row>
    <row r="5" spans="1:4" ht="18.75" x14ac:dyDescent="0.25">
      <c r="A5" s="245"/>
      <c r="B5" s="230"/>
      <c r="C5" s="230"/>
    </row>
    <row r="6" spans="1:4" ht="15.75" thickBot="1" x14ac:dyDescent="0.3">
      <c r="A6" s="7" t="s">
        <v>563</v>
      </c>
      <c r="C6" s="132"/>
    </row>
    <row r="7" spans="1:4" ht="30" x14ac:dyDescent="0.25">
      <c r="A7" s="10" t="s">
        <v>191</v>
      </c>
      <c r="B7" s="156" t="s">
        <v>564</v>
      </c>
      <c r="C7" s="246" t="s">
        <v>565</v>
      </c>
      <c r="D7" s="246" t="s">
        <v>566</v>
      </c>
    </row>
    <row r="8" spans="1:4" ht="30" x14ac:dyDescent="0.25">
      <c r="A8" s="247" t="s">
        <v>567</v>
      </c>
      <c r="B8" s="248" t="s">
        <v>185</v>
      </c>
      <c r="C8" s="9">
        <f>SUM('[3]2.'!O81)/1000</f>
        <v>0</v>
      </c>
      <c r="D8" s="9"/>
    </row>
    <row r="9" spans="1:4" ht="30" x14ac:dyDescent="0.25">
      <c r="A9" s="247" t="s">
        <v>568</v>
      </c>
      <c r="B9" s="248" t="s">
        <v>187</v>
      </c>
      <c r="C9" s="9">
        <f>79924955+87840520+112162697</f>
        <v>279928172</v>
      </c>
      <c r="D9" s="9">
        <v>279928172</v>
      </c>
    </row>
    <row r="10" spans="1:4" x14ac:dyDescent="0.25">
      <c r="A10" s="10" t="s">
        <v>569</v>
      </c>
      <c r="B10" s="10"/>
      <c r="C10" s="11">
        <f>C9+C8</f>
        <v>279928172</v>
      </c>
      <c r="D10" s="11">
        <f>D9+D8</f>
        <v>279928172</v>
      </c>
    </row>
  </sheetData>
  <mergeCells count="3">
    <mergeCell ref="A1:D1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640D-897C-42DF-BCA5-E88566BB2DB3}">
  <dimension ref="A1:D34"/>
  <sheetViews>
    <sheetView workbookViewId="0">
      <selection sqref="A1:D1"/>
    </sheetView>
  </sheetViews>
  <sheetFormatPr defaultRowHeight="15" x14ac:dyDescent="0.25"/>
  <cols>
    <col min="1" max="1" width="32.7109375" customWidth="1"/>
    <col min="2" max="2" width="12.28515625" customWidth="1"/>
    <col min="3" max="3" width="17.42578125" style="2" customWidth="1"/>
    <col min="4" max="4" width="18.28515625" style="2" customWidth="1"/>
  </cols>
  <sheetData>
    <row r="1" spans="1:4" x14ac:dyDescent="0.25">
      <c r="A1" s="420" t="s">
        <v>734</v>
      </c>
      <c r="B1" s="420"/>
      <c r="C1" s="420"/>
      <c r="D1" s="420"/>
    </row>
    <row r="3" spans="1:4" ht="15.75" customHeight="1" x14ac:dyDescent="0.3">
      <c r="A3" s="427" t="str">
        <f>'[3]1.'!A1</f>
        <v>Ják Község  Önkormányzata 2021. évi költségvetése</v>
      </c>
      <c r="B3" s="427"/>
      <c r="C3" s="427"/>
      <c r="D3" s="427"/>
    </row>
    <row r="4" spans="1:4" ht="29.25" customHeight="1" x14ac:dyDescent="0.25">
      <c r="A4" s="396" t="s">
        <v>570</v>
      </c>
      <c r="B4" s="396"/>
      <c r="C4" s="396"/>
      <c r="D4" s="396"/>
    </row>
    <row r="5" spans="1:4" ht="15.75" thickBot="1" x14ac:dyDescent="0.3">
      <c r="B5" s="132"/>
    </row>
    <row r="6" spans="1:4" ht="30" x14ac:dyDescent="0.25">
      <c r="A6" s="10" t="s">
        <v>191</v>
      </c>
      <c r="B6" s="156" t="s">
        <v>571</v>
      </c>
      <c r="C6" s="6" t="s">
        <v>572</v>
      </c>
      <c r="D6" s="6" t="s">
        <v>573</v>
      </c>
    </row>
    <row r="7" spans="1:4" x14ac:dyDescent="0.25">
      <c r="A7" s="248" t="s">
        <v>574</v>
      </c>
      <c r="B7" s="248" t="s">
        <v>400</v>
      </c>
      <c r="C7" s="9"/>
      <c r="D7" s="9"/>
    </row>
    <row r="8" spans="1:4" x14ac:dyDescent="0.25">
      <c r="A8" s="248" t="s">
        <v>575</v>
      </c>
      <c r="B8" s="248" t="s">
        <v>400</v>
      </c>
      <c r="C8" s="9">
        <v>350000</v>
      </c>
      <c r="D8" s="9">
        <f>C8</f>
        <v>350000</v>
      </c>
    </row>
    <row r="9" spans="1:4" x14ac:dyDescent="0.25">
      <c r="A9" s="248" t="s">
        <v>576</v>
      </c>
      <c r="B9" s="248" t="s">
        <v>400</v>
      </c>
      <c r="C9" s="9">
        <v>7500000</v>
      </c>
      <c r="D9" s="9">
        <f t="shared" ref="D9:D10" si="0">C9</f>
        <v>7500000</v>
      </c>
    </row>
    <row r="10" spans="1:4" x14ac:dyDescent="0.25">
      <c r="A10" s="248" t="s">
        <v>577</v>
      </c>
      <c r="B10" s="248" t="s">
        <v>400</v>
      </c>
      <c r="C10" s="9">
        <v>2500000</v>
      </c>
      <c r="D10" s="9">
        <f t="shared" si="0"/>
        <v>2500000</v>
      </c>
    </row>
    <row r="11" spans="1:4" x14ac:dyDescent="0.25">
      <c r="A11" s="243" t="s">
        <v>399</v>
      </c>
      <c r="B11" s="162" t="s">
        <v>400</v>
      </c>
      <c r="C11" s="11">
        <f>SUM(C7:C10)</f>
        <v>10350000</v>
      </c>
      <c r="D11" s="11">
        <f>SUM(D7:D10)</f>
        <v>10350000</v>
      </c>
    </row>
    <row r="12" spans="1:4" x14ac:dyDescent="0.25">
      <c r="A12" s="248" t="s">
        <v>401</v>
      </c>
      <c r="B12" s="237" t="s">
        <v>402</v>
      </c>
      <c r="C12" s="11">
        <f>SUM(C13:C14)</f>
        <v>42000000</v>
      </c>
      <c r="D12" s="11">
        <f>SUM(D13:D14)</f>
        <v>42000000</v>
      </c>
    </row>
    <row r="13" spans="1:4" ht="38.25" x14ac:dyDescent="0.25">
      <c r="A13" s="249" t="s">
        <v>578</v>
      </c>
      <c r="B13" s="249" t="s">
        <v>402</v>
      </c>
      <c r="C13" s="9">
        <v>42000000</v>
      </c>
      <c r="D13" s="9">
        <f>C13</f>
        <v>42000000</v>
      </c>
    </row>
    <row r="14" spans="1:4" ht="38.25" x14ac:dyDescent="0.25">
      <c r="A14" s="249" t="s">
        <v>579</v>
      </c>
      <c r="B14" s="249" t="s">
        <v>402</v>
      </c>
      <c r="C14" s="9"/>
      <c r="D14" s="9"/>
    </row>
    <row r="15" spans="1:4" x14ac:dyDescent="0.25">
      <c r="A15" s="248" t="s">
        <v>407</v>
      </c>
      <c r="B15" s="237" t="s">
        <v>408</v>
      </c>
      <c r="C15" s="9"/>
      <c r="D15" s="9"/>
    </row>
    <row r="16" spans="1:4" ht="25.5" x14ac:dyDescent="0.25">
      <c r="A16" s="249" t="s">
        <v>580</v>
      </c>
      <c r="B16" s="249" t="s">
        <v>408</v>
      </c>
      <c r="C16" s="9"/>
      <c r="D16" s="9"/>
    </row>
    <row r="17" spans="1:4" ht="25.5" x14ac:dyDescent="0.25">
      <c r="A17" s="250" t="s">
        <v>581</v>
      </c>
      <c r="B17" s="249" t="s">
        <v>408</v>
      </c>
      <c r="C17" s="11">
        <f>SUM(C15*0.4)</f>
        <v>0</v>
      </c>
      <c r="D17" s="11"/>
    </row>
    <row r="18" spans="1:4" x14ac:dyDescent="0.25">
      <c r="A18" s="249" t="s">
        <v>582</v>
      </c>
      <c r="B18" s="249" t="s">
        <v>408</v>
      </c>
      <c r="C18" s="9"/>
      <c r="D18" s="9"/>
    </row>
    <row r="19" spans="1:4" x14ac:dyDescent="0.25">
      <c r="A19" s="249" t="s">
        <v>583</v>
      </c>
      <c r="B19" s="249" t="s">
        <v>408</v>
      </c>
      <c r="C19" s="9"/>
      <c r="D19" s="9"/>
    </row>
    <row r="20" spans="1:4" ht="25.5" x14ac:dyDescent="0.25">
      <c r="A20" s="248" t="s">
        <v>584</v>
      </c>
      <c r="B20" s="237" t="s">
        <v>410</v>
      </c>
      <c r="C20" s="9"/>
      <c r="D20" s="9"/>
    </row>
    <row r="21" spans="1:4" ht="25.5" x14ac:dyDescent="0.25">
      <c r="A21" s="249" t="s">
        <v>585</v>
      </c>
      <c r="B21" s="249" t="s">
        <v>410</v>
      </c>
      <c r="C21" s="9"/>
      <c r="D21" s="9"/>
    </row>
    <row r="22" spans="1:4" x14ac:dyDescent="0.25">
      <c r="A22" s="249" t="s">
        <v>586</v>
      </c>
      <c r="B22" s="249" t="s">
        <v>410</v>
      </c>
      <c r="C22" s="9"/>
      <c r="D22" s="9"/>
    </row>
    <row r="23" spans="1:4" x14ac:dyDescent="0.25">
      <c r="A23" s="243" t="s">
        <v>411</v>
      </c>
      <c r="B23" s="162" t="s">
        <v>412</v>
      </c>
      <c r="C23" s="11">
        <f>SUM(C17,C12,C11)</f>
        <v>52350000</v>
      </c>
      <c r="D23" s="11">
        <f>SUM(D17,D12,D11)</f>
        <v>52350000</v>
      </c>
    </row>
    <row r="24" spans="1:4" x14ac:dyDescent="0.25">
      <c r="A24" s="248" t="s">
        <v>587</v>
      </c>
      <c r="B24" s="248" t="s">
        <v>414</v>
      </c>
      <c r="C24" s="9"/>
      <c r="D24" s="9"/>
    </row>
    <row r="25" spans="1:4" x14ac:dyDescent="0.25">
      <c r="A25" s="248" t="s">
        <v>588</v>
      </c>
      <c r="B25" s="248" t="s">
        <v>414</v>
      </c>
      <c r="C25" s="9"/>
      <c r="D25" s="9"/>
    </row>
    <row r="26" spans="1:4" x14ac:dyDescent="0.25">
      <c r="A26" s="248" t="s">
        <v>589</v>
      </c>
      <c r="B26" s="248" t="s">
        <v>414</v>
      </c>
      <c r="C26" s="9">
        <v>200000</v>
      </c>
      <c r="D26" s="9">
        <f>C26</f>
        <v>200000</v>
      </c>
    </row>
    <row r="27" spans="1:4" x14ac:dyDescent="0.25">
      <c r="A27" s="248" t="s">
        <v>590</v>
      </c>
      <c r="B27" s="248" t="s">
        <v>414</v>
      </c>
      <c r="C27" s="9"/>
      <c r="D27" s="9"/>
    </row>
    <row r="28" spans="1:4" x14ac:dyDescent="0.25">
      <c r="A28" s="248" t="s">
        <v>591</v>
      </c>
      <c r="B28" s="248" t="s">
        <v>414</v>
      </c>
      <c r="C28" s="9"/>
      <c r="D28" s="9"/>
    </row>
    <row r="29" spans="1:4" x14ac:dyDescent="0.25">
      <c r="A29" s="248" t="s">
        <v>592</v>
      </c>
      <c r="B29" s="248" t="s">
        <v>414</v>
      </c>
      <c r="C29" s="9"/>
      <c r="D29" s="9"/>
    </row>
    <row r="30" spans="1:4" x14ac:dyDescent="0.25">
      <c r="A30" s="248" t="s">
        <v>593</v>
      </c>
      <c r="B30" s="248" t="s">
        <v>414</v>
      </c>
      <c r="C30" s="9"/>
      <c r="D30" s="9"/>
    </row>
    <row r="31" spans="1:4" x14ac:dyDescent="0.25">
      <c r="A31" s="248" t="s">
        <v>594</v>
      </c>
      <c r="B31" s="248" t="s">
        <v>414</v>
      </c>
      <c r="C31" s="9"/>
      <c r="D31" s="9"/>
    </row>
    <row r="32" spans="1:4" ht="63.75" x14ac:dyDescent="0.25">
      <c r="A32" s="248" t="s">
        <v>595</v>
      </c>
      <c r="B32" s="248" t="s">
        <v>414</v>
      </c>
      <c r="C32" s="9"/>
      <c r="D32" s="9"/>
    </row>
    <row r="33" spans="1:4" x14ac:dyDescent="0.25">
      <c r="A33" s="248" t="s">
        <v>596</v>
      </c>
      <c r="B33" s="248" t="s">
        <v>414</v>
      </c>
      <c r="C33" s="9"/>
      <c r="D33" s="9"/>
    </row>
    <row r="34" spans="1:4" x14ac:dyDescent="0.25">
      <c r="A34" s="243" t="s">
        <v>413</v>
      </c>
      <c r="B34" s="162" t="s">
        <v>414</v>
      </c>
      <c r="C34" s="11">
        <f>SUM(C24:C33)</f>
        <v>200000</v>
      </c>
      <c r="D34" s="11">
        <f>SUM(D24:D33)</f>
        <v>200000</v>
      </c>
    </row>
  </sheetData>
  <mergeCells count="3">
    <mergeCell ref="A1:D1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9AE-3828-49EC-8C5D-8C629681D96E}">
  <dimension ref="A1:I25"/>
  <sheetViews>
    <sheetView workbookViewId="0">
      <selection sqref="A1:I1"/>
    </sheetView>
  </sheetViews>
  <sheetFormatPr defaultRowHeight="15" x14ac:dyDescent="0.25"/>
  <cols>
    <col min="2" max="2" width="33.42578125" customWidth="1"/>
    <col min="3" max="9" width="12.28515625" customWidth="1"/>
  </cols>
  <sheetData>
    <row r="1" spans="1:9" x14ac:dyDescent="0.25">
      <c r="A1" s="420" t="s">
        <v>735</v>
      </c>
      <c r="B1" s="420"/>
      <c r="C1" s="420"/>
      <c r="D1" s="420"/>
      <c r="E1" s="420"/>
      <c r="F1" s="420"/>
      <c r="G1" s="420"/>
      <c r="H1" s="420"/>
      <c r="I1" s="420"/>
    </row>
    <row r="2" spans="1:9" ht="15.75" x14ac:dyDescent="0.25">
      <c r="A2" s="446" t="s">
        <v>597</v>
      </c>
      <c r="B2" s="446"/>
      <c r="C2" s="446"/>
      <c r="D2" s="446"/>
      <c r="E2" s="446"/>
      <c r="F2" s="446"/>
      <c r="G2" s="446"/>
      <c r="H2" s="446"/>
      <c r="I2" s="446"/>
    </row>
    <row r="3" spans="1:9" ht="15.75" x14ac:dyDescent="0.25">
      <c r="A3" s="251"/>
      <c r="B3" s="251"/>
      <c r="C3" s="251"/>
      <c r="D3" s="251"/>
      <c r="E3" s="251"/>
      <c r="F3" s="252"/>
      <c r="G3" s="127"/>
      <c r="H3" s="251"/>
      <c r="I3" s="251"/>
    </row>
    <row r="4" spans="1:9" ht="15.75" thickBot="1" x14ac:dyDescent="0.3">
      <c r="A4" s="80"/>
      <c r="B4" s="79"/>
      <c r="C4" s="79"/>
      <c r="D4" s="79"/>
      <c r="E4" s="79"/>
      <c r="F4" s="79"/>
      <c r="G4" s="79"/>
      <c r="H4" s="79"/>
      <c r="I4" s="253" t="s">
        <v>598</v>
      </c>
    </row>
    <row r="5" spans="1:9" x14ac:dyDescent="0.25">
      <c r="A5" s="447" t="s">
        <v>199</v>
      </c>
      <c r="B5" s="449" t="s">
        <v>599</v>
      </c>
      <c r="C5" s="447" t="s">
        <v>600</v>
      </c>
      <c r="D5" s="447" t="s">
        <v>601</v>
      </c>
      <c r="E5" s="451" t="s">
        <v>602</v>
      </c>
      <c r="F5" s="452"/>
      <c r="G5" s="452"/>
      <c r="H5" s="453"/>
      <c r="I5" s="449" t="s">
        <v>603</v>
      </c>
    </row>
    <row r="6" spans="1:9" ht="15.75" thickBot="1" x14ac:dyDescent="0.3">
      <c r="A6" s="448"/>
      <c r="B6" s="450"/>
      <c r="C6" s="450"/>
      <c r="D6" s="448"/>
      <c r="E6" s="254">
        <v>2021</v>
      </c>
      <c r="F6" s="254">
        <v>2022</v>
      </c>
      <c r="G6" s="254">
        <v>2023</v>
      </c>
      <c r="H6" s="255">
        <v>2024</v>
      </c>
      <c r="I6" s="450"/>
    </row>
    <row r="7" spans="1:9" ht="15.75" thickBot="1" x14ac:dyDescent="0.3">
      <c r="A7" s="256">
        <v>1</v>
      </c>
      <c r="B7" s="257">
        <v>2</v>
      </c>
      <c r="C7" s="258">
        <v>3</v>
      </c>
      <c r="D7" s="257">
        <v>4</v>
      </c>
      <c r="E7" s="256">
        <v>5</v>
      </c>
      <c r="F7" s="258">
        <v>6</v>
      </c>
      <c r="G7" s="258">
        <v>7</v>
      </c>
      <c r="H7" s="259">
        <v>8</v>
      </c>
      <c r="I7" s="260" t="s">
        <v>604</v>
      </c>
    </row>
    <row r="8" spans="1:9" ht="23.25" thickBot="1" x14ac:dyDescent="0.3">
      <c r="A8" s="261" t="s">
        <v>206</v>
      </c>
      <c r="B8" s="262" t="s">
        <v>605</v>
      </c>
      <c r="C8" s="263"/>
      <c r="D8" s="264">
        <f>+D9+D10</f>
        <v>0</v>
      </c>
      <c r="E8" s="265">
        <f>+E9+E10</f>
        <v>0</v>
      </c>
      <c r="F8" s="266">
        <f>+F9+F10</f>
        <v>0</v>
      </c>
      <c r="G8" s="266">
        <f>+G9+G10</f>
        <v>0</v>
      </c>
      <c r="H8" s="267">
        <f>+H9+H10</f>
        <v>0</v>
      </c>
      <c r="I8" s="264">
        <f t="shared" ref="I8:I20" si="0">SUM(D8:H8)</f>
        <v>0</v>
      </c>
    </row>
    <row r="9" spans="1:9" x14ac:dyDescent="0.25">
      <c r="A9" s="268" t="s">
        <v>209</v>
      </c>
      <c r="B9" s="269" t="s">
        <v>606</v>
      </c>
      <c r="C9" s="270"/>
      <c r="D9" s="271"/>
      <c r="E9" s="272"/>
      <c r="F9" s="273"/>
      <c r="G9" s="273"/>
      <c r="H9" s="274"/>
      <c r="I9" s="275">
        <f t="shared" si="0"/>
        <v>0</v>
      </c>
    </row>
    <row r="10" spans="1:9" ht="15.75" thickBot="1" x14ac:dyDescent="0.3">
      <c r="A10" s="268" t="s">
        <v>203</v>
      </c>
      <c r="B10" s="269" t="s">
        <v>606</v>
      </c>
      <c r="C10" s="270"/>
      <c r="D10" s="271"/>
      <c r="E10" s="272"/>
      <c r="F10" s="273"/>
      <c r="G10" s="273"/>
      <c r="H10" s="274"/>
      <c r="I10" s="275">
        <f t="shared" si="0"/>
        <v>0</v>
      </c>
    </row>
    <row r="11" spans="1:9" ht="23.25" thickBot="1" x14ac:dyDescent="0.3">
      <c r="A11" s="261" t="s">
        <v>204</v>
      </c>
      <c r="B11" s="262" t="s">
        <v>607</v>
      </c>
      <c r="C11" s="276"/>
      <c r="D11" s="267">
        <f>D12+D14+D13</f>
        <v>9422975</v>
      </c>
      <c r="E11" s="267">
        <f>E12+E14+E13</f>
        <v>3000000</v>
      </c>
      <c r="F11" s="267">
        <f>F12+F14+F13</f>
        <v>3000000</v>
      </c>
      <c r="G11" s="267">
        <f>G12+G14+G13</f>
        <v>3000000</v>
      </c>
      <c r="H11" s="267">
        <f>H12+H14+H13</f>
        <v>3000000</v>
      </c>
      <c r="I11" s="264">
        <f>SUM(I12:I14)</f>
        <v>21422975</v>
      </c>
    </row>
    <row r="12" spans="1:9" x14ac:dyDescent="0.25">
      <c r="A12" s="268" t="s">
        <v>205</v>
      </c>
      <c r="B12" s="269" t="s">
        <v>606</v>
      </c>
      <c r="C12" s="270" t="s">
        <v>608</v>
      </c>
      <c r="D12" s="271">
        <v>4422975</v>
      </c>
      <c r="E12" s="272">
        <v>1000000</v>
      </c>
      <c r="F12" s="273">
        <v>1000000</v>
      </c>
      <c r="G12" s="273">
        <v>1000000</v>
      </c>
      <c r="H12" s="274">
        <v>1000000</v>
      </c>
      <c r="I12" s="275">
        <f t="shared" si="0"/>
        <v>8422975</v>
      </c>
    </row>
    <row r="13" spans="1:9" x14ac:dyDescent="0.25">
      <c r="A13" s="268" t="s">
        <v>217</v>
      </c>
      <c r="B13" s="269" t="s">
        <v>606</v>
      </c>
      <c r="C13" s="270" t="s">
        <v>609</v>
      </c>
      <c r="D13" s="271">
        <v>3000000</v>
      </c>
      <c r="E13" s="272">
        <v>1000000</v>
      </c>
      <c r="F13" s="273">
        <v>1000000</v>
      </c>
      <c r="G13" s="273">
        <v>1000000</v>
      </c>
      <c r="H13" s="274">
        <v>1000000</v>
      </c>
      <c r="I13" s="275">
        <f t="shared" si="0"/>
        <v>7000000</v>
      </c>
    </row>
    <row r="14" spans="1:9" ht="15.75" thickBot="1" x14ac:dyDescent="0.3">
      <c r="A14" s="268" t="s">
        <v>219</v>
      </c>
      <c r="B14" s="269" t="s">
        <v>606</v>
      </c>
      <c r="C14" s="270" t="s">
        <v>610</v>
      </c>
      <c r="D14" s="271">
        <v>2000000</v>
      </c>
      <c r="E14" s="272">
        <v>1000000</v>
      </c>
      <c r="F14" s="273">
        <v>1000000</v>
      </c>
      <c r="G14" s="273">
        <v>1000000</v>
      </c>
      <c r="H14" s="274">
        <v>1000000</v>
      </c>
      <c r="I14" s="275">
        <f t="shared" si="0"/>
        <v>6000000</v>
      </c>
    </row>
    <row r="15" spans="1:9" ht="15.75" thickBot="1" x14ac:dyDescent="0.3">
      <c r="A15" s="261" t="s">
        <v>221</v>
      </c>
      <c r="B15" s="262" t="s">
        <v>611</v>
      </c>
      <c r="C15" s="276"/>
      <c r="D15" s="264">
        <f>+D16</f>
        <v>0</v>
      </c>
      <c r="E15" s="265">
        <f>+E16</f>
        <v>0</v>
      </c>
      <c r="F15" s="266">
        <f>+F16</f>
        <v>0</v>
      </c>
      <c r="G15" s="266">
        <f>+G16</f>
        <v>0</v>
      </c>
      <c r="H15" s="267">
        <f>+H16</f>
        <v>0</v>
      </c>
      <c r="I15" s="264">
        <f t="shared" si="0"/>
        <v>0</v>
      </c>
    </row>
    <row r="16" spans="1:9" ht="15.75" thickBot="1" x14ac:dyDescent="0.3">
      <c r="A16" s="268" t="s">
        <v>222</v>
      </c>
      <c r="B16" s="269" t="s">
        <v>606</v>
      </c>
      <c r="C16" s="270"/>
      <c r="D16" s="271"/>
      <c r="E16" s="272"/>
      <c r="F16" s="273"/>
      <c r="G16" s="273"/>
      <c r="H16" s="274"/>
      <c r="I16" s="275">
        <f t="shared" si="0"/>
        <v>0</v>
      </c>
    </row>
    <row r="17" spans="1:9" ht="15.75" thickBot="1" x14ac:dyDescent="0.3">
      <c r="A17" s="261" t="s">
        <v>223</v>
      </c>
      <c r="B17" s="262" t="s">
        <v>612</v>
      </c>
      <c r="C17" s="276"/>
      <c r="D17" s="264">
        <f>+D18</f>
        <v>0</v>
      </c>
      <c r="E17" s="265">
        <f>+E18</f>
        <v>0</v>
      </c>
      <c r="F17" s="266">
        <f>+F18</f>
        <v>0</v>
      </c>
      <c r="G17" s="266">
        <f>+G18</f>
        <v>0</v>
      </c>
      <c r="H17" s="267">
        <f>+H18</f>
        <v>0</v>
      </c>
      <c r="I17" s="264">
        <f t="shared" si="0"/>
        <v>0</v>
      </c>
    </row>
    <row r="18" spans="1:9" ht="15.75" thickBot="1" x14ac:dyDescent="0.3">
      <c r="A18" s="277" t="s">
        <v>226</v>
      </c>
      <c r="B18" s="278" t="s">
        <v>606</v>
      </c>
      <c r="C18" s="279"/>
      <c r="D18" s="280"/>
      <c r="E18" s="281"/>
      <c r="F18" s="282"/>
      <c r="G18" s="282"/>
      <c r="H18" s="283"/>
      <c r="I18" s="284">
        <f t="shared" si="0"/>
        <v>0</v>
      </c>
    </row>
    <row r="19" spans="1:9" ht="15.75" thickBot="1" x14ac:dyDescent="0.3">
      <c r="A19" s="261" t="s">
        <v>229</v>
      </c>
      <c r="B19" s="262" t="s">
        <v>613</v>
      </c>
      <c r="C19" s="276"/>
      <c r="D19" s="264">
        <f>+D20</f>
        <v>0</v>
      </c>
      <c r="E19" s="265">
        <f>+E20</f>
        <v>0</v>
      </c>
      <c r="F19" s="266">
        <f>+F20</f>
        <v>0</v>
      </c>
      <c r="G19" s="266">
        <f>+G20</f>
        <v>0</v>
      </c>
      <c r="H19" s="267">
        <f>+H20</f>
        <v>0</v>
      </c>
      <c r="I19" s="264">
        <f t="shared" si="0"/>
        <v>0</v>
      </c>
    </row>
    <row r="20" spans="1:9" ht="15.75" thickBot="1" x14ac:dyDescent="0.3">
      <c r="A20" s="285" t="s">
        <v>232</v>
      </c>
      <c r="B20" s="286" t="s">
        <v>606</v>
      </c>
      <c r="C20" s="287"/>
      <c r="D20" s="288"/>
      <c r="E20" s="289"/>
      <c r="F20" s="290"/>
      <c r="G20" s="290"/>
      <c r="H20" s="291"/>
      <c r="I20" s="292">
        <f t="shared" si="0"/>
        <v>0</v>
      </c>
    </row>
    <row r="21" spans="1:9" ht="15.75" thickBot="1" x14ac:dyDescent="0.3">
      <c r="A21" s="444" t="s">
        <v>614</v>
      </c>
      <c r="B21" s="445"/>
      <c r="C21" s="293"/>
      <c r="D21" s="264">
        <f t="shared" ref="D21:I21" si="1">+D8+D11+D15+D17+D19</f>
        <v>9422975</v>
      </c>
      <c r="E21" s="265">
        <f t="shared" si="1"/>
        <v>3000000</v>
      </c>
      <c r="F21" s="266">
        <f t="shared" si="1"/>
        <v>3000000</v>
      </c>
      <c r="G21" s="266">
        <f t="shared" si="1"/>
        <v>3000000</v>
      </c>
      <c r="H21" s="267">
        <f t="shared" si="1"/>
        <v>3000000</v>
      </c>
      <c r="I21" s="264">
        <f t="shared" si="1"/>
        <v>21422975</v>
      </c>
    </row>
    <row r="23" spans="1:9" x14ac:dyDescent="0.25">
      <c r="A23" s="294" t="s">
        <v>615</v>
      </c>
      <c r="B23" t="s">
        <v>616</v>
      </c>
    </row>
    <row r="24" spans="1:9" x14ac:dyDescent="0.25">
      <c r="A24" s="294" t="s">
        <v>617</v>
      </c>
      <c r="B24" t="s">
        <v>618</v>
      </c>
    </row>
    <row r="25" spans="1:9" x14ac:dyDescent="0.25">
      <c r="A25" s="294" t="s">
        <v>619</v>
      </c>
      <c r="B25" t="s">
        <v>620</v>
      </c>
    </row>
  </sheetData>
  <mergeCells count="9">
    <mergeCell ref="A21:B21"/>
    <mergeCell ref="A1:I1"/>
    <mergeCell ref="A2:I2"/>
    <mergeCell ref="A5:A6"/>
    <mergeCell ref="B5:B6"/>
    <mergeCell ref="C5:C6"/>
    <mergeCell ref="D5:D6"/>
    <mergeCell ref="E5:H5"/>
    <mergeCell ref="I5:I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38A4-1175-494F-873D-DDC4FAEBD856}">
  <dimension ref="A1:C32"/>
  <sheetViews>
    <sheetView workbookViewId="0">
      <selection sqref="A1:C1"/>
    </sheetView>
  </sheetViews>
  <sheetFormatPr defaultRowHeight="15" x14ac:dyDescent="0.25"/>
  <cols>
    <col min="1" max="3" width="27.28515625" customWidth="1"/>
  </cols>
  <sheetData>
    <row r="1" spans="1:3" x14ac:dyDescent="0.25">
      <c r="A1" s="420" t="s">
        <v>736</v>
      </c>
      <c r="B1" s="420"/>
      <c r="C1" s="420"/>
    </row>
    <row r="2" spans="1:3" ht="15.75" x14ac:dyDescent="0.25">
      <c r="A2" s="454" t="s">
        <v>621</v>
      </c>
      <c r="B2" s="454"/>
      <c r="C2" s="454"/>
    </row>
    <row r="3" spans="1:3" ht="15.75" x14ac:dyDescent="0.25">
      <c r="A3" s="295"/>
      <c r="B3" s="295"/>
      <c r="C3" s="295"/>
    </row>
    <row r="4" spans="1:3" ht="16.5" thickBot="1" x14ac:dyDescent="0.3">
      <c r="A4" s="295"/>
      <c r="B4" s="455"/>
      <c r="C4" s="455"/>
    </row>
    <row r="5" spans="1:3" ht="24.75" thickBot="1" x14ac:dyDescent="0.3">
      <c r="A5" s="296" t="s">
        <v>622</v>
      </c>
      <c r="B5" s="297" t="s">
        <v>623</v>
      </c>
      <c r="C5" s="298" t="s">
        <v>624</v>
      </c>
    </row>
    <row r="6" spans="1:3" ht="15.75" thickBot="1" x14ac:dyDescent="0.3">
      <c r="A6" s="299">
        <v>2</v>
      </c>
      <c r="B6" s="300">
        <v>3</v>
      </c>
      <c r="C6" s="301">
        <v>4</v>
      </c>
    </row>
    <row r="7" spans="1:3" ht="33.75" x14ac:dyDescent="0.25">
      <c r="A7" s="302" t="s">
        <v>625</v>
      </c>
      <c r="B7" s="303"/>
      <c r="C7" s="304"/>
    </row>
    <row r="8" spans="1:3" ht="33.75" x14ac:dyDescent="0.25">
      <c r="A8" s="305" t="s">
        <v>626</v>
      </c>
      <c r="B8" s="306"/>
      <c r="C8" s="307"/>
    </row>
    <row r="9" spans="1:3" ht="22.5" x14ac:dyDescent="0.25">
      <c r="A9" s="305" t="s">
        <v>627</v>
      </c>
      <c r="B9" s="306"/>
      <c r="C9" s="307"/>
    </row>
    <row r="10" spans="1:3" ht="22.5" x14ac:dyDescent="0.25">
      <c r="A10" s="305" t="s">
        <v>628</v>
      </c>
      <c r="B10" s="306"/>
      <c r="C10" s="307"/>
    </row>
    <row r="11" spans="1:3" ht="22.5" x14ac:dyDescent="0.25">
      <c r="A11" s="305" t="s">
        <v>629</v>
      </c>
      <c r="B11" s="306"/>
      <c r="C11" s="307"/>
    </row>
    <row r="12" spans="1:3" x14ac:dyDescent="0.25">
      <c r="A12" s="305" t="s">
        <v>630</v>
      </c>
      <c r="B12" s="306"/>
      <c r="C12" s="307"/>
    </row>
    <row r="13" spans="1:3" x14ac:dyDescent="0.25">
      <c r="A13" s="308" t="s">
        <v>631</v>
      </c>
      <c r="B13" s="306"/>
      <c r="C13" s="307"/>
    </row>
    <row r="14" spans="1:3" ht="22.5" x14ac:dyDescent="0.25">
      <c r="A14" s="308" t="s">
        <v>632</v>
      </c>
      <c r="B14" s="306"/>
      <c r="C14" s="307"/>
    </row>
    <row r="15" spans="1:3" ht="22.5" x14ac:dyDescent="0.25">
      <c r="A15" s="308" t="s">
        <v>633</v>
      </c>
      <c r="B15" s="306"/>
      <c r="C15" s="307"/>
    </row>
    <row r="16" spans="1:3" ht="22.5" x14ac:dyDescent="0.25">
      <c r="A16" s="308" t="s">
        <v>634</v>
      </c>
      <c r="B16" s="306"/>
      <c r="C16" s="307"/>
    </row>
    <row r="17" spans="1:3" ht="45" x14ac:dyDescent="0.25">
      <c r="A17" s="308" t="s">
        <v>635</v>
      </c>
      <c r="B17" s="306"/>
      <c r="C17" s="307"/>
    </row>
    <row r="18" spans="1:3" ht="22.5" x14ac:dyDescent="0.25">
      <c r="A18" s="305" t="s">
        <v>636</v>
      </c>
      <c r="B18" s="306"/>
      <c r="C18" s="307"/>
    </row>
    <row r="19" spans="1:3" ht="22.5" x14ac:dyDescent="0.25">
      <c r="A19" s="305" t="s">
        <v>637</v>
      </c>
      <c r="B19" s="306"/>
      <c r="C19" s="307"/>
    </row>
    <row r="20" spans="1:3" ht="22.5" x14ac:dyDescent="0.25">
      <c r="A20" s="305" t="s">
        <v>638</v>
      </c>
      <c r="B20" s="306"/>
      <c r="C20" s="307"/>
    </row>
    <row r="21" spans="1:3" x14ac:dyDescent="0.25">
      <c r="A21" s="305" t="s">
        <v>639</v>
      </c>
      <c r="B21" s="306"/>
      <c r="C21" s="307"/>
    </row>
    <row r="22" spans="1:3" x14ac:dyDescent="0.25">
      <c r="A22" s="305" t="s">
        <v>640</v>
      </c>
      <c r="B22" s="306"/>
      <c r="C22" s="307"/>
    </row>
    <row r="23" spans="1:3" x14ac:dyDescent="0.25">
      <c r="A23" s="309"/>
      <c r="B23" s="310"/>
      <c r="C23" s="307"/>
    </row>
    <row r="24" spans="1:3" x14ac:dyDescent="0.25">
      <c r="A24" s="311"/>
      <c r="B24" s="310"/>
      <c r="C24" s="307"/>
    </row>
    <row r="25" spans="1:3" x14ac:dyDescent="0.25">
      <c r="A25" s="311"/>
      <c r="B25" s="310"/>
      <c r="C25" s="307"/>
    </row>
    <row r="26" spans="1:3" x14ac:dyDescent="0.25">
      <c r="A26" s="311"/>
      <c r="B26" s="310"/>
      <c r="C26" s="307"/>
    </row>
    <row r="27" spans="1:3" x14ac:dyDescent="0.25">
      <c r="A27" s="311"/>
      <c r="B27" s="310"/>
      <c r="C27" s="307"/>
    </row>
    <row r="28" spans="1:3" x14ac:dyDescent="0.25">
      <c r="A28" s="311"/>
      <c r="B28" s="310"/>
      <c r="C28" s="307"/>
    </row>
    <row r="29" spans="1:3" x14ac:dyDescent="0.25">
      <c r="A29" s="311"/>
      <c r="B29" s="310"/>
      <c r="C29" s="307"/>
    </row>
    <row r="30" spans="1:3" x14ac:dyDescent="0.25">
      <c r="A30" s="311"/>
      <c r="B30" s="310"/>
      <c r="C30" s="307"/>
    </row>
    <row r="31" spans="1:3" ht="15.75" thickBot="1" x14ac:dyDescent="0.3">
      <c r="A31" s="312"/>
      <c r="B31" s="313"/>
      <c r="C31" s="314"/>
    </row>
    <row r="32" spans="1:3" ht="15.75" thickBot="1" x14ac:dyDescent="0.3">
      <c r="A32" s="315" t="s">
        <v>349</v>
      </c>
      <c r="B32" s="316">
        <f>+B7+B8+B9+B10+B11+B18+B19+B20+B21+B22+B23+B24+B25+B26+B27+B28+B29+B30+B31</f>
        <v>0</v>
      </c>
      <c r="C32" s="317">
        <f>+C7+C8+C9+C10+C11+C18+C19+C20+C21+C22+C23+C24+C25+C26+C27+C28+C29+C30+C31</f>
        <v>0</v>
      </c>
    </row>
  </sheetData>
  <mergeCells count="3">
    <mergeCell ref="A1:C1"/>
    <mergeCell ref="A2:C2"/>
    <mergeCell ref="B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6218-578A-406F-9B60-3828B10BD31C}">
  <dimension ref="A1:I21"/>
  <sheetViews>
    <sheetView workbookViewId="0">
      <selection sqref="A1:I1"/>
    </sheetView>
  </sheetViews>
  <sheetFormatPr defaultRowHeight="15" x14ac:dyDescent="0.25"/>
  <cols>
    <col min="7" max="7" width="6.28515625" customWidth="1"/>
    <col min="8" max="8" width="12.85546875" customWidth="1"/>
    <col min="9" max="9" width="11.28515625" customWidth="1"/>
  </cols>
  <sheetData>
    <row r="1" spans="1:9" x14ac:dyDescent="0.25">
      <c r="A1" s="420" t="s">
        <v>737</v>
      </c>
      <c r="B1" s="420"/>
      <c r="C1" s="420"/>
      <c r="D1" s="420"/>
      <c r="E1" s="420"/>
      <c r="F1" s="420"/>
      <c r="G1" s="420"/>
      <c r="H1" s="420"/>
      <c r="I1" s="420"/>
    </row>
    <row r="3" spans="1:9" x14ac:dyDescent="0.25">
      <c r="A3" s="456" t="s">
        <v>641</v>
      </c>
      <c r="B3" s="456"/>
      <c r="C3" s="456"/>
      <c r="D3" s="456"/>
      <c r="E3" s="456"/>
      <c r="F3" s="456"/>
      <c r="G3" s="456"/>
      <c r="H3" s="456"/>
    </row>
    <row r="4" spans="1:9" x14ac:dyDescent="0.25">
      <c r="A4" s="456" t="s">
        <v>642</v>
      </c>
      <c r="B4" s="456"/>
      <c r="C4" s="456"/>
      <c r="D4" s="456"/>
      <c r="E4" s="456"/>
      <c r="F4" s="456"/>
      <c r="G4" s="456"/>
      <c r="H4" s="456"/>
    </row>
    <row r="5" spans="1:9" x14ac:dyDescent="0.25">
      <c r="A5" s="456" t="s">
        <v>643</v>
      </c>
      <c r="B5" s="456"/>
      <c r="C5" s="456"/>
      <c r="D5" s="456"/>
      <c r="E5" s="456"/>
      <c r="F5" s="456"/>
      <c r="G5" s="456"/>
      <c r="H5" s="456"/>
    </row>
    <row r="6" spans="1:9" x14ac:dyDescent="0.25">
      <c r="C6" s="318"/>
      <c r="D6" s="318"/>
      <c r="E6" s="318"/>
      <c r="F6" s="318"/>
      <c r="G6" s="318"/>
    </row>
    <row r="7" spans="1:9" x14ac:dyDescent="0.25">
      <c r="C7" s="318"/>
      <c r="D7" s="318"/>
      <c r="E7" s="252"/>
      <c r="F7" s="127"/>
      <c r="G7" s="318"/>
    </row>
    <row r="9" spans="1:9" x14ac:dyDescent="0.25">
      <c r="H9" s="318" t="s">
        <v>644</v>
      </c>
      <c r="I9" s="318" t="s">
        <v>644</v>
      </c>
    </row>
    <row r="10" spans="1:9" x14ac:dyDescent="0.25">
      <c r="H10" s="318" t="s">
        <v>645</v>
      </c>
      <c r="I10" s="318" t="s">
        <v>646</v>
      </c>
    </row>
    <row r="11" spans="1:9" x14ac:dyDescent="0.25">
      <c r="H11" s="318" t="s">
        <v>647</v>
      </c>
      <c r="I11" s="318" t="s">
        <v>647</v>
      </c>
    </row>
    <row r="12" spans="1:9" x14ac:dyDescent="0.25">
      <c r="H12" s="318"/>
    </row>
    <row r="13" spans="1:9" x14ac:dyDescent="0.25">
      <c r="A13" t="s">
        <v>648</v>
      </c>
      <c r="H13" s="319">
        <f>SUM(H15:H21)</f>
        <v>9930000</v>
      </c>
      <c r="I13" s="319">
        <f>SUM(I15:I21)</f>
        <v>9930000</v>
      </c>
    </row>
    <row r="14" spans="1:9" x14ac:dyDescent="0.25">
      <c r="H14" s="319"/>
    </row>
    <row r="15" spans="1:9" x14ac:dyDescent="0.25">
      <c r="A15" t="s">
        <v>649</v>
      </c>
      <c r="H15" s="320">
        <f>500000+880000</f>
        <v>1380000</v>
      </c>
      <c r="I15" s="2">
        <f>H15</f>
        <v>1380000</v>
      </c>
    </row>
    <row r="16" spans="1:9" x14ac:dyDescent="0.25">
      <c r="A16" t="s">
        <v>650</v>
      </c>
      <c r="H16" s="320"/>
      <c r="I16" s="2"/>
    </row>
    <row r="17" spans="1:9" x14ac:dyDescent="0.25">
      <c r="A17" t="s">
        <v>651</v>
      </c>
      <c r="H17" s="320">
        <v>4100000</v>
      </c>
      <c r="I17" s="2">
        <f t="shared" ref="I17:I18" si="0">H17</f>
        <v>4100000</v>
      </c>
    </row>
    <row r="18" spans="1:9" x14ac:dyDescent="0.25">
      <c r="A18" t="s">
        <v>652</v>
      </c>
      <c r="H18" s="320">
        <v>4450000</v>
      </c>
      <c r="I18" s="2">
        <f t="shared" si="0"/>
        <v>4450000</v>
      </c>
    </row>
    <row r="19" spans="1:9" x14ac:dyDescent="0.25">
      <c r="B19" t="s">
        <v>653</v>
      </c>
      <c r="H19" s="320"/>
    </row>
    <row r="20" spans="1:9" x14ac:dyDescent="0.25">
      <c r="A20" t="s">
        <v>654</v>
      </c>
      <c r="H20" s="2"/>
    </row>
    <row r="21" spans="1:9" x14ac:dyDescent="0.25">
      <c r="A21" t="s">
        <v>655</v>
      </c>
      <c r="H21" s="2"/>
    </row>
  </sheetData>
  <mergeCells count="4">
    <mergeCell ref="A1:I1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EB9F-14D2-4E32-996B-C13A5F639EFE}">
  <dimension ref="A1:G17"/>
  <sheetViews>
    <sheetView workbookViewId="0">
      <selection sqref="A1:G1"/>
    </sheetView>
  </sheetViews>
  <sheetFormatPr defaultRowHeight="15" x14ac:dyDescent="0.25"/>
  <cols>
    <col min="2" max="2" width="24.85546875" customWidth="1"/>
    <col min="3" max="3" width="10.85546875" customWidth="1"/>
    <col min="4" max="4" width="10.7109375" customWidth="1"/>
    <col min="5" max="5" width="11.28515625" customWidth="1"/>
    <col min="6" max="6" width="10.42578125" customWidth="1"/>
    <col min="7" max="7" width="9.28515625" customWidth="1"/>
  </cols>
  <sheetData>
    <row r="1" spans="1:7" x14ac:dyDescent="0.25">
      <c r="A1" s="420" t="s">
        <v>738</v>
      </c>
      <c r="B1" s="420"/>
      <c r="C1" s="420"/>
      <c r="D1" s="420"/>
      <c r="E1" s="420"/>
      <c r="F1" s="420"/>
      <c r="G1" s="420"/>
    </row>
    <row r="2" spans="1:7" ht="15.75" x14ac:dyDescent="0.25">
      <c r="A2" s="454" t="s">
        <v>656</v>
      </c>
      <c r="B2" s="454"/>
      <c r="C2" s="454"/>
      <c r="D2" s="454"/>
      <c r="E2" s="454"/>
      <c r="F2" s="454"/>
      <c r="G2" s="454"/>
    </row>
    <row r="4" spans="1:7" ht="15.75" x14ac:dyDescent="0.25">
      <c r="A4" s="321" t="s">
        <v>657</v>
      </c>
      <c r="B4" s="322"/>
      <c r="C4" s="457" t="s">
        <v>297</v>
      </c>
      <c r="D4" s="457"/>
      <c r="E4" s="457"/>
      <c r="F4" s="457"/>
      <c r="G4" s="457"/>
    </row>
    <row r="5" spans="1:7" ht="15.75" x14ac:dyDescent="0.25">
      <c r="A5" s="322"/>
      <c r="B5" s="322"/>
      <c r="C5" s="322"/>
      <c r="D5" s="322"/>
      <c r="E5" s="322"/>
      <c r="F5" s="322"/>
      <c r="G5" s="322"/>
    </row>
    <row r="6" spans="1:7" ht="15.75" x14ac:dyDescent="0.25">
      <c r="A6" s="321" t="s">
        <v>658</v>
      </c>
      <c r="B6" s="322"/>
      <c r="C6" s="457" t="s">
        <v>659</v>
      </c>
      <c r="D6" s="457"/>
      <c r="E6" s="457"/>
      <c r="F6" s="457"/>
      <c r="G6" s="322"/>
    </row>
    <row r="8" spans="1:7" x14ac:dyDescent="0.25">
      <c r="A8" s="323" t="s">
        <v>660</v>
      </c>
      <c r="B8" s="324"/>
      <c r="C8" s="324"/>
      <c r="D8" s="325">
        <v>517656417</v>
      </c>
      <c r="E8" s="326"/>
      <c r="F8" s="327"/>
      <c r="G8" s="327"/>
    </row>
    <row r="9" spans="1:7" ht="15.75" thickBot="1" x14ac:dyDescent="0.3">
      <c r="A9" s="323" t="s">
        <v>661</v>
      </c>
      <c r="B9" s="327"/>
      <c r="C9" s="327"/>
      <c r="D9" s="327"/>
      <c r="E9" s="327"/>
      <c r="F9" s="327"/>
      <c r="G9" s="327"/>
    </row>
    <row r="10" spans="1:7" ht="36.75" thickBot="1" x14ac:dyDescent="0.3">
      <c r="A10" s="296" t="s">
        <v>336</v>
      </c>
      <c r="B10" s="297" t="s">
        <v>662</v>
      </c>
      <c r="C10" s="297" t="s">
        <v>663</v>
      </c>
      <c r="D10" s="297" t="s">
        <v>664</v>
      </c>
      <c r="E10" s="297" t="s">
        <v>665</v>
      </c>
      <c r="F10" s="297" t="s">
        <v>666</v>
      </c>
      <c r="G10" s="298" t="s">
        <v>349</v>
      </c>
    </row>
    <row r="11" spans="1:7" x14ac:dyDescent="0.25">
      <c r="A11" s="328" t="s">
        <v>206</v>
      </c>
      <c r="B11" s="329" t="s">
        <v>667</v>
      </c>
      <c r="C11" s="330"/>
      <c r="D11" s="330"/>
      <c r="E11" s="330"/>
      <c r="F11" s="330"/>
      <c r="G11" s="331">
        <v>0</v>
      </c>
    </row>
    <row r="12" spans="1:7" ht="22.5" x14ac:dyDescent="0.25">
      <c r="A12" s="332" t="s">
        <v>209</v>
      </c>
      <c r="B12" s="333" t="s">
        <v>668</v>
      </c>
      <c r="C12" s="334"/>
      <c r="D12" s="334"/>
      <c r="E12" s="334"/>
      <c r="F12" s="334"/>
      <c r="G12" s="335">
        <v>0</v>
      </c>
    </row>
    <row r="13" spans="1:7" ht="22.5" x14ac:dyDescent="0.25">
      <c r="A13" s="332" t="s">
        <v>203</v>
      </c>
      <c r="B13" s="333" t="s">
        <v>669</v>
      </c>
      <c r="C13" s="334"/>
      <c r="D13" s="334"/>
      <c r="E13" s="334"/>
      <c r="F13" s="334"/>
      <c r="G13" s="335">
        <v>0</v>
      </c>
    </row>
    <row r="14" spans="1:7" x14ac:dyDescent="0.25">
      <c r="A14" s="332" t="s">
        <v>204</v>
      </c>
      <c r="B14" s="333" t="s">
        <v>670</v>
      </c>
      <c r="C14" s="334"/>
      <c r="D14" s="334"/>
      <c r="E14" s="334"/>
      <c r="F14" s="334"/>
      <c r="G14" s="335">
        <f>SUM(C14:F14)</f>
        <v>0</v>
      </c>
    </row>
    <row r="15" spans="1:7" ht="22.5" x14ac:dyDescent="0.25">
      <c r="A15" s="332" t="s">
        <v>205</v>
      </c>
      <c r="B15" s="333" t="s">
        <v>671</v>
      </c>
      <c r="C15" s="334"/>
      <c r="D15" s="334"/>
      <c r="E15" s="334"/>
      <c r="F15" s="334"/>
      <c r="G15" s="335">
        <f>SUM(C15:F15)</f>
        <v>0</v>
      </c>
    </row>
    <row r="16" spans="1:7" ht="15.75" thickBot="1" x14ac:dyDescent="0.3">
      <c r="A16" s="336" t="s">
        <v>217</v>
      </c>
      <c r="B16" s="337" t="s">
        <v>672</v>
      </c>
      <c r="C16" s="338"/>
      <c r="D16" s="338"/>
      <c r="E16" s="338"/>
      <c r="F16" s="338"/>
      <c r="G16" s="339">
        <f>SUM(C16:F16)</f>
        <v>0</v>
      </c>
    </row>
    <row r="17" spans="1:7" ht="15.75" thickBot="1" x14ac:dyDescent="0.3">
      <c r="A17" s="340" t="s">
        <v>219</v>
      </c>
      <c r="B17" s="341" t="s">
        <v>349</v>
      </c>
      <c r="C17" s="342">
        <f>SUM(C11:C16)</f>
        <v>0</v>
      </c>
      <c r="D17" s="342">
        <f>SUM(D11:D16)</f>
        <v>0</v>
      </c>
      <c r="E17" s="342">
        <f>SUM(E11:E16)</f>
        <v>0</v>
      </c>
      <c r="F17" s="342">
        <f>SUM(F11:F16)</f>
        <v>0</v>
      </c>
      <c r="G17" s="343">
        <f>SUM(C17:F17)</f>
        <v>0</v>
      </c>
    </row>
  </sheetData>
  <mergeCells count="4">
    <mergeCell ref="A1:G1"/>
    <mergeCell ref="A2:G2"/>
    <mergeCell ref="C4:G4"/>
    <mergeCell ref="C6:F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E78B-1A5F-4AC0-8793-EB39AC0343CF}">
  <dimension ref="A1:C80"/>
  <sheetViews>
    <sheetView workbookViewId="0"/>
  </sheetViews>
  <sheetFormatPr defaultRowHeight="15" x14ac:dyDescent="0.25"/>
  <cols>
    <col min="1" max="1" width="67.140625" customWidth="1"/>
    <col min="2" max="2" width="16.28515625" customWidth="1"/>
  </cols>
  <sheetData>
    <row r="1" spans="1:3" ht="38.25" customHeight="1" thickBot="1" x14ac:dyDescent="0.3">
      <c r="A1" s="344" t="s">
        <v>739</v>
      </c>
    </row>
    <row r="2" spans="1:3" ht="23.25" customHeight="1" x14ac:dyDescent="0.3">
      <c r="A2" s="345" t="str">
        <f>'[3]1.'!A1</f>
        <v>Ják Község  Önkormányzata 2021. évi költségvetése</v>
      </c>
    </row>
    <row r="3" spans="1:3" ht="15" customHeight="1" x14ac:dyDescent="0.25">
      <c r="B3" s="346"/>
      <c r="C3" s="346"/>
    </row>
    <row r="4" spans="1:3" ht="15" customHeight="1" x14ac:dyDescent="0.3">
      <c r="A4" s="345" t="s">
        <v>1</v>
      </c>
      <c r="B4" s="346"/>
      <c r="C4" s="346"/>
    </row>
    <row r="5" spans="1:3" x14ac:dyDescent="0.25">
      <c r="A5" s="347"/>
      <c r="B5" s="348"/>
      <c r="C5" s="7"/>
    </row>
    <row r="6" spans="1:3" x14ac:dyDescent="0.25">
      <c r="A6" s="349"/>
      <c r="B6" s="7"/>
      <c r="C6" s="7"/>
    </row>
    <row r="7" spans="1:3" x14ac:dyDescent="0.25">
      <c r="A7" s="349" t="s">
        <v>7</v>
      </c>
      <c r="B7" s="7"/>
      <c r="C7" s="7"/>
    </row>
    <row r="8" spans="1:3" x14ac:dyDescent="0.25">
      <c r="A8" s="349" t="s">
        <v>8</v>
      </c>
      <c r="B8" s="7"/>
      <c r="C8" s="7"/>
    </row>
    <row r="9" spans="1:3" x14ac:dyDescent="0.25">
      <c r="A9" s="349" t="s">
        <v>9</v>
      </c>
      <c r="B9" s="7"/>
      <c r="C9" s="7"/>
    </row>
    <row r="10" spans="1:3" x14ac:dyDescent="0.25">
      <c r="A10" s="349" t="s">
        <v>10</v>
      </c>
      <c r="B10" s="7"/>
      <c r="C10" s="7"/>
    </row>
    <row r="11" spans="1:3" x14ac:dyDescent="0.25">
      <c r="A11" s="349" t="s">
        <v>11</v>
      </c>
      <c r="B11" s="7"/>
      <c r="C11" s="7"/>
    </row>
    <row r="12" spans="1:3" x14ac:dyDescent="0.25">
      <c r="A12" s="349" t="s">
        <v>13</v>
      </c>
      <c r="B12" s="7"/>
      <c r="C12" s="7"/>
    </row>
    <row r="13" spans="1:3" x14ac:dyDescent="0.25">
      <c r="A13" s="349" t="s">
        <v>14</v>
      </c>
      <c r="B13" s="7"/>
      <c r="C13" s="7"/>
    </row>
    <row r="14" spans="1:3" x14ac:dyDescent="0.25">
      <c r="A14" s="349" t="s">
        <v>15</v>
      </c>
      <c r="B14" s="7"/>
      <c r="C14" s="7"/>
    </row>
    <row r="15" spans="1:3" x14ac:dyDescent="0.25">
      <c r="A15" s="349" t="s">
        <v>16</v>
      </c>
      <c r="B15" s="7"/>
      <c r="C15" s="7"/>
    </row>
    <row r="16" spans="1:3" x14ac:dyDescent="0.25">
      <c r="A16" s="349" t="s">
        <v>17</v>
      </c>
      <c r="B16" s="7"/>
      <c r="C16" s="7"/>
    </row>
    <row r="17" spans="1:3" s="155" customFormat="1" x14ac:dyDescent="0.25">
      <c r="A17" s="350" t="s">
        <v>18</v>
      </c>
      <c r="B17" s="351"/>
      <c r="C17" s="351"/>
    </row>
    <row r="18" spans="1:3" x14ac:dyDescent="0.25">
      <c r="A18" s="349" t="s">
        <v>19</v>
      </c>
      <c r="B18" s="7"/>
      <c r="C18" s="7"/>
    </row>
    <row r="19" spans="1:3" x14ac:dyDescent="0.25">
      <c r="A19" s="349" t="s">
        <v>20</v>
      </c>
      <c r="B19" s="7"/>
      <c r="C19" s="7"/>
    </row>
    <row r="20" spans="1:3" x14ac:dyDescent="0.25">
      <c r="A20" s="349" t="s">
        <v>21</v>
      </c>
      <c r="B20" s="7"/>
      <c r="C20" s="7"/>
    </row>
    <row r="21" spans="1:3" x14ac:dyDescent="0.25">
      <c r="A21" s="349" t="s">
        <v>22</v>
      </c>
      <c r="B21" s="7"/>
      <c r="C21" s="7"/>
    </row>
    <row r="22" spans="1:3" x14ac:dyDescent="0.25">
      <c r="A22" s="349" t="s">
        <v>23</v>
      </c>
      <c r="B22" s="7"/>
      <c r="C22" s="7"/>
    </row>
    <row r="23" spans="1:3" x14ac:dyDescent="0.25">
      <c r="A23" s="349" t="s">
        <v>24</v>
      </c>
      <c r="B23" s="7"/>
      <c r="C23" s="7"/>
    </row>
    <row r="24" spans="1:3" x14ac:dyDescent="0.25">
      <c r="A24" s="349" t="s">
        <v>25</v>
      </c>
      <c r="B24" s="7"/>
      <c r="C24" s="7"/>
    </row>
    <row r="25" spans="1:3" x14ac:dyDescent="0.25">
      <c r="A25" s="349" t="s">
        <v>26</v>
      </c>
      <c r="B25" s="7"/>
      <c r="C25" s="7"/>
    </row>
    <row r="26" spans="1:3" x14ac:dyDescent="0.25">
      <c r="A26" s="7" t="s">
        <v>27</v>
      </c>
      <c r="B26" s="7"/>
      <c r="C26" s="7"/>
    </row>
    <row r="27" spans="1:3" s="155" customFormat="1" x14ac:dyDescent="0.25">
      <c r="A27" s="351" t="s">
        <v>28</v>
      </c>
      <c r="B27" s="351"/>
      <c r="C27" s="351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34DD2-EB6A-4B2B-82F8-A32FDBD4C61B}">
  <dimension ref="A1:G21"/>
  <sheetViews>
    <sheetView workbookViewId="0">
      <selection sqref="A1:G1"/>
    </sheetView>
  </sheetViews>
  <sheetFormatPr defaultRowHeight="15" x14ac:dyDescent="0.25"/>
  <cols>
    <col min="1" max="1" width="11.7109375" style="354" customWidth="1"/>
    <col min="2" max="2" width="9.7109375" customWidth="1"/>
    <col min="3" max="3" width="28.140625" customWidth="1"/>
    <col min="4" max="4" width="8.28515625" customWidth="1"/>
    <col min="5" max="5" width="8.42578125" customWidth="1"/>
  </cols>
  <sheetData>
    <row r="1" spans="1:7" x14ac:dyDescent="0.25">
      <c r="A1" s="420" t="s">
        <v>740</v>
      </c>
      <c r="B1" s="420"/>
      <c r="C1" s="420"/>
      <c r="D1" s="420"/>
      <c r="E1" s="420"/>
      <c r="F1" s="420"/>
      <c r="G1" s="420"/>
    </row>
    <row r="2" spans="1:7" x14ac:dyDescent="0.25">
      <c r="A2" s="352" t="s">
        <v>297</v>
      </c>
    </row>
    <row r="3" spans="1:7" x14ac:dyDescent="0.25">
      <c r="A3" s="352" t="s">
        <v>298</v>
      </c>
    </row>
    <row r="5" spans="1:7" x14ac:dyDescent="0.25">
      <c r="A5" s="458" t="s">
        <v>673</v>
      </c>
      <c r="B5" s="458"/>
      <c r="C5" s="458"/>
      <c r="D5" s="458"/>
      <c r="E5" s="458"/>
    </row>
    <row r="6" spans="1:7" x14ac:dyDescent="0.25">
      <c r="A6" s="458" t="s">
        <v>674</v>
      </c>
      <c r="B6" s="458"/>
      <c r="C6" s="458"/>
      <c r="D6" s="458"/>
      <c r="E6" s="458"/>
    </row>
    <row r="7" spans="1:7" x14ac:dyDescent="0.25">
      <c r="A7" s="353"/>
      <c r="B7" s="353"/>
      <c r="C7" s="353"/>
      <c r="D7" s="353"/>
    </row>
    <row r="8" spans="1:7" x14ac:dyDescent="0.25">
      <c r="A8" s="353"/>
      <c r="B8" s="353"/>
      <c r="C8" s="353"/>
      <c r="D8" s="353"/>
    </row>
    <row r="9" spans="1:7" ht="15.75" thickBot="1" x14ac:dyDescent="0.3">
      <c r="C9" s="132"/>
      <c r="D9" s="355"/>
      <c r="E9" s="355"/>
    </row>
    <row r="10" spans="1:7" ht="55.5" x14ac:dyDescent="0.25">
      <c r="A10" s="356" t="s">
        <v>675</v>
      </c>
      <c r="B10" s="356" t="s">
        <v>300</v>
      </c>
      <c r="C10" s="356" t="s">
        <v>191</v>
      </c>
      <c r="D10" s="357" t="s">
        <v>676</v>
      </c>
      <c r="E10" s="358" t="s">
        <v>677</v>
      </c>
    </row>
    <row r="11" spans="1:7" x14ac:dyDescent="0.25">
      <c r="A11" s="359">
        <v>999000</v>
      </c>
      <c r="B11" s="360" t="s">
        <v>311</v>
      </c>
      <c r="C11" s="148" t="s">
        <v>312</v>
      </c>
      <c r="D11" s="157"/>
      <c r="E11" s="157"/>
    </row>
    <row r="12" spans="1:7" ht="24.75" x14ac:dyDescent="0.25">
      <c r="A12" s="361" t="s">
        <v>678</v>
      </c>
      <c r="B12" s="362" t="s">
        <v>679</v>
      </c>
      <c r="C12" s="363" t="s">
        <v>680</v>
      </c>
      <c r="D12" s="364">
        <v>75</v>
      </c>
      <c r="E12" s="364">
        <v>70</v>
      </c>
    </row>
    <row r="13" spans="1:7" x14ac:dyDescent="0.25">
      <c r="A13" s="359">
        <v>562917</v>
      </c>
      <c r="B13" s="360" t="s">
        <v>681</v>
      </c>
      <c r="C13" s="148" t="s">
        <v>682</v>
      </c>
      <c r="D13" s="157">
        <v>10</v>
      </c>
      <c r="E13" s="157">
        <v>10</v>
      </c>
    </row>
    <row r="14" spans="1:7" x14ac:dyDescent="0.25">
      <c r="A14" s="359">
        <v>811000</v>
      </c>
      <c r="B14" s="360" t="s">
        <v>319</v>
      </c>
      <c r="C14" s="148" t="s">
        <v>320</v>
      </c>
      <c r="D14" s="157"/>
      <c r="E14" s="157"/>
    </row>
    <row r="15" spans="1:7" x14ac:dyDescent="0.25">
      <c r="A15" s="359">
        <v>999000</v>
      </c>
      <c r="B15" s="360" t="s">
        <v>313</v>
      </c>
      <c r="C15" s="148" t="s">
        <v>683</v>
      </c>
      <c r="D15" s="157"/>
      <c r="E15" s="157"/>
    </row>
    <row r="16" spans="1:7" x14ac:dyDescent="0.25">
      <c r="A16" s="359">
        <v>889921</v>
      </c>
      <c r="B16" s="360" t="s">
        <v>684</v>
      </c>
      <c r="C16" s="148" t="s">
        <v>685</v>
      </c>
      <c r="D16" s="157">
        <v>15</v>
      </c>
      <c r="E16" s="157">
        <v>20</v>
      </c>
    </row>
    <row r="17" spans="1:5" x14ac:dyDescent="0.25">
      <c r="A17" s="359">
        <v>813000</v>
      </c>
      <c r="B17" s="360" t="s">
        <v>321</v>
      </c>
      <c r="C17" s="148" t="s">
        <v>322</v>
      </c>
      <c r="D17" s="157"/>
      <c r="E17" s="157"/>
    </row>
    <row r="18" spans="1:5" x14ac:dyDescent="0.25">
      <c r="A18" s="359">
        <v>910502</v>
      </c>
      <c r="B18" s="360" t="s">
        <v>323</v>
      </c>
      <c r="C18" s="148" t="s">
        <v>324</v>
      </c>
      <c r="D18" s="157"/>
      <c r="E18" s="157"/>
    </row>
    <row r="19" spans="1:5" x14ac:dyDescent="0.25">
      <c r="A19" s="359">
        <v>960302</v>
      </c>
      <c r="B19" s="360" t="s">
        <v>325</v>
      </c>
      <c r="C19" s="148" t="s">
        <v>326</v>
      </c>
      <c r="D19" s="157"/>
      <c r="E19" s="157"/>
    </row>
    <row r="20" spans="1:5" x14ac:dyDescent="0.25">
      <c r="A20" s="359">
        <v>999000</v>
      </c>
      <c r="B20" s="360" t="s">
        <v>686</v>
      </c>
      <c r="C20" s="148" t="s">
        <v>687</v>
      </c>
      <c r="D20" s="157"/>
      <c r="E20" s="157"/>
    </row>
    <row r="21" spans="1:5" x14ac:dyDescent="0.25">
      <c r="A21" s="459" t="s">
        <v>349</v>
      </c>
      <c r="B21" s="459"/>
      <c r="C21" s="459"/>
      <c r="D21" s="365">
        <f>SUM(D11:D20)</f>
        <v>100</v>
      </c>
      <c r="E21" s="365">
        <f>SUM(E11:E20)</f>
        <v>100</v>
      </c>
    </row>
  </sheetData>
  <mergeCells count="4">
    <mergeCell ref="A1:G1"/>
    <mergeCell ref="A5:E5"/>
    <mergeCell ref="A6:E6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FCAE-778B-43EB-A5B4-E2B0E9A4881E}">
  <dimension ref="A1:AF88"/>
  <sheetViews>
    <sheetView workbookViewId="0">
      <selection sqref="A1:P1"/>
    </sheetView>
  </sheetViews>
  <sheetFormatPr defaultRowHeight="15" x14ac:dyDescent="0.25"/>
  <cols>
    <col min="1" max="1" width="54.42578125" style="16" customWidth="1"/>
    <col min="2" max="2" width="9.140625" style="16"/>
    <col min="3" max="3" width="15.5703125" style="16" customWidth="1"/>
    <col min="4" max="4" width="17.7109375" style="16" customWidth="1"/>
    <col min="5" max="5" width="17.7109375" style="16" hidden="1" customWidth="1"/>
    <col min="6" max="6" width="17.5703125" style="16" hidden="1" customWidth="1"/>
    <col min="7" max="7" width="13.85546875" style="18" hidden="1" customWidth="1"/>
    <col min="8" max="9" width="15" style="16" hidden="1" customWidth="1"/>
    <col min="10" max="10" width="13.28515625" style="16" hidden="1" customWidth="1"/>
    <col min="11" max="11" width="15.42578125" style="18" bestFit="1" customWidth="1"/>
    <col min="12" max="12" width="15" style="16" customWidth="1"/>
    <col min="13" max="13" width="15" style="16" hidden="1" customWidth="1"/>
    <col min="14" max="14" width="10.28515625" style="16" hidden="1" customWidth="1"/>
    <col min="15" max="15" width="16.140625" style="16" customWidth="1"/>
    <col min="16" max="16" width="15.28515625" style="16" customWidth="1"/>
    <col min="17" max="17" width="11.42578125" style="16" hidden="1" customWidth="1"/>
    <col min="18" max="18" width="10.140625" style="16" bestFit="1" customWidth="1"/>
    <col min="19" max="256" width="9.140625" style="16"/>
    <col min="257" max="257" width="54.42578125" style="16" customWidth="1"/>
    <col min="258" max="258" width="9.140625" style="16"/>
    <col min="259" max="259" width="15.5703125" style="16" customWidth="1"/>
    <col min="260" max="262" width="0" style="16" hidden="1" customWidth="1"/>
    <col min="263" max="263" width="13.85546875" style="16" customWidth="1"/>
    <col min="264" max="266" width="0" style="16" hidden="1" customWidth="1"/>
    <col min="267" max="267" width="15.42578125" style="16" bestFit="1" customWidth="1"/>
    <col min="268" max="270" width="0" style="16" hidden="1" customWidth="1"/>
    <col min="271" max="271" width="16.140625" style="16" customWidth="1"/>
    <col min="272" max="273" width="0" style="16" hidden="1" customWidth="1"/>
    <col min="274" max="512" width="9.140625" style="16"/>
    <col min="513" max="513" width="54.42578125" style="16" customWidth="1"/>
    <col min="514" max="514" width="9.140625" style="16"/>
    <col min="515" max="515" width="15.5703125" style="16" customWidth="1"/>
    <col min="516" max="518" width="0" style="16" hidden="1" customWidth="1"/>
    <col min="519" max="519" width="13.85546875" style="16" customWidth="1"/>
    <col min="520" max="522" width="0" style="16" hidden="1" customWidth="1"/>
    <col min="523" max="523" width="15.42578125" style="16" bestFit="1" customWidth="1"/>
    <col min="524" max="526" width="0" style="16" hidden="1" customWidth="1"/>
    <col min="527" max="527" width="16.140625" style="16" customWidth="1"/>
    <col min="528" max="529" width="0" style="16" hidden="1" customWidth="1"/>
    <col min="530" max="768" width="9.140625" style="16"/>
    <col min="769" max="769" width="54.42578125" style="16" customWidth="1"/>
    <col min="770" max="770" width="9.140625" style="16"/>
    <col min="771" max="771" width="15.5703125" style="16" customWidth="1"/>
    <col min="772" max="774" width="0" style="16" hidden="1" customWidth="1"/>
    <col min="775" max="775" width="13.85546875" style="16" customWidth="1"/>
    <col min="776" max="778" width="0" style="16" hidden="1" customWidth="1"/>
    <col min="779" max="779" width="15.42578125" style="16" bestFit="1" customWidth="1"/>
    <col min="780" max="782" width="0" style="16" hidden="1" customWidth="1"/>
    <col min="783" max="783" width="16.140625" style="16" customWidth="1"/>
    <col min="784" max="785" width="0" style="16" hidden="1" customWidth="1"/>
    <col min="786" max="1024" width="9.140625" style="16"/>
    <col min="1025" max="1025" width="54.42578125" style="16" customWidth="1"/>
    <col min="1026" max="1026" width="9.140625" style="16"/>
    <col min="1027" max="1027" width="15.5703125" style="16" customWidth="1"/>
    <col min="1028" max="1030" width="0" style="16" hidden="1" customWidth="1"/>
    <col min="1031" max="1031" width="13.85546875" style="16" customWidth="1"/>
    <col min="1032" max="1034" width="0" style="16" hidden="1" customWidth="1"/>
    <col min="1035" max="1035" width="15.42578125" style="16" bestFit="1" customWidth="1"/>
    <col min="1036" max="1038" width="0" style="16" hidden="1" customWidth="1"/>
    <col min="1039" max="1039" width="16.140625" style="16" customWidth="1"/>
    <col min="1040" max="1041" width="0" style="16" hidden="1" customWidth="1"/>
    <col min="1042" max="1280" width="9.140625" style="16"/>
    <col min="1281" max="1281" width="54.42578125" style="16" customWidth="1"/>
    <col min="1282" max="1282" width="9.140625" style="16"/>
    <col min="1283" max="1283" width="15.5703125" style="16" customWidth="1"/>
    <col min="1284" max="1286" width="0" style="16" hidden="1" customWidth="1"/>
    <col min="1287" max="1287" width="13.85546875" style="16" customWidth="1"/>
    <col min="1288" max="1290" width="0" style="16" hidden="1" customWidth="1"/>
    <col min="1291" max="1291" width="15.42578125" style="16" bestFit="1" customWidth="1"/>
    <col min="1292" max="1294" width="0" style="16" hidden="1" customWidth="1"/>
    <col min="1295" max="1295" width="16.140625" style="16" customWidth="1"/>
    <col min="1296" max="1297" width="0" style="16" hidden="1" customWidth="1"/>
    <col min="1298" max="1536" width="9.140625" style="16"/>
    <col min="1537" max="1537" width="54.42578125" style="16" customWidth="1"/>
    <col min="1538" max="1538" width="9.140625" style="16"/>
    <col min="1539" max="1539" width="15.5703125" style="16" customWidth="1"/>
    <col min="1540" max="1542" width="0" style="16" hidden="1" customWidth="1"/>
    <col min="1543" max="1543" width="13.85546875" style="16" customWidth="1"/>
    <col min="1544" max="1546" width="0" style="16" hidden="1" customWidth="1"/>
    <col min="1547" max="1547" width="15.42578125" style="16" bestFit="1" customWidth="1"/>
    <col min="1548" max="1550" width="0" style="16" hidden="1" customWidth="1"/>
    <col min="1551" max="1551" width="16.140625" style="16" customWidth="1"/>
    <col min="1552" max="1553" width="0" style="16" hidden="1" customWidth="1"/>
    <col min="1554" max="1792" width="9.140625" style="16"/>
    <col min="1793" max="1793" width="54.42578125" style="16" customWidth="1"/>
    <col min="1794" max="1794" width="9.140625" style="16"/>
    <col min="1795" max="1795" width="15.5703125" style="16" customWidth="1"/>
    <col min="1796" max="1798" width="0" style="16" hidden="1" customWidth="1"/>
    <col min="1799" max="1799" width="13.85546875" style="16" customWidth="1"/>
    <col min="1800" max="1802" width="0" style="16" hidden="1" customWidth="1"/>
    <col min="1803" max="1803" width="15.42578125" style="16" bestFit="1" customWidth="1"/>
    <col min="1804" max="1806" width="0" style="16" hidden="1" customWidth="1"/>
    <col min="1807" max="1807" width="16.140625" style="16" customWidth="1"/>
    <col min="1808" max="1809" width="0" style="16" hidden="1" customWidth="1"/>
    <col min="1810" max="2048" width="9.140625" style="16"/>
    <col min="2049" max="2049" width="54.42578125" style="16" customWidth="1"/>
    <col min="2050" max="2050" width="9.140625" style="16"/>
    <col min="2051" max="2051" width="15.5703125" style="16" customWidth="1"/>
    <col min="2052" max="2054" width="0" style="16" hidden="1" customWidth="1"/>
    <col min="2055" max="2055" width="13.85546875" style="16" customWidth="1"/>
    <col min="2056" max="2058" width="0" style="16" hidden="1" customWidth="1"/>
    <col min="2059" max="2059" width="15.42578125" style="16" bestFit="1" customWidth="1"/>
    <col min="2060" max="2062" width="0" style="16" hidden="1" customWidth="1"/>
    <col min="2063" max="2063" width="16.140625" style="16" customWidth="1"/>
    <col min="2064" max="2065" width="0" style="16" hidden="1" customWidth="1"/>
    <col min="2066" max="2304" width="9.140625" style="16"/>
    <col min="2305" max="2305" width="54.42578125" style="16" customWidth="1"/>
    <col min="2306" max="2306" width="9.140625" style="16"/>
    <col min="2307" max="2307" width="15.5703125" style="16" customWidth="1"/>
    <col min="2308" max="2310" width="0" style="16" hidden="1" customWidth="1"/>
    <col min="2311" max="2311" width="13.85546875" style="16" customWidth="1"/>
    <col min="2312" max="2314" width="0" style="16" hidden="1" customWidth="1"/>
    <col min="2315" max="2315" width="15.42578125" style="16" bestFit="1" customWidth="1"/>
    <col min="2316" max="2318" width="0" style="16" hidden="1" customWidth="1"/>
    <col min="2319" max="2319" width="16.140625" style="16" customWidth="1"/>
    <col min="2320" max="2321" width="0" style="16" hidden="1" customWidth="1"/>
    <col min="2322" max="2560" width="9.140625" style="16"/>
    <col min="2561" max="2561" width="54.42578125" style="16" customWidth="1"/>
    <col min="2562" max="2562" width="9.140625" style="16"/>
    <col min="2563" max="2563" width="15.5703125" style="16" customWidth="1"/>
    <col min="2564" max="2566" width="0" style="16" hidden="1" customWidth="1"/>
    <col min="2567" max="2567" width="13.85546875" style="16" customWidth="1"/>
    <col min="2568" max="2570" width="0" style="16" hidden="1" customWidth="1"/>
    <col min="2571" max="2571" width="15.42578125" style="16" bestFit="1" customWidth="1"/>
    <col min="2572" max="2574" width="0" style="16" hidden="1" customWidth="1"/>
    <col min="2575" max="2575" width="16.140625" style="16" customWidth="1"/>
    <col min="2576" max="2577" width="0" style="16" hidden="1" customWidth="1"/>
    <col min="2578" max="2816" width="9.140625" style="16"/>
    <col min="2817" max="2817" width="54.42578125" style="16" customWidth="1"/>
    <col min="2818" max="2818" width="9.140625" style="16"/>
    <col min="2819" max="2819" width="15.5703125" style="16" customWidth="1"/>
    <col min="2820" max="2822" width="0" style="16" hidden="1" customWidth="1"/>
    <col min="2823" max="2823" width="13.85546875" style="16" customWidth="1"/>
    <col min="2824" max="2826" width="0" style="16" hidden="1" customWidth="1"/>
    <col min="2827" max="2827" width="15.42578125" style="16" bestFit="1" customWidth="1"/>
    <col min="2828" max="2830" width="0" style="16" hidden="1" customWidth="1"/>
    <col min="2831" max="2831" width="16.140625" style="16" customWidth="1"/>
    <col min="2832" max="2833" width="0" style="16" hidden="1" customWidth="1"/>
    <col min="2834" max="3072" width="9.140625" style="16"/>
    <col min="3073" max="3073" width="54.42578125" style="16" customWidth="1"/>
    <col min="3074" max="3074" width="9.140625" style="16"/>
    <col min="3075" max="3075" width="15.5703125" style="16" customWidth="1"/>
    <col min="3076" max="3078" width="0" style="16" hidden="1" customWidth="1"/>
    <col min="3079" max="3079" width="13.85546875" style="16" customWidth="1"/>
    <col min="3080" max="3082" width="0" style="16" hidden="1" customWidth="1"/>
    <col min="3083" max="3083" width="15.42578125" style="16" bestFit="1" customWidth="1"/>
    <col min="3084" max="3086" width="0" style="16" hidden="1" customWidth="1"/>
    <col min="3087" max="3087" width="16.140625" style="16" customWidth="1"/>
    <col min="3088" max="3089" width="0" style="16" hidden="1" customWidth="1"/>
    <col min="3090" max="3328" width="9.140625" style="16"/>
    <col min="3329" max="3329" width="54.42578125" style="16" customWidth="1"/>
    <col min="3330" max="3330" width="9.140625" style="16"/>
    <col min="3331" max="3331" width="15.5703125" style="16" customWidth="1"/>
    <col min="3332" max="3334" width="0" style="16" hidden="1" customWidth="1"/>
    <col min="3335" max="3335" width="13.85546875" style="16" customWidth="1"/>
    <col min="3336" max="3338" width="0" style="16" hidden="1" customWidth="1"/>
    <col min="3339" max="3339" width="15.42578125" style="16" bestFit="1" customWidth="1"/>
    <col min="3340" max="3342" width="0" style="16" hidden="1" customWidth="1"/>
    <col min="3343" max="3343" width="16.140625" style="16" customWidth="1"/>
    <col min="3344" max="3345" width="0" style="16" hidden="1" customWidth="1"/>
    <col min="3346" max="3584" width="9.140625" style="16"/>
    <col min="3585" max="3585" width="54.42578125" style="16" customWidth="1"/>
    <col min="3586" max="3586" width="9.140625" style="16"/>
    <col min="3587" max="3587" width="15.5703125" style="16" customWidth="1"/>
    <col min="3588" max="3590" width="0" style="16" hidden="1" customWidth="1"/>
    <col min="3591" max="3591" width="13.85546875" style="16" customWidth="1"/>
    <col min="3592" max="3594" width="0" style="16" hidden="1" customWidth="1"/>
    <col min="3595" max="3595" width="15.42578125" style="16" bestFit="1" customWidth="1"/>
    <col min="3596" max="3598" width="0" style="16" hidden="1" customWidth="1"/>
    <col min="3599" max="3599" width="16.140625" style="16" customWidth="1"/>
    <col min="3600" max="3601" width="0" style="16" hidden="1" customWidth="1"/>
    <col min="3602" max="3840" width="9.140625" style="16"/>
    <col min="3841" max="3841" width="54.42578125" style="16" customWidth="1"/>
    <col min="3842" max="3842" width="9.140625" style="16"/>
    <col min="3843" max="3843" width="15.5703125" style="16" customWidth="1"/>
    <col min="3844" max="3846" width="0" style="16" hidden="1" customWidth="1"/>
    <col min="3847" max="3847" width="13.85546875" style="16" customWidth="1"/>
    <col min="3848" max="3850" width="0" style="16" hidden="1" customWidth="1"/>
    <col min="3851" max="3851" width="15.42578125" style="16" bestFit="1" customWidth="1"/>
    <col min="3852" max="3854" width="0" style="16" hidden="1" customWidth="1"/>
    <col min="3855" max="3855" width="16.140625" style="16" customWidth="1"/>
    <col min="3856" max="3857" width="0" style="16" hidden="1" customWidth="1"/>
    <col min="3858" max="4096" width="9.140625" style="16"/>
    <col min="4097" max="4097" width="54.42578125" style="16" customWidth="1"/>
    <col min="4098" max="4098" width="9.140625" style="16"/>
    <col min="4099" max="4099" width="15.5703125" style="16" customWidth="1"/>
    <col min="4100" max="4102" width="0" style="16" hidden="1" customWidth="1"/>
    <col min="4103" max="4103" width="13.85546875" style="16" customWidth="1"/>
    <col min="4104" max="4106" width="0" style="16" hidden="1" customWidth="1"/>
    <col min="4107" max="4107" width="15.42578125" style="16" bestFit="1" customWidth="1"/>
    <col min="4108" max="4110" width="0" style="16" hidden="1" customWidth="1"/>
    <col min="4111" max="4111" width="16.140625" style="16" customWidth="1"/>
    <col min="4112" max="4113" width="0" style="16" hidden="1" customWidth="1"/>
    <col min="4114" max="4352" width="9.140625" style="16"/>
    <col min="4353" max="4353" width="54.42578125" style="16" customWidth="1"/>
    <col min="4354" max="4354" width="9.140625" style="16"/>
    <col min="4355" max="4355" width="15.5703125" style="16" customWidth="1"/>
    <col min="4356" max="4358" width="0" style="16" hidden="1" customWidth="1"/>
    <col min="4359" max="4359" width="13.85546875" style="16" customWidth="1"/>
    <col min="4360" max="4362" width="0" style="16" hidden="1" customWidth="1"/>
    <col min="4363" max="4363" width="15.42578125" style="16" bestFit="1" customWidth="1"/>
    <col min="4364" max="4366" width="0" style="16" hidden="1" customWidth="1"/>
    <col min="4367" max="4367" width="16.140625" style="16" customWidth="1"/>
    <col min="4368" max="4369" width="0" style="16" hidden="1" customWidth="1"/>
    <col min="4370" max="4608" width="9.140625" style="16"/>
    <col min="4609" max="4609" width="54.42578125" style="16" customWidth="1"/>
    <col min="4610" max="4610" width="9.140625" style="16"/>
    <col min="4611" max="4611" width="15.5703125" style="16" customWidth="1"/>
    <col min="4612" max="4614" width="0" style="16" hidden="1" customWidth="1"/>
    <col min="4615" max="4615" width="13.85546875" style="16" customWidth="1"/>
    <col min="4616" max="4618" width="0" style="16" hidden="1" customWidth="1"/>
    <col min="4619" max="4619" width="15.42578125" style="16" bestFit="1" customWidth="1"/>
    <col min="4620" max="4622" width="0" style="16" hidden="1" customWidth="1"/>
    <col min="4623" max="4623" width="16.140625" style="16" customWidth="1"/>
    <col min="4624" max="4625" width="0" style="16" hidden="1" customWidth="1"/>
    <col min="4626" max="4864" width="9.140625" style="16"/>
    <col min="4865" max="4865" width="54.42578125" style="16" customWidth="1"/>
    <col min="4866" max="4866" width="9.140625" style="16"/>
    <col min="4867" max="4867" width="15.5703125" style="16" customWidth="1"/>
    <col min="4868" max="4870" width="0" style="16" hidden="1" customWidth="1"/>
    <col min="4871" max="4871" width="13.85546875" style="16" customWidth="1"/>
    <col min="4872" max="4874" width="0" style="16" hidden="1" customWidth="1"/>
    <col min="4875" max="4875" width="15.42578125" style="16" bestFit="1" customWidth="1"/>
    <col min="4876" max="4878" width="0" style="16" hidden="1" customWidth="1"/>
    <col min="4879" max="4879" width="16.140625" style="16" customWidth="1"/>
    <col min="4880" max="4881" width="0" style="16" hidden="1" customWidth="1"/>
    <col min="4882" max="5120" width="9.140625" style="16"/>
    <col min="5121" max="5121" width="54.42578125" style="16" customWidth="1"/>
    <col min="5122" max="5122" width="9.140625" style="16"/>
    <col min="5123" max="5123" width="15.5703125" style="16" customWidth="1"/>
    <col min="5124" max="5126" width="0" style="16" hidden="1" customWidth="1"/>
    <col min="5127" max="5127" width="13.85546875" style="16" customWidth="1"/>
    <col min="5128" max="5130" width="0" style="16" hidden="1" customWidth="1"/>
    <col min="5131" max="5131" width="15.42578125" style="16" bestFit="1" customWidth="1"/>
    <col min="5132" max="5134" width="0" style="16" hidden="1" customWidth="1"/>
    <col min="5135" max="5135" width="16.140625" style="16" customWidth="1"/>
    <col min="5136" max="5137" width="0" style="16" hidden="1" customWidth="1"/>
    <col min="5138" max="5376" width="9.140625" style="16"/>
    <col min="5377" max="5377" width="54.42578125" style="16" customWidth="1"/>
    <col min="5378" max="5378" width="9.140625" style="16"/>
    <col min="5379" max="5379" width="15.5703125" style="16" customWidth="1"/>
    <col min="5380" max="5382" width="0" style="16" hidden="1" customWidth="1"/>
    <col min="5383" max="5383" width="13.85546875" style="16" customWidth="1"/>
    <col min="5384" max="5386" width="0" style="16" hidden="1" customWidth="1"/>
    <col min="5387" max="5387" width="15.42578125" style="16" bestFit="1" customWidth="1"/>
    <col min="5388" max="5390" width="0" style="16" hidden="1" customWidth="1"/>
    <col min="5391" max="5391" width="16.140625" style="16" customWidth="1"/>
    <col min="5392" max="5393" width="0" style="16" hidden="1" customWidth="1"/>
    <col min="5394" max="5632" width="9.140625" style="16"/>
    <col min="5633" max="5633" width="54.42578125" style="16" customWidth="1"/>
    <col min="5634" max="5634" width="9.140625" style="16"/>
    <col min="5635" max="5635" width="15.5703125" style="16" customWidth="1"/>
    <col min="5636" max="5638" width="0" style="16" hidden="1" customWidth="1"/>
    <col min="5639" max="5639" width="13.85546875" style="16" customWidth="1"/>
    <col min="5640" max="5642" width="0" style="16" hidden="1" customWidth="1"/>
    <col min="5643" max="5643" width="15.42578125" style="16" bestFit="1" customWidth="1"/>
    <col min="5644" max="5646" width="0" style="16" hidden="1" customWidth="1"/>
    <col min="5647" max="5647" width="16.140625" style="16" customWidth="1"/>
    <col min="5648" max="5649" width="0" style="16" hidden="1" customWidth="1"/>
    <col min="5650" max="5888" width="9.140625" style="16"/>
    <col min="5889" max="5889" width="54.42578125" style="16" customWidth="1"/>
    <col min="5890" max="5890" width="9.140625" style="16"/>
    <col min="5891" max="5891" width="15.5703125" style="16" customWidth="1"/>
    <col min="5892" max="5894" width="0" style="16" hidden="1" customWidth="1"/>
    <col min="5895" max="5895" width="13.85546875" style="16" customWidth="1"/>
    <col min="5896" max="5898" width="0" style="16" hidden="1" customWidth="1"/>
    <col min="5899" max="5899" width="15.42578125" style="16" bestFit="1" customWidth="1"/>
    <col min="5900" max="5902" width="0" style="16" hidden="1" customWidth="1"/>
    <col min="5903" max="5903" width="16.140625" style="16" customWidth="1"/>
    <col min="5904" max="5905" width="0" style="16" hidden="1" customWidth="1"/>
    <col min="5906" max="6144" width="9.140625" style="16"/>
    <col min="6145" max="6145" width="54.42578125" style="16" customWidth="1"/>
    <col min="6146" max="6146" width="9.140625" style="16"/>
    <col min="6147" max="6147" width="15.5703125" style="16" customWidth="1"/>
    <col min="6148" max="6150" width="0" style="16" hidden="1" customWidth="1"/>
    <col min="6151" max="6151" width="13.85546875" style="16" customWidth="1"/>
    <col min="6152" max="6154" width="0" style="16" hidden="1" customWidth="1"/>
    <col min="6155" max="6155" width="15.42578125" style="16" bestFit="1" customWidth="1"/>
    <col min="6156" max="6158" width="0" style="16" hidden="1" customWidth="1"/>
    <col min="6159" max="6159" width="16.140625" style="16" customWidth="1"/>
    <col min="6160" max="6161" width="0" style="16" hidden="1" customWidth="1"/>
    <col min="6162" max="6400" width="9.140625" style="16"/>
    <col min="6401" max="6401" width="54.42578125" style="16" customWidth="1"/>
    <col min="6402" max="6402" width="9.140625" style="16"/>
    <col min="6403" max="6403" width="15.5703125" style="16" customWidth="1"/>
    <col min="6404" max="6406" width="0" style="16" hidden="1" customWidth="1"/>
    <col min="6407" max="6407" width="13.85546875" style="16" customWidth="1"/>
    <col min="6408" max="6410" width="0" style="16" hidden="1" customWidth="1"/>
    <col min="6411" max="6411" width="15.42578125" style="16" bestFit="1" customWidth="1"/>
    <col min="6412" max="6414" width="0" style="16" hidden="1" customWidth="1"/>
    <col min="6415" max="6415" width="16.140625" style="16" customWidth="1"/>
    <col min="6416" max="6417" width="0" style="16" hidden="1" customWidth="1"/>
    <col min="6418" max="6656" width="9.140625" style="16"/>
    <col min="6657" max="6657" width="54.42578125" style="16" customWidth="1"/>
    <col min="6658" max="6658" width="9.140625" style="16"/>
    <col min="6659" max="6659" width="15.5703125" style="16" customWidth="1"/>
    <col min="6660" max="6662" width="0" style="16" hidden="1" customWidth="1"/>
    <col min="6663" max="6663" width="13.85546875" style="16" customWidth="1"/>
    <col min="6664" max="6666" width="0" style="16" hidden="1" customWidth="1"/>
    <col min="6667" max="6667" width="15.42578125" style="16" bestFit="1" customWidth="1"/>
    <col min="6668" max="6670" width="0" style="16" hidden="1" customWidth="1"/>
    <col min="6671" max="6671" width="16.140625" style="16" customWidth="1"/>
    <col min="6672" max="6673" width="0" style="16" hidden="1" customWidth="1"/>
    <col min="6674" max="6912" width="9.140625" style="16"/>
    <col min="6913" max="6913" width="54.42578125" style="16" customWidth="1"/>
    <col min="6914" max="6914" width="9.140625" style="16"/>
    <col min="6915" max="6915" width="15.5703125" style="16" customWidth="1"/>
    <col min="6916" max="6918" width="0" style="16" hidden="1" customWidth="1"/>
    <col min="6919" max="6919" width="13.85546875" style="16" customWidth="1"/>
    <col min="6920" max="6922" width="0" style="16" hidden="1" customWidth="1"/>
    <col min="6923" max="6923" width="15.42578125" style="16" bestFit="1" customWidth="1"/>
    <col min="6924" max="6926" width="0" style="16" hidden="1" customWidth="1"/>
    <col min="6927" max="6927" width="16.140625" style="16" customWidth="1"/>
    <col min="6928" max="6929" width="0" style="16" hidden="1" customWidth="1"/>
    <col min="6930" max="7168" width="9.140625" style="16"/>
    <col min="7169" max="7169" width="54.42578125" style="16" customWidth="1"/>
    <col min="7170" max="7170" width="9.140625" style="16"/>
    <col min="7171" max="7171" width="15.5703125" style="16" customWidth="1"/>
    <col min="7172" max="7174" width="0" style="16" hidden="1" customWidth="1"/>
    <col min="7175" max="7175" width="13.85546875" style="16" customWidth="1"/>
    <col min="7176" max="7178" width="0" style="16" hidden="1" customWidth="1"/>
    <col min="7179" max="7179" width="15.42578125" style="16" bestFit="1" customWidth="1"/>
    <col min="7180" max="7182" width="0" style="16" hidden="1" customWidth="1"/>
    <col min="7183" max="7183" width="16.140625" style="16" customWidth="1"/>
    <col min="7184" max="7185" width="0" style="16" hidden="1" customWidth="1"/>
    <col min="7186" max="7424" width="9.140625" style="16"/>
    <col min="7425" max="7425" width="54.42578125" style="16" customWidth="1"/>
    <col min="7426" max="7426" width="9.140625" style="16"/>
    <col min="7427" max="7427" width="15.5703125" style="16" customWidth="1"/>
    <col min="7428" max="7430" width="0" style="16" hidden="1" customWidth="1"/>
    <col min="7431" max="7431" width="13.85546875" style="16" customWidth="1"/>
    <col min="7432" max="7434" width="0" style="16" hidden="1" customWidth="1"/>
    <col min="7435" max="7435" width="15.42578125" style="16" bestFit="1" customWidth="1"/>
    <col min="7436" max="7438" width="0" style="16" hidden="1" customWidth="1"/>
    <col min="7439" max="7439" width="16.140625" style="16" customWidth="1"/>
    <col min="7440" max="7441" width="0" style="16" hidden="1" customWidth="1"/>
    <col min="7442" max="7680" width="9.140625" style="16"/>
    <col min="7681" max="7681" width="54.42578125" style="16" customWidth="1"/>
    <col min="7682" max="7682" width="9.140625" style="16"/>
    <col min="7683" max="7683" width="15.5703125" style="16" customWidth="1"/>
    <col min="7684" max="7686" width="0" style="16" hidden="1" customWidth="1"/>
    <col min="7687" max="7687" width="13.85546875" style="16" customWidth="1"/>
    <col min="7688" max="7690" width="0" style="16" hidden="1" customWidth="1"/>
    <col min="7691" max="7691" width="15.42578125" style="16" bestFit="1" customWidth="1"/>
    <col min="7692" max="7694" width="0" style="16" hidden="1" customWidth="1"/>
    <col min="7695" max="7695" width="16.140625" style="16" customWidth="1"/>
    <col min="7696" max="7697" width="0" style="16" hidden="1" customWidth="1"/>
    <col min="7698" max="7936" width="9.140625" style="16"/>
    <col min="7937" max="7937" width="54.42578125" style="16" customWidth="1"/>
    <col min="7938" max="7938" width="9.140625" style="16"/>
    <col min="7939" max="7939" width="15.5703125" style="16" customWidth="1"/>
    <col min="7940" max="7942" width="0" style="16" hidden="1" customWidth="1"/>
    <col min="7943" max="7943" width="13.85546875" style="16" customWidth="1"/>
    <col min="7944" max="7946" width="0" style="16" hidden="1" customWidth="1"/>
    <col min="7947" max="7947" width="15.42578125" style="16" bestFit="1" customWidth="1"/>
    <col min="7948" max="7950" width="0" style="16" hidden="1" customWidth="1"/>
    <col min="7951" max="7951" width="16.140625" style="16" customWidth="1"/>
    <col min="7952" max="7953" width="0" style="16" hidden="1" customWidth="1"/>
    <col min="7954" max="8192" width="9.140625" style="16"/>
    <col min="8193" max="8193" width="54.42578125" style="16" customWidth="1"/>
    <col min="8194" max="8194" width="9.140625" style="16"/>
    <col min="8195" max="8195" width="15.5703125" style="16" customWidth="1"/>
    <col min="8196" max="8198" width="0" style="16" hidden="1" customWidth="1"/>
    <col min="8199" max="8199" width="13.85546875" style="16" customWidth="1"/>
    <col min="8200" max="8202" width="0" style="16" hidden="1" customWidth="1"/>
    <col min="8203" max="8203" width="15.42578125" style="16" bestFit="1" customWidth="1"/>
    <col min="8204" max="8206" width="0" style="16" hidden="1" customWidth="1"/>
    <col min="8207" max="8207" width="16.140625" style="16" customWidth="1"/>
    <col min="8208" max="8209" width="0" style="16" hidden="1" customWidth="1"/>
    <col min="8210" max="8448" width="9.140625" style="16"/>
    <col min="8449" max="8449" width="54.42578125" style="16" customWidth="1"/>
    <col min="8450" max="8450" width="9.140625" style="16"/>
    <col min="8451" max="8451" width="15.5703125" style="16" customWidth="1"/>
    <col min="8452" max="8454" width="0" style="16" hidden="1" customWidth="1"/>
    <col min="8455" max="8455" width="13.85546875" style="16" customWidth="1"/>
    <col min="8456" max="8458" width="0" style="16" hidden="1" customWidth="1"/>
    <col min="8459" max="8459" width="15.42578125" style="16" bestFit="1" customWidth="1"/>
    <col min="8460" max="8462" width="0" style="16" hidden="1" customWidth="1"/>
    <col min="8463" max="8463" width="16.140625" style="16" customWidth="1"/>
    <col min="8464" max="8465" width="0" style="16" hidden="1" customWidth="1"/>
    <col min="8466" max="8704" width="9.140625" style="16"/>
    <col min="8705" max="8705" width="54.42578125" style="16" customWidth="1"/>
    <col min="8706" max="8706" width="9.140625" style="16"/>
    <col min="8707" max="8707" width="15.5703125" style="16" customWidth="1"/>
    <col min="8708" max="8710" width="0" style="16" hidden="1" customWidth="1"/>
    <col min="8711" max="8711" width="13.85546875" style="16" customWidth="1"/>
    <col min="8712" max="8714" width="0" style="16" hidden="1" customWidth="1"/>
    <col min="8715" max="8715" width="15.42578125" style="16" bestFit="1" customWidth="1"/>
    <col min="8716" max="8718" width="0" style="16" hidden="1" customWidth="1"/>
    <col min="8719" max="8719" width="16.140625" style="16" customWidth="1"/>
    <col min="8720" max="8721" width="0" style="16" hidden="1" customWidth="1"/>
    <col min="8722" max="8960" width="9.140625" style="16"/>
    <col min="8961" max="8961" width="54.42578125" style="16" customWidth="1"/>
    <col min="8962" max="8962" width="9.140625" style="16"/>
    <col min="8963" max="8963" width="15.5703125" style="16" customWidth="1"/>
    <col min="8964" max="8966" width="0" style="16" hidden="1" customWidth="1"/>
    <col min="8967" max="8967" width="13.85546875" style="16" customWidth="1"/>
    <col min="8968" max="8970" width="0" style="16" hidden="1" customWidth="1"/>
    <col min="8971" max="8971" width="15.42578125" style="16" bestFit="1" customWidth="1"/>
    <col min="8972" max="8974" width="0" style="16" hidden="1" customWidth="1"/>
    <col min="8975" max="8975" width="16.140625" style="16" customWidth="1"/>
    <col min="8976" max="8977" width="0" style="16" hidden="1" customWidth="1"/>
    <col min="8978" max="9216" width="9.140625" style="16"/>
    <col min="9217" max="9217" width="54.42578125" style="16" customWidth="1"/>
    <col min="9218" max="9218" width="9.140625" style="16"/>
    <col min="9219" max="9219" width="15.5703125" style="16" customWidth="1"/>
    <col min="9220" max="9222" width="0" style="16" hidden="1" customWidth="1"/>
    <col min="9223" max="9223" width="13.85546875" style="16" customWidth="1"/>
    <col min="9224" max="9226" width="0" style="16" hidden="1" customWidth="1"/>
    <col min="9227" max="9227" width="15.42578125" style="16" bestFit="1" customWidth="1"/>
    <col min="9228" max="9230" width="0" style="16" hidden="1" customWidth="1"/>
    <col min="9231" max="9231" width="16.140625" style="16" customWidth="1"/>
    <col min="9232" max="9233" width="0" style="16" hidden="1" customWidth="1"/>
    <col min="9234" max="9472" width="9.140625" style="16"/>
    <col min="9473" max="9473" width="54.42578125" style="16" customWidth="1"/>
    <col min="9474" max="9474" width="9.140625" style="16"/>
    <col min="9475" max="9475" width="15.5703125" style="16" customWidth="1"/>
    <col min="9476" max="9478" width="0" style="16" hidden="1" customWidth="1"/>
    <col min="9479" max="9479" width="13.85546875" style="16" customWidth="1"/>
    <col min="9480" max="9482" width="0" style="16" hidden="1" customWidth="1"/>
    <col min="9483" max="9483" width="15.42578125" style="16" bestFit="1" customWidth="1"/>
    <col min="9484" max="9486" width="0" style="16" hidden="1" customWidth="1"/>
    <col min="9487" max="9487" width="16.140625" style="16" customWidth="1"/>
    <col min="9488" max="9489" width="0" style="16" hidden="1" customWidth="1"/>
    <col min="9490" max="9728" width="9.140625" style="16"/>
    <col min="9729" max="9729" width="54.42578125" style="16" customWidth="1"/>
    <col min="9730" max="9730" width="9.140625" style="16"/>
    <col min="9731" max="9731" width="15.5703125" style="16" customWidth="1"/>
    <col min="9732" max="9734" width="0" style="16" hidden="1" customWidth="1"/>
    <col min="9735" max="9735" width="13.85546875" style="16" customWidth="1"/>
    <col min="9736" max="9738" width="0" style="16" hidden="1" customWidth="1"/>
    <col min="9739" max="9739" width="15.42578125" style="16" bestFit="1" customWidth="1"/>
    <col min="9740" max="9742" width="0" style="16" hidden="1" customWidth="1"/>
    <col min="9743" max="9743" width="16.140625" style="16" customWidth="1"/>
    <col min="9744" max="9745" width="0" style="16" hidden="1" customWidth="1"/>
    <col min="9746" max="9984" width="9.140625" style="16"/>
    <col min="9985" max="9985" width="54.42578125" style="16" customWidth="1"/>
    <col min="9986" max="9986" width="9.140625" style="16"/>
    <col min="9987" max="9987" width="15.5703125" style="16" customWidth="1"/>
    <col min="9988" max="9990" width="0" style="16" hidden="1" customWidth="1"/>
    <col min="9991" max="9991" width="13.85546875" style="16" customWidth="1"/>
    <col min="9992" max="9994" width="0" style="16" hidden="1" customWidth="1"/>
    <col min="9995" max="9995" width="15.42578125" style="16" bestFit="1" customWidth="1"/>
    <col min="9996" max="9998" width="0" style="16" hidden="1" customWidth="1"/>
    <col min="9999" max="9999" width="16.140625" style="16" customWidth="1"/>
    <col min="10000" max="10001" width="0" style="16" hidden="1" customWidth="1"/>
    <col min="10002" max="10240" width="9.140625" style="16"/>
    <col min="10241" max="10241" width="54.42578125" style="16" customWidth="1"/>
    <col min="10242" max="10242" width="9.140625" style="16"/>
    <col min="10243" max="10243" width="15.5703125" style="16" customWidth="1"/>
    <col min="10244" max="10246" width="0" style="16" hidden="1" customWidth="1"/>
    <col min="10247" max="10247" width="13.85546875" style="16" customWidth="1"/>
    <col min="10248" max="10250" width="0" style="16" hidden="1" customWidth="1"/>
    <col min="10251" max="10251" width="15.42578125" style="16" bestFit="1" customWidth="1"/>
    <col min="10252" max="10254" width="0" style="16" hidden="1" customWidth="1"/>
    <col min="10255" max="10255" width="16.140625" style="16" customWidth="1"/>
    <col min="10256" max="10257" width="0" style="16" hidden="1" customWidth="1"/>
    <col min="10258" max="10496" width="9.140625" style="16"/>
    <col min="10497" max="10497" width="54.42578125" style="16" customWidth="1"/>
    <col min="10498" max="10498" width="9.140625" style="16"/>
    <col min="10499" max="10499" width="15.5703125" style="16" customWidth="1"/>
    <col min="10500" max="10502" width="0" style="16" hidden="1" customWidth="1"/>
    <col min="10503" max="10503" width="13.85546875" style="16" customWidth="1"/>
    <col min="10504" max="10506" width="0" style="16" hidden="1" customWidth="1"/>
    <col min="10507" max="10507" width="15.42578125" style="16" bestFit="1" customWidth="1"/>
    <col min="10508" max="10510" width="0" style="16" hidden="1" customWidth="1"/>
    <col min="10511" max="10511" width="16.140625" style="16" customWidth="1"/>
    <col min="10512" max="10513" width="0" style="16" hidden="1" customWidth="1"/>
    <col min="10514" max="10752" width="9.140625" style="16"/>
    <col min="10753" max="10753" width="54.42578125" style="16" customWidth="1"/>
    <col min="10754" max="10754" width="9.140625" style="16"/>
    <col min="10755" max="10755" width="15.5703125" style="16" customWidth="1"/>
    <col min="10756" max="10758" width="0" style="16" hidden="1" customWidth="1"/>
    <col min="10759" max="10759" width="13.85546875" style="16" customWidth="1"/>
    <col min="10760" max="10762" width="0" style="16" hidden="1" customWidth="1"/>
    <col min="10763" max="10763" width="15.42578125" style="16" bestFit="1" customWidth="1"/>
    <col min="10764" max="10766" width="0" style="16" hidden="1" customWidth="1"/>
    <col min="10767" max="10767" width="16.140625" style="16" customWidth="1"/>
    <col min="10768" max="10769" width="0" style="16" hidden="1" customWidth="1"/>
    <col min="10770" max="11008" width="9.140625" style="16"/>
    <col min="11009" max="11009" width="54.42578125" style="16" customWidth="1"/>
    <col min="11010" max="11010" width="9.140625" style="16"/>
    <col min="11011" max="11011" width="15.5703125" style="16" customWidth="1"/>
    <col min="11012" max="11014" width="0" style="16" hidden="1" customWidth="1"/>
    <col min="11015" max="11015" width="13.85546875" style="16" customWidth="1"/>
    <col min="11016" max="11018" width="0" style="16" hidden="1" customWidth="1"/>
    <col min="11019" max="11019" width="15.42578125" style="16" bestFit="1" customWidth="1"/>
    <col min="11020" max="11022" width="0" style="16" hidden="1" customWidth="1"/>
    <col min="11023" max="11023" width="16.140625" style="16" customWidth="1"/>
    <col min="11024" max="11025" width="0" style="16" hidden="1" customWidth="1"/>
    <col min="11026" max="11264" width="9.140625" style="16"/>
    <col min="11265" max="11265" width="54.42578125" style="16" customWidth="1"/>
    <col min="11266" max="11266" width="9.140625" style="16"/>
    <col min="11267" max="11267" width="15.5703125" style="16" customWidth="1"/>
    <col min="11268" max="11270" width="0" style="16" hidden="1" customWidth="1"/>
    <col min="11271" max="11271" width="13.85546875" style="16" customWidth="1"/>
    <col min="11272" max="11274" width="0" style="16" hidden="1" customWidth="1"/>
    <col min="11275" max="11275" width="15.42578125" style="16" bestFit="1" customWidth="1"/>
    <col min="11276" max="11278" width="0" style="16" hidden="1" customWidth="1"/>
    <col min="11279" max="11279" width="16.140625" style="16" customWidth="1"/>
    <col min="11280" max="11281" width="0" style="16" hidden="1" customWidth="1"/>
    <col min="11282" max="11520" width="9.140625" style="16"/>
    <col min="11521" max="11521" width="54.42578125" style="16" customWidth="1"/>
    <col min="11522" max="11522" width="9.140625" style="16"/>
    <col min="11523" max="11523" width="15.5703125" style="16" customWidth="1"/>
    <col min="11524" max="11526" width="0" style="16" hidden="1" customWidth="1"/>
    <col min="11527" max="11527" width="13.85546875" style="16" customWidth="1"/>
    <col min="11528" max="11530" width="0" style="16" hidden="1" customWidth="1"/>
    <col min="11531" max="11531" width="15.42578125" style="16" bestFit="1" customWidth="1"/>
    <col min="11532" max="11534" width="0" style="16" hidden="1" customWidth="1"/>
    <col min="11535" max="11535" width="16.140625" style="16" customWidth="1"/>
    <col min="11536" max="11537" width="0" style="16" hidden="1" customWidth="1"/>
    <col min="11538" max="11776" width="9.140625" style="16"/>
    <col min="11777" max="11777" width="54.42578125" style="16" customWidth="1"/>
    <col min="11778" max="11778" width="9.140625" style="16"/>
    <col min="11779" max="11779" width="15.5703125" style="16" customWidth="1"/>
    <col min="11780" max="11782" width="0" style="16" hidden="1" customWidth="1"/>
    <col min="11783" max="11783" width="13.85546875" style="16" customWidth="1"/>
    <col min="11784" max="11786" width="0" style="16" hidden="1" customWidth="1"/>
    <col min="11787" max="11787" width="15.42578125" style="16" bestFit="1" customWidth="1"/>
    <col min="11788" max="11790" width="0" style="16" hidden="1" customWidth="1"/>
    <col min="11791" max="11791" width="16.140625" style="16" customWidth="1"/>
    <col min="11792" max="11793" width="0" style="16" hidden="1" customWidth="1"/>
    <col min="11794" max="12032" width="9.140625" style="16"/>
    <col min="12033" max="12033" width="54.42578125" style="16" customWidth="1"/>
    <col min="12034" max="12034" width="9.140625" style="16"/>
    <col min="12035" max="12035" width="15.5703125" style="16" customWidth="1"/>
    <col min="12036" max="12038" width="0" style="16" hidden="1" customWidth="1"/>
    <col min="12039" max="12039" width="13.85546875" style="16" customWidth="1"/>
    <col min="12040" max="12042" width="0" style="16" hidden="1" customWidth="1"/>
    <col min="12043" max="12043" width="15.42578125" style="16" bestFit="1" customWidth="1"/>
    <col min="12044" max="12046" width="0" style="16" hidden="1" customWidth="1"/>
    <col min="12047" max="12047" width="16.140625" style="16" customWidth="1"/>
    <col min="12048" max="12049" width="0" style="16" hidden="1" customWidth="1"/>
    <col min="12050" max="12288" width="9.140625" style="16"/>
    <col min="12289" max="12289" width="54.42578125" style="16" customWidth="1"/>
    <col min="12290" max="12290" width="9.140625" style="16"/>
    <col min="12291" max="12291" width="15.5703125" style="16" customWidth="1"/>
    <col min="12292" max="12294" width="0" style="16" hidden="1" customWidth="1"/>
    <col min="12295" max="12295" width="13.85546875" style="16" customWidth="1"/>
    <col min="12296" max="12298" width="0" style="16" hidden="1" customWidth="1"/>
    <col min="12299" max="12299" width="15.42578125" style="16" bestFit="1" customWidth="1"/>
    <col min="12300" max="12302" width="0" style="16" hidden="1" customWidth="1"/>
    <col min="12303" max="12303" width="16.140625" style="16" customWidth="1"/>
    <col min="12304" max="12305" width="0" style="16" hidden="1" customWidth="1"/>
    <col min="12306" max="12544" width="9.140625" style="16"/>
    <col min="12545" max="12545" width="54.42578125" style="16" customWidth="1"/>
    <col min="12546" max="12546" width="9.140625" style="16"/>
    <col min="12547" max="12547" width="15.5703125" style="16" customWidth="1"/>
    <col min="12548" max="12550" width="0" style="16" hidden="1" customWidth="1"/>
    <col min="12551" max="12551" width="13.85546875" style="16" customWidth="1"/>
    <col min="12552" max="12554" width="0" style="16" hidden="1" customWidth="1"/>
    <col min="12555" max="12555" width="15.42578125" style="16" bestFit="1" customWidth="1"/>
    <col min="12556" max="12558" width="0" style="16" hidden="1" customWidth="1"/>
    <col min="12559" max="12559" width="16.140625" style="16" customWidth="1"/>
    <col min="12560" max="12561" width="0" style="16" hidden="1" customWidth="1"/>
    <col min="12562" max="12800" width="9.140625" style="16"/>
    <col min="12801" max="12801" width="54.42578125" style="16" customWidth="1"/>
    <col min="12802" max="12802" width="9.140625" style="16"/>
    <col min="12803" max="12803" width="15.5703125" style="16" customWidth="1"/>
    <col min="12804" max="12806" width="0" style="16" hidden="1" customWidth="1"/>
    <col min="12807" max="12807" width="13.85546875" style="16" customWidth="1"/>
    <col min="12808" max="12810" width="0" style="16" hidden="1" customWidth="1"/>
    <col min="12811" max="12811" width="15.42578125" style="16" bestFit="1" customWidth="1"/>
    <col min="12812" max="12814" width="0" style="16" hidden="1" customWidth="1"/>
    <col min="12815" max="12815" width="16.140625" style="16" customWidth="1"/>
    <col min="12816" max="12817" width="0" style="16" hidden="1" customWidth="1"/>
    <col min="12818" max="13056" width="9.140625" style="16"/>
    <col min="13057" max="13057" width="54.42578125" style="16" customWidth="1"/>
    <col min="13058" max="13058" width="9.140625" style="16"/>
    <col min="13059" max="13059" width="15.5703125" style="16" customWidth="1"/>
    <col min="13060" max="13062" width="0" style="16" hidden="1" customWidth="1"/>
    <col min="13063" max="13063" width="13.85546875" style="16" customWidth="1"/>
    <col min="13064" max="13066" width="0" style="16" hidden="1" customWidth="1"/>
    <col min="13067" max="13067" width="15.42578125" style="16" bestFit="1" customWidth="1"/>
    <col min="13068" max="13070" width="0" style="16" hidden="1" customWidth="1"/>
    <col min="13071" max="13071" width="16.140625" style="16" customWidth="1"/>
    <col min="13072" max="13073" width="0" style="16" hidden="1" customWidth="1"/>
    <col min="13074" max="13312" width="9.140625" style="16"/>
    <col min="13313" max="13313" width="54.42578125" style="16" customWidth="1"/>
    <col min="13314" max="13314" width="9.140625" style="16"/>
    <col min="13315" max="13315" width="15.5703125" style="16" customWidth="1"/>
    <col min="13316" max="13318" width="0" style="16" hidden="1" customWidth="1"/>
    <col min="13319" max="13319" width="13.85546875" style="16" customWidth="1"/>
    <col min="13320" max="13322" width="0" style="16" hidden="1" customWidth="1"/>
    <col min="13323" max="13323" width="15.42578125" style="16" bestFit="1" customWidth="1"/>
    <col min="13324" max="13326" width="0" style="16" hidden="1" customWidth="1"/>
    <col min="13327" max="13327" width="16.140625" style="16" customWidth="1"/>
    <col min="13328" max="13329" width="0" style="16" hidden="1" customWidth="1"/>
    <col min="13330" max="13568" width="9.140625" style="16"/>
    <col min="13569" max="13569" width="54.42578125" style="16" customWidth="1"/>
    <col min="13570" max="13570" width="9.140625" style="16"/>
    <col min="13571" max="13571" width="15.5703125" style="16" customWidth="1"/>
    <col min="13572" max="13574" width="0" style="16" hidden="1" customWidth="1"/>
    <col min="13575" max="13575" width="13.85546875" style="16" customWidth="1"/>
    <col min="13576" max="13578" width="0" style="16" hidden="1" customWidth="1"/>
    <col min="13579" max="13579" width="15.42578125" style="16" bestFit="1" customWidth="1"/>
    <col min="13580" max="13582" width="0" style="16" hidden="1" customWidth="1"/>
    <col min="13583" max="13583" width="16.140625" style="16" customWidth="1"/>
    <col min="13584" max="13585" width="0" style="16" hidden="1" customWidth="1"/>
    <col min="13586" max="13824" width="9.140625" style="16"/>
    <col min="13825" max="13825" width="54.42578125" style="16" customWidth="1"/>
    <col min="13826" max="13826" width="9.140625" style="16"/>
    <col min="13827" max="13827" width="15.5703125" style="16" customWidth="1"/>
    <col min="13828" max="13830" width="0" style="16" hidden="1" customWidth="1"/>
    <col min="13831" max="13831" width="13.85546875" style="16" customWidth="1"/>
    <col min="13832" max="13834" width="0" style="16" hidden="1" customWidth="1"/>
    <col min="13835" max="13835" width="15.42578125" style="16" bestFit="1" customWidth="1"/>
    <col min="13836" max="13838" width="0" style="16" hidden="1" customWidth="1"/>
    <col min="13839" max="13839" width="16.140625" style="16" customWidth="1"/>
    <col min="13840" max="13841" width="0" style="16" hidden="1" customWidth="1"/>
    <col min="13842" max="14080" width="9.140625" style="16"/>
    <col min="14081" max="14081" width="54.42578125" style="16" customWidth="1"/>
    <col min="14082" max="14082" width="9.140625" style="16"/>
    <col min="14083" max="14083" width="15.5703125" style="16" customWidth="1"/>
    <col min="14084" max="14086" width="0" style="16" hidden="1" customWidth="1"/>
    <col min="14087" max="14087" width="13.85546875" style="16" customWidth="1"/>
    <col min="14088" max="14090" width="0" style="16" hidden="1" customWidth="1"/>
    <col min="14091" max="14091" width="15.42578125" style="16" bestFit="1" customWidth="1"/>
    <col min="14092" max="14094" width="0" style="16" hidden="1" customWidth="1"/>
    <col min="14095" max="14095" width="16.140625" style="16" customWidth="1"/>
    <col min="14096" max="14097" width="0" style="16" hidden="1" customWidth="1"/>
    <col min="14098" max="14336" width="9.140625" style="16"/>
    <col min="14337" max="14337" width="54.42578125" style="16" customWidth="1"/>
    <col min="14338" max="14338" width="9.140625" style="16"/>
    <col min="14339" max="14339" width="15.5703125" style="16" customWidth="1"/>
    <col min="14340" max="14342" width="0" style="16" hidden="1" customWidth="1"/>
    <col min="14343" max="14343" width="13.85546875" style="16" customWidth="1"/>
    <col min="14344" max="14346" width="0" style="16" hidden="1" customWidth="1"/>
    <col min="14347" max="14347" width="15.42578125" style="16" bestFit="1" customWidth="1"/>
    <col min="14348" max="14350" width="0" style="16" hidden="1" customWidth="1"/>
    <col min="14351" max="14351" width="16.140625" style="16" customWidth="1"/>
    <col min="14352" max="14353" width="0" style="16" hidden="1" customWidth="1"/>
    <col min="14354" max="14592" width="9.140625" style="16"/>
    <col min="14593" max="14593" width="54.42578125" style="16" customWidth="1"/>
    <col min="14594" max="14594" width="9.140625" style="16"/>
    <col min="14595" max="14595" width="15.5703125" style="16" customWidth="1"/>
    <col min="14596" max="14598" width="0" style="16" hidden="1" customWidth="1"/>
    <col min="14599" max="14599" width="13.85546875" style="16" customWidth="1"/>
    <col min="14600" max="14602" width="0" style="16" hidden="1" customWidth="1"/>
    <col min="14603" max="14603" width="15.42578125" style="16" bestFit="1" customWidth="1"/>
    <col min="14604" max="14606" width="0" style="16" hidden="1" customWidth="1"/>
    <col min="14607" max="14607" width="16.140625" style="16" customWidth="1"/>
    <col min="14608" max="14609" width="0" style="16" hidden="1" customWidth="1"/>
    <col min="14610" max="14848" width="9.140625" style="16"/>
    <col min="14849" max="14849" width="54.42578125" style="16" customWidth="1"/>
    <col min="14850" max="14850" width="9.140625" style="16"/>
    <col min="14851" max="14851" width="15.5703125" style="16" customWidth="1"/>
    <col min="14852" max="14854" width="0" style="16" hidden="1" customWidth="1"/>
    <col min="14855" max="14855" width="13.85546875" style="16" customWidth="1"/>
    <col min="14856" max="14858" width="0" style="16" hidden="1" customWidth="1"/>
    <col min="14859" max="14859" width="15.42578125" style="16" bestFit="1" customWidth="1"/>
    <col min="14860" max="14862" width="0" style="16" hidden="1" customWidth="1"/>
    <col min="14863" max="14863" width="16.140625" style="16" customWidth="1"/>
    <col min="14864" max="14865" width="0" style="16" hidden="1" customWidth="1"/>
    <col min="14866" max="15104" width="9.140625" style="16"/>
    <col min="15105" max="15105" width="54.42578125" style="16" customWidth="1"/>
    <col min="15106" max="15106" width="9.140625" style="16"/>
    <col min="15107" max="15107" width="15.5703125" style="16" customWidth="1"/>
    <col min="15108" max="15110" width="0" style="16" hidden="1" customWidth="1"/>
    <col min="15111" max="15111" width="13.85546875" style="16" customWidth="1"/>
    <col min="15112" max="15114" width="0" style="16" hidden="1" customWidth="1"/>
    <col min="15115" max="15115" width="15.42578125" style="16" bestFit="1" customWidth="1"/>
    <col min="15116" max="15118" width="0" style="16" hidden="1" customWidth="1"/>
    <col min="15119" max="15119" width="16.140625" style="16" customWidth="1"/>
    <col min="15120" max="15121" width="0" style="16" hidden="1" customWidth="1"/>
    <col min="15122" max="15360" width="9.140625" style="16"/>
    <col min="15361" max="15361" width="54.42578125" style="16" customWidth="1"/>
    <col min="15362" max="15362" width="9.140625" style="16"/>
    <col min="15363" max="15363" width="15.5703125" style="16" customWidth="1"/>
    <col min="15364" max="15366" width="0" style="16" hidden="1" customWidth="1"/>
    <col min="15367" max="15367" width="13.85546875" style="16" customWidth="1"/>
    <col min="15368" max="15370" width="0" style="16" hidden="1" customWidth="1"/>
    <col min="15371" max="15371" width="15.42578125" style="16" bestFit="1" customWidth="1"/>
    <col min="15372" max="15374" width="0" style="16" hidden="1" customWidth="1"/>
    <col min="15375" max="15375" width="16.140625" style="16" customWidth="1"/>
    <col min="15376" max="15377" width="0" style="16" hidden="1" customWidth="1"/>
    <col min="15378" max="15616" width="9.140625" style="16"/>
    <col min="15617" max="15617" width="54.42578125" style="16" customWidth="1"/>
    <col min="15618" max="15618" width="9.140625" style="16"/>
    <col min="15619" max="15619" width="15.5703125" style="16" customWidth="1"/>
    <col min="15620" max="15622" width="0" style="16" hidden="1" customWidth="1"/>
    <col min="15623" max="15623" width="13.85546875" style="16" customWidth="1"/>
    <col min="15624" max="15626" width="0" style="16" hidden="1" customWidth="1"/>
    <col min="15627" max="15627" width="15.42578125" style="16" bestFit="1" customWidth="1"/>
    <col min="15628" max="15630" width="0" style="16" hidden="1" customWidth="1"/>
    <col min="15631" max="15631" width="16.140625" style="16" customWidth="1"/>
    <col min="15632" max="15633" width="0" style="16" hidden="1" customWidth="1"/>
    <col min="15634" max="15872" width="9.140625" style="16"/>
    <col min="15873" max="15873" width="54.42578125" style="16" customWidth="1"/>
    <col min="15874" max="15874" width="9.140625" style="16"/>
    <col min="15875" max="15875" width="15.5703125" style="16" customWidth="1"/>
    <col min="15876" max="15878" width="0" style="16" hidden="1" customWidth="1"/>
    <col min="15879" max="15879" width="13.85546875" style="16" customWidth="1"/>
    <col min="15880" max="15882" width="0" style="16" hidden="1" customWidth="1"/>
    <col min="15883" max="15883" width="15.42578125" style="16" bestFit="1" customWidth="1"/>
    <col min="15884" max="15886" width="0" style="16" hidden="1" customWidth="1"/>
    <col min="15887" max="15887" width="16.140625" style="16" customWidth="1"/>
    <col min="15888" max="15889" width="0" style="16" hidden="1" customWidth="1"/>
    <col min="15890" max="16128" width="9.140625" style="16"/>
    <col min="16129" max="16129" width="54.42578125" style="16" customWidth="1"/>
    <col min="16130" max="16130" width="9.140625" style="16"/>
    <col min="16131" max="16131" width="15.5703125" style="16" customWidth="1"/>
    <col min="16132" max="16134" width="0" style="16" hidden="1" customWidth="1"/>
    <col min="16135" max="16135" width="13.85546875" style="16" customWidth="1"/>
    <col min="16136" max="16138" width="0" style="16" hidden="1" customWidth="1"/>
    <col min="16139" max="16139" width="15.42578125" style="16" bestFit="1" customWidth="1"/>
    <col min="16140" max="16142" width="0" style="16" hidden="1" customWidth="1"/>
    <col min="16143" max="16143" width="16.140625" style="16" customWidth="1"/>
    <col min="16144" max="16145" width="0" style="16" hidden="1" customWidth="1"/>
    <col min="16146" max="16384" width="9.140625" style="16"/>
  </cols>
  <sheetData>
    <row r="1" spans="1:17" x14ac:dyDescent="0.25">
      <c r="A1" s="398" t="s">
        <v>723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</row>
    <row r="2" spans="1:17" ht="21" customHeight="1" x14ac:dyDescent="0.3">
      <c r="A2" s="399" t="str">
        <f>'[1]1.'!A1</f>
        <v>Ják Község  Önkormányzata 2021. évi költségvetése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1"/>
      <c r="P2" s="402"/>
      <c r="Q2" s="402"/>
    </row>
    <row r="3" spans="1:17" ht="18.75" customHeight="1" x14ac:dyDescent="0.3">
      <c r="A3" s="403" t="s">
        <v>29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  <c r="P3" s="402"/>
      <c r="Q3" s="402"/>
    </row>
    <row r="4" spans="1:17" ht="18.75" x14ac:dyDescent="0.3">
      <c r="A4" s="17"/>
      <c r="O4" s="19"/>
    </row>
    <row r="5" spans="1:17" x14ac:dyDescent="0.25">
      <c r="A5" s="20" t="s">
        <v>30</v>
      </c>
      <c r="G5" s="4"/>
      <c r="N5" s="21"/>
      <c r="P5" s="21"/>
    </row>
    <row r="6" spans="1:17" ht="25.5" customHeight="1" x14ac:dyDescent="0.25">
      <c r="A6" s="404" t="s">
        <v>31</v>
      </c>
      <c r="B6" s="406" t="s">
        <v>32</v>
      </c>
      <c r="C6" s="408" t="s">
        <v>33</v>
      </c>
      <c r="D6" s="409"/>
      <c r="E6" s="409"/>
      <c r="F6" s="410"/>
      <c r="G6" s="408" t="s">
        <v>34</v>
      </c>
      <c r="H6" s="409"/>
      <c r="I6" s="409"/>
      <c r="J6" s="410"/>
      <c r="K6" s="408" t="s">
        <v>35</v>
      </c>
      <c r="L6" s="409"/>
      <c r="M6" s="409"/>
      <c r="N6" s="410"/>
      <c r="O6" s="411" t="s">
        <v>36</v>
      </c>
      <c r="P6" s="412"/>
      <c r="Q6" s="412"/>
    </row>
    <row r="7" spans="1:17" x14ac:dyDescent="0.25">
      <c r="A7" s="405"/>
      <c r="B7" s="407"/>
      <c r="C7" s="22" t="s">
        <v>37</v>
      </c>
      <c r="D7" s="22" t="s">
        <v>38</v>
      </c>
      <c r="E7" s="23"/>
      <c r="F7" s="24" t="s">
        <v>39</v>
      </c>
      <c r="G7" s="22" t="s">
        <v>37</v>
      </c>
      <c r="H7" s="22" t="s">
        <v>38</v>
      </c>
      <c r="I7" s="23"/>
      <c r="J7" s="24" t="s">
        <v>39</v>
      </c>
      <c r="K7" s="22" t="s">
        <v>37</v>
      </c>
      <c r="L7" s="22" t="s">
        <v>38</v>
      </c>
      <c r="M7" s="23"/>
      <c r="N7" s="24" t="s">
        <v>39</v>
      </c>
      <c r="O7" s="22" t="s">
        <v>37</v>
      </c>
      <c r="P7" s="22" t="s">
        <v>38</v>
      </c>
      <c r="Q7" s="24" t="s">
        <v>39</v>
      </c>
    </row>
    <row r="8" spans="1:17" x14ac:dyDescent="0.25">
      <c r="A8" s="25" t="s">
        <v>40</v>
      </c>
      <c r="B8" s="26" t="s">
        <v>41</v>
      </c>
      <c r="C8" s="27">
        <v>121693465</v>
      </c>
      <c r="D8" s="28">
        <f>C8-500000-1179530-450030</f>
        <v>119563905</v>
      </c>
      <c r="E8" s="29">
        <f>SUM(D8-C8)</f>
        <v>-2129560</v>
      </c>
      <c r="F8" s="28"/>
      <c r="G8" s="30"/>
      <c r="H8" s="28"/>
      <c r="I8" s="29">
        <f>SUM(H8-G8)</f>
        <v>0</v>
      </c>
      <c r="J8" s="28"/>
      <c r="K8" s="30">
        <v>62881500</v>
      </c>
      <c r="L8" s="28">
        <f>K8-2817258</f>
        <v>60064242</v>
      </c>
      <c r="M8" s="29">
        <f>SUM(L8-K8)</f>
        <v>-2817258</v>
      </c>
      <c r="N8" s="28"/>
      <c r="O8" s="31">
        <f t="shared" ref="O8:P39" si="0">SUM(C8,G8,K8)</f>
        <v>184574965</v>
      </c>
      <c r="P8" s="31">
        <f>D8+L8</f>
        <v>179628147</v>
      </c>
      <c r="Q8" s="31"/>
    </row>
    <row r="9" spans="1:17" x14ac:dyDescent="0.25">
      <c r="A9" s="25" t="s">
        <v>42</v>
      </c>
      <c r="B9" s="32" t="s">
        <v>43</v>
      </c>
      <c r="C9" s="27"/>
      <c r="D9" s="28"/>
      <c r="E9" s="29">
        <f t="shared" ref="E9:E72" si="1">SUM(D9-C9)</f>
        <v>0</v>
      </c>
      <c r="F9" s="28"/>
      <c r="G9" s="30"/>
      <c r="H9" s="28"/>
      <c r="I9" s="29">
        <f t="shared" ref="I9:I72" si="2">SUM(H9-G9)</f>
        <v>0</v>
      </c>
      <c r="J9" s="28"/>
      <c r="K9" s="30"/>
      <c r="L9" s="28"/>
      <c r="M9" s="29">
        <f t="shared" ref="M9:M72" si="3">SUM(L9-K9)</f>
        <v>0</v>
      </c>
      <c r="N9" s="28"/>
      <c r="O9" s="31">
        <f t="shared" si="0"/>
        <v>0</v>
      </c>
      <c r="P9" s="31">
        <f t="shared" si="0"/>
        <v>0</v>
      </c>
      <c r="Q9" s="31"/>
    </row>
    <row r="10" spans="1:17" x14ac:dyDescent="0.25">
      <c r="A10" s="25" t="s">
        <v>44</v>
      </c>
      <c r="B10" s="32" t="s">
        <v>45</v>
      </c>
      <c r="C10" s="27">
        <v>372500</v>
      </c>
      <c r="D10" s="28">
        <f>C10+993630</f>
        <v>1366130</v>
      </c>
      <c r="E10" s="29">
        <f t="shared" si="1"/>
        <v>993630</v>
      </c>
      <c r="F10" s="28"/>
      <c r="G10" s="30"/>
      <c r="H10" s="28"/>
      <c r="I10" s="29">
        <f t="shared" si="2"/>
        <v>0</v>
      </c>
      <c r="J10" s="28"/>
      <c r="K10" s="30">
        <v>5394500</v>
      </c>
      <c r="L10" s="28">
        <f>K10</f>
        <v>5394500</v>
      </c>
      <c r="M10" s="29">
        <f t="shared" si="3"/>
        <v>0</v>
      </c>
      <c r="N10" s="28"/>
      <c r="O10" s="31">
        <f t="shared" si="0"/>
        <v>5767000</v>
      </c>
      <c r="P10" s="31">
        <f t="shared" si="0"/>
        <v>6760630</v>
      </c>
      <c r="Q10" s="31"/>
    </row>
    <row r="11" spans="1:17" x14ac:dyDescent="0.25">
      <c r="A11" s="25" t="s">
        <v>46</v>
      </c>
      <c r="B11" s="32" t="s">
        <v>47</v>
      </c>
      <c r="C11" s="27"/>
      <c r="D11" s="28">
        <v>135930</v>
      </c>
      <c r="E11" s="29">
        <f t="shared" si="1"/>
        <v>135930</v>
      </c>
      <c r="F11" s="28"/>
      <c r="G11" s="30"/>
      <c r="H11" s="28"/>
      <c r="I11" s="29">
        <f t="shared" si="2"/>
        <v>0</v>
      </c>
      <c r="J11" s="28"/>
      <c r="K11" s="30"/>
      <c r="L11" s="28"/>
      <c r="M11" s="29">
        <f t="shared" si="3"/>
        <v>0</v>
      </c>
      <c r="N11" s="28"/>
      <c r="O11" s="31">
        <f t="shared" si="0"/>
        <v>0</v>
      </c>
      <c r="P11" s="31">
        <f t="shared" si="0"/>
        <v>135930</v>
      </c>
      <c r="Q11" s="31"/>
    </row>
    <row r="12" spans="1:17" x14ac:dyDescent="0.25">
      <c r="A12" s="25" t="s">
        <v>48</v>
      </c>
      <c r="B12" s="32" t="s">
        <v>49</v>
      </c>
      <c r="C12" s="27"/>
      <c r="D12" s="28"/>
      <c r="E12" s="29">
        <f t="shared" si="1"/>
        <v>0</v>
      </c>
      <c r="F12" s="28"/>
      <c r="G12" s="30"/>
      <c r="H12" s="28"/>
      <c r="I12" s="29">
        <f t="shared" si="2"/>
        <v>0</v>
      </c>
      <c r="J12" s="28"/>
      <c r="K12" s="30"/>
      <c r="L12" s="28"/>
      <c r="M12" s="29">
        <f t="shared" si="3"/>
        <v>0</v>
      </c>
      <c r="N12" s="28"/>
      <c r="O12" s="31">
        <f t="shared" si="0"/>
        <v>0</v>
      </c>
      <c r="P12" s="31">
        <f t="shared" si="0"/>
        <v>0</v>
      </c>
      <c r="Q12" s="31"/>
    </row>
    <row r="13" spans="1:17" x14ac:dyDescent="0.25">
      <c r="A13" s="25" t="s">
        <v>50</v>
      </c>
      <c r="B13" s="32" t="s">
        <v>51</v>
      </c>
      <c r="C13" s="27">
        <v>2557100</v>
      </c>
      <c r="D13" s="28">
        <f t="shared" ref="D13:D16" si="4">C13</f>
        <v>2557100</v>
      </c>
      <c r="E13" s="29">
        <f t="shared" si="1"/>
        <v>0</v>
      </c>
      <c r="F13" s="28"/>
      <c r="G13" s="30"/>
      <c r="H13" s="28"/>
      <c r="I13" s="29">
        <f t="shared" si="2"/>
        <v>0</v>
      </c>
      <c r="J13" s="28"/>
      <c r="K13" s="30"/>
      <c r="L13" s="28"/>
      <c r="M13" s="29">
        <f t="shared" si="3"/>
        <v>0</v>
      </c>
      <c r="N13" s="28"/>
      <c r="O13" s="31">
        <f t="shared" si="0"/>
        <v>2557100</v>
      </c>
      <c r="P13" s="31">
        <f t="shared" si="0"/>
        <v>2557100</v>
      </c>
      <c r="Q13" s="31"/>
    </row>
    <row r="14" spans="1:17" x14ac:dyDescent="0.25">
      <c r="A14" s="25" t="s">
        <v>52</v>
      </c>
      <c r="B14" s="32" t="s">
        <v>53</v>
      </c>
      <c r="C14" s="27">
        <v>188679</v>
      </c>
      <c r="D14" s="28">
        <f>C14+159177</f>
        <v>347856</v>
      </c>
      <c r="E14" s="29">
        <f t="shared" si="1"/>
        <v>159177</v>
      </c>
      <c r="F14" s="28"/>
      <c r="G14" s="30"/>
      <c r="H14" s="28"/>
      <c r="I14" s="29">
        <f t="shared" si="2"/>
        <v>0</v>
      </c>
      <c r="J14" s="28"/>
      <c r="K14" s="30">
        <v>2424903</v>
      </c>
      <c r="L14" s="28">
        <f>K14+1546081</f>
        <v>3970984</v>
      </c>
      <c r="M14" s="29">
        <f t="shared" si="3"/>
        <v>1546081</v>
      </c>
      <c r="N14" s="28"/>
      <c r="O14" s="31">
        <f t="shared" si="0"/>
        <v>2613582</v>
      </c>
      <c r="P14" s="31">
        <f t="shared" si="0"/>
        <v>4318840</v>
      </c>
      <c r="Q14" s="31"/>
    </row>
    <row r="15" spans="1:17" x14ac:dyDescent="0.25">
      <c r="A15" s="25" t="s">
        <v>54</v>
      </c>
      <c r="B15" s="32" t="s">
        <v>55</v>
      </c>
      <c r="C15" s="27"/>
      <c r="D15" s="28"/>
      <c r="E15" s="29">
        <f t="shared" si="1"/>
        <v>0</v>
      </c>
      <c r="F15" s="28"/>
      <c r="G15" s="30"/>
      <c r="H15" s="28"/>
      <c r="I15" s="29">
        <f t="shared" si="2"/>
        <v>0</v>
      </c>
      <c r="J15" s="28"/>
      <c r="K15" s="30"/>
      <c r="L15" s="28"/>
      <c r="M15" s="29">
        <f t="shared" si="3"/>
        <v>0</v>
      </c>
      <c r="N15" s="28"/>
      <c r="O15" s="31">
        <f t="shared" si="0"/>
        <v>0</v>
      </c>
      <c r="P15" s="31">
        <f t="shared" si="0"/>
        <v>0</v>
      </c>
      <c r="Q15" s="31"/>
    </row>
    <row r="16" spans="1:17" x14ac:dyDescent="0.25">
      <c r="A16" s="33" t="s">
        <v>56</v>
      </c>
      <c r="B16" s="32" t="s">
        <v>57</v>
      </c>
      <c r="C16" s="27">
        <v>414680</v>
      </c>
      <c r="D16" s="28">
        <f t="shared" si="4"/>
        <v>414680</v>
      </c>
      <c r="E16" s="29">
        <f t="shared" si="1"/>
        <v>0</v>
      </c>
      <c r="F16" s="28"/>
      <c r="G16" s="30"/>
      <c r="H16" s="28"/>
      <c r="I16" s="29">
        <f t="shared" si="2"/>
        <v>0</v>
      </c>
      <c r="J16" s="28"/>
      <c r="K16" s="30">
        <v>634000</v>
      </c>
      <c r="L16" s="28">
        <f>K16</f>
        <v>634000</v>
      </c>
      <c r="M16" s="29">
        <f t="shared" si="3"/>
        <v>0</v>
      </c>
      <c r="N16" s="28"/>
      <c r="O16" s="31">
        <f t="shared" si="0"/>
        <v>1048680</v>
      </c>
      <c r="P16" s="31">
        <f t="shared" si="0"/>
        <v>1048680</v>
      </c>
      <c r="Q16" s="31"/>
    </row>
    <row r="17" spans="1:17" x14ac:dyDescent="0.25">
      <c r="A17" s="33" t="s">
        <v>58</v>
      </c>
      <c r="B17" s="32" t="s">
        <v>59</v>
      </c>
      <c r="C17" s="27"/>
      <c r="D17" s="28"/>
      <c r="E17" s="29">
        <f t="shared" si="1"/>
        <v>0</v>
      </c>
      <c r="F17" s="28"/>
      <c r="G17" s="30"/>
      <c r="H17" s="28"/>
      <c r="I17" s="29">
        <f t="shared" si="2"/>
        <v>0</v>
      </c>
      <c r="J17" s="28"/>
      <c r="K17" s="30"/>
      <c r="L17" s="28"/>
      <c r="M17" s="29">
        <f t="shared" si="3"/>
        <v>0</v>
      </c>
      <c r="N17" s="28"/>
      <c r="O17" s="31">
        <f t="shared" si="0"/>
        <v>0</v>
      </c>
      <c r="P17" s="31">
        <f t="shared" si="0"/>
        <v>0</v>
      </c>
      <c r="Q17" s="31"/>
    </row>
    <row r="18" spans="1:17" x14ac:dyDescent="0.25">
      <c r="A18" s="33" t="s">
        <v>60</v>
      </c>
      <c r="B18" s="32" t="s">
        <v>61</v>
      </c>
      <c r="C18" s="27"/>
      <c r="D18" s="28"/>
      <c r="E18" s="29">
        <f t="shared" si="1"/>
        <v>0</v>
      </c>
      <c r="F18" s="28"/>
      <c r="G18" s="30"/>
      <c r="H18" s="28"/>
      <c r="I18" s="29">
        <f t="shared" si="2"/>
        <v>0</v>
      </c>
      <c r="J18" s="28"/>
      <c r="K18" s="30"/>
      <c r="L18" s="28"/>
      <c r="M18" s="29">
        <f t="shared" si="3"/>
        <v>0</v>
      </c>
      <c r="N18" s="28"/>
      <c r="O18" s="31">
        <f t="shared" si="0"/>
        <v>0</v>
      </c>
      <c r="P18" s="31">
        <f t="shared" si="0"/>
        <v>0</v>
      </c>
      <c r="Q18" s="31"/>
    </row>
    <row r="19" spans="1:17" x14ac:dyDescent="0.25">
      <c r="A19" s="33" t="s">
        <v>62</v>
      </c>
      <c r="B19" s="32" t="s">
        <v>63</v>
      </c>
      <c r="C19" s="27"/>
      <c r="D19" s="28"/>
      <c r="E19" s="29">
        <f t="shared" si="1"/>
        <v>0</v>
      </c>
      <c r="F19" s="28"/>
      <c r="G19" s="30"/>
      <c r="H19" s="28"/>
      <c r="I19" s="29">
        <f t="shared" si="2"/>
        <v>0</v>
      </c>
      <c r="J19" s="28"/>
      <c r="K19" s="30"/>
      <c r="L19" s="28"/>
      <c r="M19" s="29">
        <f t="shared" si="3"/>
        <v>0</v>
      </c>
      <c r="N19" s="28"/>
      <c r="O19" s="31">
        <f t="shared" si="0"/>
        <v>0</v>
      </c>
      <c r="P19" s="31">
        <f t="shared" si="0"/>
        <v>0</v>
      </c>
      <c r="Q19" s="31"/>
    </row>
    <row r="20" spans="1:17" x14ac:dyDescent="0.25">
      <c r="A20" s="33" t="s">
        <v>64</v>
      </c>
      <c r="B20" s="32" t="s">
        <v>65</v>
      </c>
      <c r="C20" s="27"/>
      <c r="D20" s="28">
        <f>3822000-722000</f>
        <v>3100000</v>
      </c>
      <c r="E20" s="29">
        <f t="shared" si="1"/>
        <v>3100000</v>
      </c>
      <c r="F20" s="28"/>
      <c r="G20" s="30"/>
      <c r="H20" s="28"/>
      <c r="I20" s="29">
        <f t="shared" si="2"/>
        <v>0</v>
      </c>
      <c r="J20" s="28"/>
      <c r="K20" s="30"/>
      <c r="L20" s="28">
        <v>722000</v>
      </c>
      <c r="M20" s="29">
        <f t="shared" si="3"/>
        <v>722000</v>
      </c>
      <c r="N20" s="28"/>
      <c r="O20" s="31">
        <f t="shared" si="0"/>
        <v>0</v>
      </c>
      <c r="P20" s="31">
        <f t="shared" si="0"/>
        <v>3822000</v>
      </c>
      <c r="Q20" s="31"/>
    </row>
    <row r="21" spans="1:17" x14ac:dyDescent="0.25">
      <c r="A21" s="34" t="s">
        <v>66</v>
      </c>
      <c r="B21" s="35" t="s">
        <v>67</v>
      </c>
      <c r="C21" s="36">
        <f>SUM(C8:C20)</f>
        <v>125226424</v>
      </c>
      <c r="D21" s="36">
        <f>SUM(D8:D20)</f>
        <v>127485601</v>
      </c>
      <c r="E21" s="29">
        <f t="shared" si="1"/>
        <v>2259177</v>
      </c>
      <c r="F21" s="36">
        <f t="shared" ref="F21:N21" si="5">SUM(F8:F20)</f>
        <v>0</v>
      </c>
      <c r="G21" s="36">
        <f t="shared" si="5"/>
        <v>0</v>
      </c>
      <c r="H21" s="36">
        <f>SUM(H8:H20)</f>
        <v>0</v>
      </c>
      <c r="I21" s="29">
        <f t="shared" si="2"/>
        <v>0</v>
      </c>
      <c r="J21" s="36">
        <f t="shared" si="5"/>
        <v>0</v>
      </c>
      <c r="K21" s="36">
        <f t="shared" si="5"/>
        <v>71334903</v>
      </c>
      <c r="L21" s="36">
        <f>SUM(L8:L20)</f>
        <v>70785726</v>
      </c>
      <c r="M21" s="29">
        <f t="shared" si="3"/>
        <v>-549177</v>
      </c>
      <c r="N21" s="36">
        <f t="shared" si="5"/>
        <v>0</v>
      </c>
      <c r="O21" s="36">
        <f t="shared" si="0"/>
        <v>196561327</v>
      </c>
      <c r="P21" s="36">
        <f t="shared" si="0"/>
        <v>198271327</v>
      </c>
      <c r="Q21" s="36"/>
    </row>
    <row r="22" spans="1:17" x14ac:dyDescent="0.25">
      <c r="A22" s="33" t="s">
        <v>68</v>
      </c>
      <c r="B22" s="32" t="s">
        <v>69</v>
      </c>
      <c r="C22" s="27"/>
      <c r="D22" s="28"/>
      <c r="E22" s="29">
        <f t="shared" si="1"/>
        <v>0</v>
      </c>
      <c r="F22" s="28"/>
      <c r="G22" s="30"/>
      <c r="H22" s="28"/>
      <c r="I22" s="29">
        <f t="shared" si="2"/>
        <v>0</v>
      </c>
      <c r="J22" s="28"/>
      <c r="K22" s="30">
        <v>7914048</v>
      </c>
      <c r="L22" s="28">
        <f>K22</f>
        <v>7914048</v>
      </c>
      <c r="M22" s="29">
        <f t="shared" si="3"/>
        <v>0</v>
      </c>
      <c r="N22" s="28"/>
      <c r="O22" s="31">
        <f t="shared" si="0"/>
        <v>7914048</v>
      </c>
      <c r="P22" s="31">
        <f t="shared" si="0"/>
        <v>7914048</v>
      </c>
      <c r="Q22" s="31"/>
    </row>
    <row r="23" spans="1:17" ht="33.75" customHeight="1" x14ac:dyDescent="0.25">
      <c r="A23" s="33" t="s">
        <v>70</v>
      </c>
      <c r="B23" s="32" t="s">
        <v>71</v>
      </c>
      <c r="C23" s="27"/>
      <c r="D23" s="28"/>
      <c r="E23" s="29">
        <f t="shared" si="1"/>
        <v>0</v>
      </c>
      <c r="F23" s="28"/>
      <c r="G23" s="30"/>
      <c r="H23" s="28"/>
      <c r="I23" s="29">
        <f t="shared" si="2"/>
        <v>0</v>
      </c>
      <c r="J23" s="28"/>
      <c r="K23" s="30"/>
      <c r="L23" s="28"/>
      <c r="M23" s="29">
        <f t="shared" si="3"/>
        <v>0</v>
      </c>
      <c r="N23" s="28"/>
      <c r="O23" s="31">
        <f t="shared" si="0"/>
        <v>0</v>
      </c>
      <c r="P23" s="31">
        <f t="shared" si="0"/>
        <v>0</v>
      </c>
      <c r="Q23" s="31"/>
    </row>
    <row r="24" spans="1:17" x14ac:dyDescent="0.25">
      <c r="A24" s="33" t="s">
        <v>72</v>
      </c>
      <c r="B24" s="32" t="s">
        <v>73</v>
      </c>
      <c r="C24" s="27">
        <v>4418000</v>
      </c>
      <c r="D24" s="28">
        <f>C24-2100000</f>
        <v>2318000</v>
      </c>
      <c r="E24" s="29">
        <f t="shared" si="1"/>
        <v>-2100000</v>
      </c>
      <c r="F24" s="28"/>
      <c r="G24" s="30"/>
      <c r="H24" s="28"/>
      <c r="I24" s="29"/>
      <c r="J24" s="28"/>
      <c r="K24" s="30">
        <v>450000</v>
      </c>
      <c r="L24" s="28">
        <f>K24+390000</f>
        <v>840000</v>
      </c>
      <c r="M24" s="29">
        <f t="shared" si="3"/>
        <v>390000</v>
      </c>
      <c r="N24" s="28"/>
      <c r="O24" s="31">
        <f t="shared" si="0"/>
        <v>4868000</v>
      </c>
      <c r="P24" s="31">
        <f t="shared" si="0"/>
        <v>3158000</v>
      </c>
      <c r="Q24" s="31"/>
    </row>
    <row r="25" spans="1:17" x14ac:dyDescent="0.25">
      <c r="A25" s="37" t="s">
        <v>74</v>
      </c>
      <c r="B25" s="35" t="s">
        <v>75</v>
      </c>
      <c r="C25" s="36">
        <f>SUM(C22:C24)</f>
        <v>4418000</v>
      </c>
      <c r="D25" s="38">
        <f>SUM(D22:D24)</f>
        <v>2318000</v>
      </c>
      <c r="E25" s="29">
        <f t="shared" si="1"/>
        <v>-2100000</v>
      </c>
      <c r="F25" s="38">
        <f t="shared" ref="F25:N25" si="6">SUM(F22:F24)</f>
        <v>0</v>
      </c>
      <c r="G25" s="39">
        <f t="shared" si="6"/>
        <v>0</v>
      </c>
      <c r="H25" s="38">
        <f>SUM(H22:H24)</f>
        <v>0</v>
      </c>
      <c r="I25" s="29">
        <f t="shared" si="2"/>
        <v>0</v>
      </c>
      <c r="J25" s="38">
        <f t="shared" si="6"/>
        <v>0</v>
      </c>
      <c r="K25" s="39">
        <f t="shared" si="6"/>
        <v>8364048</v>
      </c>
      <c r="L25" s="38">
        <f>SUM(L22:L24)</f>
        <v>8754048</v>
      </c>
      <c r="M25" s="29">
        <f t="shared" si="3"/>
        <v>390000</v>
      </c>
      <c r="N25" s="38">
        <f t="shared" si="6"/>
        <v>0</v>
      </c>
      <c r="O25" s="39">
        <f t="shared" si="0"/>
        <v>12782048</v>
      </c>
      <c r="P25" s="39">
        <f t="shared" si="0"/>
        <v>11072048</v>
      </c>
      <c r="Q25" s="38"/>
    </row>
    <row r="26" spans="1:17" s="45" customFormat="1" ht="15.75" x14ac:dyDescent="0.25">
      <c r="A26" s="40" t="s">
        <v>76</v>
      </c>
      <c r="B26" s="41" t="s">
        <v>77</v>
      </c>
      <c r="C26" s="42">
        <f>SUM(C25,C21)</f>
        <v>129644424</v>
      </c>
      <c r="D26" s="43">
        <f>SUM(D25,D21)</f>
        <v>129803601</v>
      </c>
      <c r="E26" s="29">
        <f t="shared" si="1"/>
        <v>159177</v>
      </c>
      <c r="F26" s="43">
        <f t="shared" ref="F26:N26" si="7">SUM(F25,F21)</f>
        <v>0</v>
      </c>
      <c r="G26" s="43">
        <f t="shared" si="7"/>
        <v>0</v>
      </c>
      <c r="H26" s="43">
        <f>SUM(H25,H21)</f>
        <v>0</v>
      </c>
      <c r="I26" s="29">
        <f t="shared" si="2"/>
        <v>0</v>
      </c>
      <c r="J26" s="43">
        <f t="shared" si="7"/>
        <v>0</v>
      </c>
      <c r="K26" s="43">
        <f t="shared" si="7"/>
        <v>79698951</v>
      </c>
      <c r="L26" s="43">
        <f>SUM(L25,L21)</f>
        <v>79539774</v>
      </c>
      <c r="M26" s="29">
        <f t="shared" si="3"/>
        <v>-159177</v>
      </c>
      <c r="N26" s="43">
        <f t="shared" si="7"/>
        <v>0</v>
      </c>
      <c r="O26" s="44">
        <f t="shared" si="0"/>
        <v>209343375</v>
      </c>
      <c r="P26" s="44">
        <f t="shared" si="0"/>
        <v>209343375</v>
      </c>
      <c r="Q26" s="44"/>
    </row>
    <row r="27" spans="1:17" s="45" customFormat="1" ht="31.5" x14ac:dyDescent="0.25">
      <c r="A27" s="46" t="s">
        <v>78</v>
      </c>
      <c r="B27" s="41" t="s">
        <v>79</v>
      </c>
      <c r="C27" s="43">
        <v>20558406</v>
      </c>
      <c r="D27" s="43">
        <f>C27</f>
        <v>20558406</v>
      </c>
      <c r="E27" s="29">
        <f t="shared" si="1"/>
        <v>0</v>
      </c>
      <c r="F27" s="43"/>
      <c r="G27" s="43"/>
      <c r="H27" s="43"/>
      <c r="I27" s="29">
        <f t="shared" si="2"/>
        <v>0</v>
      </c>
      <c r="J27" s="43"/>
      <c r="K27" s="43">
        <v>12776844</v>
      </c>
      <c r="L27" s="43">
        <f>K27</f>
        <v>12776844</v>
      </c>
      <c r="M27" s="29">
        <f t="shared" si="3"/>
        <v>0</v>
      </c>
      <c r="N27" s="43"/>
      <c r="O27" s="44">
        <f t="shared" si="0"/>
        <v>33335250</v>
      </c>
      <c r="P27" s="44">
        <f t="shared" si="0"/>
        <v>33335250</v>
      </c>
      <c r="Q27" s="44"/>
    </row>
    <row r="28" spans="1:17" x14ac:dyDescent="0.25">
      <c r="A28" s="33" t="s">
        <v>80</v>
      </c>
      <c r="B28" s="32" t="s">
        <v>81</v>
      </c>
      <c r="C28" s="27">
        <v>250000</v>
      </c>
      <c r="D28" s="28">
        <f>C28</f>
        <v>250000</v>
      </c>
      <c r="E28" s="29"/>
      <c r="F28" s="28"/>
      <c r="G28" s="30"/>
      <c r="H28" s="28"/>
      <c r="I28" s="29"/>
      <c r="J28" s="28"/>
      <c r="K28" s="30">
        <v>100000</v>
      </c>
      <c r="L28" s="28">
        <f>K28</f>
        <v>100000</v>
      </c>
      <c r="M28" s="29">
        <f t="shared" si="3"/>
        <v>0</v>
      </c>
      <c r="N28" s="28"/>
      <c r="O28" s="31">
        <f t="shared" si="0"/>
        <v>350000</v>
      </c>
      <c r="P28" s="31">
        <f t="shared" si="0"/>
        <v>350000</v>
      </c>
      <c r="Q28" s="31"/>
    </row>
    <row r="29" spans="1:17" x14ac:dyDescent="0.25">
      <c r="A29" s="33" t="s">
        <v>82</v>
      </c>
      <c r="B29" s="32" t="s">
        <v>83</v>
      </c>
      <c r="C29" s="27">
        <f>32790000+1390650</f>
        <v>34180650</v>
      </c>
      <c r="D29" s="28">
        <f>C29+2020181</f>
        <v>36200831</v>
      </c>
      <c r="E29" s="29"/>
      <c r="F29" s="28"/>
      <c r="G29" s="30"/>
      <c r="H29" s="28"/>
      <c r="I29" s="29"/>
      <c r="J29" s="28"/>
      <c r="K29" s="30">
        <f>7200000-1390650</f>
        <v>5809350</v>
      </c>
      <c r="L29" s="28">
        <f>K29-444957</f>
        <v>5364393</v>
      </c>
      <c r="M29" s="29">
        <f t="shared" si="3"/>
        <v>-444957</v>
      </c>
      <c r="N29" s="28"/>
      <c r="O29" s="31">
        <f t="shared" si="0"/>
        <v>39990000</v>
      </c>
      <c r="P29" s="31">
        <f t="shared" si="0"/>
        <v>41565224</v>
      </c>
      <c r="Q29" s="31"/>
    </row>
    <row r="30" spans="1:17" x14ac:dyDescent="0.25">
      <c r="A30" s="33" t="s">
        <v>84</v>
      </c>
      <c r="B30" s="32" t="s">
        <v>85</v>
      </c>
      <c r="C30" s="27"/>
      <c r="D30" s="28"/>
      <c r="E30" s="29"/>
      <c r="F30" s="28"/>
      <c r="G30" s="30"/>
      <c r="H30" s="28"/>
      <c r="I30" s="29"/>
      <c r="J30" s="28"/>
      <c r="K30" s="30"/>
      <c r="L30" s="28"/>
      <c r="M30" s="29">
        <f t="shared" si="3"/>
        <v>0</v>
      </c>
      <c r="N30" s="28"/>
      <c r="O30" s="31">
        <f t="shared" si="0"/>
        <v>0</v>
      </c>
      <c r="P30" s="31">
        <f t="shared" si="0"/>
        <v>0</v>
      </c>
      <c r="Q30" s="31"/>
    </row>
    <row r="31" spans="1:17" x14ac:dyDescent="0.25">
      <c r="A31" s="37" t="s">
        <v>86</v>
      </c>
      <c r="B31" s="35" t="s">
        <v>87</v>
      </c>
      <c r="C31" s="36">
        <f>SUM(C28:C30)</f>
        <v>34430650</v>
      </c>
      <c r="D31" s="36">
        <f>SUM(D28:D30)</f>
        <v>36450831</v>
      </c>
      <c r="E31" s="29">
        <f t="shared" si="1"/>
        <v>2020181</v>
      </c>
      <c r="F31" s="36">
        <f t="shared" ref="F31:N31" si="8">SUM(F28:F30)</f>
        <v>0</v>
      </c>
      <c r="G31" s="36">
        <f t="shared" si="8"/>
        <v>0</v>
      </c>
      <c r="H31" s="36">
        <f>SUM(H28:H30)</f>
        <v>0</v>
      </c>
      <c r="I31" s="29">
        <f t="shared" si="2"/>
        <v>0</v>
      </c>
      <c r="J31" s="36">
        <f t="shared" si="8"/>
        <v>0</v>
      </c>
      <c r="K31" s="36">
        <f t="shared" si="8"/>
        <v>5909350</v>
      </c>
      <c r="L31" s="36">
        <f>SUM(L28:L30)</f>
        <v>5464393</v>
      </c>
      <c r="M31" s="29">
        <f t="shared" si="3"/>
        <v>-444957</v>
      </c>
      <c r="N31" s="36">
        <f t="shared" si="8"/>
        <v>0</v>
      </c>
      <c r="O31" s="36">
        <f t="shared" si="0"/>
        <v>40340000</v>
      </c>
      <c r="P31" s="36">
        <f t="shared" si="0"/>
        <v>41915224</v>
      </c>
      <c r="Q31" s="36"/>
    </row>
    <row r="32" spans="1:17" x14ac:dyDescent="0.25">
      <c r="A32" s="33" t="s">
        <v>88</v>
      </c>
      <c r="B32" s="32" t="s">
        <v>89</v>
      </c>
      <c r="C32" s="27">
        <v>220000</v>
      </c>
      <c r="D32" s="28">
        <f>C32</f>
        <v>220000</v>
      </c>
      <c r="E32" s="29"/>
      <c r="F32" s="28"/>
      <c r="G32" s="30"/>
      <c r="H32" s="28"/>
      <c r="I32" s="29"/>
      <c r="J32" s="28"/>
      <c r="K32" s="30">
        <v>250000</v>
      </c>
      <c r="L32" s="28">
        <f>K32</f>
        <v>250000</v>
      </c>
      <c r="M32" s="29">
        <f t="shared" si="3"/>
        <v>0</v>
      </c>
      <c r="N32" s="28"/>
      <c r="O32" s="31">
        <f t="shared" si="0"/>
        <v>470000</v>
      </c>
      <c r="P32" s="31">
        <f t="shared" si="0"/>
        <v>470000</v>
      </c>
      <c r="Q32" s="31"/>
    </row>
    <row r="33" spans="1:17" x14ac:dyDescent="0.25">
      <c r="A33" s="33" t="s">
        <v>90</v>
      </c>
      <c r="B33" s="32" t="s">
        <v>91</v>
      </c>
      <c r="C33" s="27">
        <v>140000</v>
      </c>
      <c r="D33" s="28">
        <f>C33+600000</f>
        <v>740000</v>
      </c>
      <c r="E33" s="29">
        <f t="shared" si="1"/>
        <v>600000</v>
      </c>
      <c r="F33" s="28"/>
      <c r="G33" s="30"/>
      <c r="H33" s="28"/>
      <c r="I33" s="29"/>
      <c r="J33" s="28"/>
      <c r="K33" s="30">
        <v>1700000</v>
      </c>
      <c r="L33" s="28">
        <f>K33</f>
        <v>1700000</v>
      </c>
      <c r="M33" s="29">
        <f t="shared" si="3"/>
        <v>0</v>
      </c>
      <c r="N33" s="28"/>
      <c r="O33" s="31">
        <f t="shared" si="0"/>
        <v>1840000</v>
      </c>
      <c r="P33" s="31">
        <f t="shared" si="0"/>
        <v>2440000</v>
      </c>
      <c r="Q33" s="31"/>
    </row>
    <row r="34" spans="1:17" ht="15" customHeight="1" x14ac:dyDescent="0.25">
      <c r="A34" s="37" t="s">
        <v>92</v>
      </c>
      <c r="B34" s="35" t="s">
        <v>93</v>
      </c>
      <c r="C34" s="36">
        <f>SUM(C32:C33)</f>
        <v>360000</v>
      </c>
      <c r="D34" s="36">
        <f>SUM(D32:D33)</f>
        <v>960000</v>
      </c>
      <c r="E34" s="29">
        <f t="shared" si="1"/>
        <v>600000</v>
      </c>
      <c r="F34" s="36">
        <f t="shared" ref="F34:N34" si="9">SUM(F32:F33)</f>
        <v>0</v>
      </c>
      <c r="G34" s="36">
        <f t="shared" si="9"/>
        <v>0</v>
      </c>
      <c r="H34" s="36">
        <f>SUM(H32:H33)</f>
        <v>0</v>
      </c>
      <c r="I34" s="29">
        <f t="shared" si="2"/>
        <v>0</v>
      </c>
      <c r="J34" s="36">
        <f t="shared" si="9"/>
        <v>0</v>
      </c>
      <c r="K34" s="36">
        <f t="shared" si="9"/>
        <v>1950000</v>
      </c>
      <c r="L34" s="36">
        <f>SUM(L32:L33)</f>
        <v>1950000</v>
      </c>
      <c r="M34" s="29">
        <f t="shared" si="3"/>
        <v>0</v>
      </c>
      <c r="N34" s="36">
        <f t="shared" si="9"/>
        <v>0</v>
      </c>
      <c r="O34" s="36">
        <f t="shared" si="0"/>
        <v>2310000</v>
      </c>
      <c r="P34" s="36">
        <f t="shared" si="0"/>
        <v>2910000</v>
      </c>
      <c r="Q34" s="36"/>
    </row>
    <row r="35" spans="1:17" x14ac:dyDescent="0.25">
      <c r="A35" s="33" t="s">
        <v>94</v>
      </c>
      <c r="B35" s="32" t="s">
        <v>95</v>
      </c>
      <c r="C35" s="27">
        <v>16940000</v>
      </c>
      <c r="D35" s="28">
        <f>C35</f>
        <v>16940000</v>
      </c>
      <c r="E35" s="29"/>
      <c r="F35" s="28"/>
      <c r="G35" s="30"/>
      <c r="H35" s="28"/>
      <c r="I35" s="29"/>
      <c r="J35" s="28"/>
      <c r="K35" s="30">
        <v>2900000</v>
      </c>
      <c r="L35" s="28">
        <f>K35-500000</f>
        <v>2400000</v>
      </c>
      <c r="M35" s="29">
        <f t="shared" si="3"/>
        <v>-500000</v>
      </c>
      <c r="N35" s="28"/>
      <c r="O35" s="31">
        <f t="shared" si="0"/>
        <v>19840000</v>
      </c>
      <c r="P35" s="31">
        <f t="shared" si="0"/>
        <v>19340000</v>
      </c>
      <c r="Q35" s="31"/>
    </row>
    <row r="36" spans="1:17" x14ac:dyDescent="0.25">
      <c r="A36" s="33" t="s">
        <v>96</v>
      </c>
      <c r="B36" s="32" t="s">
        <v>97</v>
      </c>
      <c r="C36" s="27"/>
      <c r="D36" s="28"/>
      <c r="E36" s="29"/>
      <c r="F36" s="28"/>
      <c r="G36" s="30"/>
      <c r="H36" s="28"/>
      <c r="I36" s="29"/>
      <c r="J36" s="28"/>
      <c r="K36" s="30"/>
      <c r="L36" s="28"/>
      <c r="M36" s="29">
        <f t="shared" si="3"/>
        <v>0</v>
      </c>
      <c r="N36" s="28"/>
      <c r="O36" s="31">
        <f t="shared" si="0"/>
        <v>0</v>
      </c>
      <c r="P36" s="31">
        <f t="shared" si="0"/>
        <v>0</v>
      </c>
      <c r="Q36" s="31"/>
    </row>
    <row r="37" spans="1:17" x14ac:dyDescent="0.25">
      <c r="A37" s="33" t="s">
        <v>98</v>
      </c>
      <c r="B37" s="32" t="s">
        <v>99</v>
      </c>
      <c r="C37" s="27">
        <v>120000</v>
      </c>
      <c r="D37" s="28">
        <f>C37</f>
        <v>120000</v>
      </c>
      <c r="E37" s="29"/>
      <c r="F37" s="28"/>
      <c r="G37" s="30"/>
      <c r="H37" s="28"/>
      <c r="I37" s="29"/>
      <c r="J37" s="28"/>
      <c r="K37" s="30">
        <v>190000</v>
      </c>
      <c r="L37" s="28">
        <f>K37</f>
        <v>190000</v>
      </c>
      <c r="M37" s="29">
        <f t="shared" si="3"/>
        <v>0</v>
      </c>
      <c r="N37" s="28"/>
      <c r="O37" s="31">
        <f t="shared" si="0"/>
        <v>310000</v>
      </c>
      <c r="P37" s="31">
        <f t="shared" si="0"/>
        <v>310000</v>
      </c>
      <c r="Q37" s="31"/>
    </row>
    <row r="38" spans="1:17" x14ac:dyDescent="0.25">
      <c r="A38" s="33" t="s">
        <v>100</v>
      </c>
      <c r="B38" s="32" t="s">
        <v>101</v>
      </c>
      <c r="C38" s="27">
        <v>1900000</v>
      </c>
      <c r="D38" s="28">
        <f>C38</f>
        <v>1900000</v>
      </c>
      <c r="E38" s="29"/>
      <c r="F38" s="28"/>
      <c r="G38" s="30"/>
      <c r="H38" s="28"/>
      <c r="I38" s="29"/>
      <c r="J38" s="28"/>
      <c r="K38" s="30">
        <v>200000</v>
      </c>
      <c r="L38" s="28">
        <f>K38</f>
        <v>200000</v>
      </c>
      <c r="M38" s="29">
        <f t="shared" si="3"/>
        <v>0</v>
      </c>
      <c r="N38" s="28"/>
      <c r="O38" s="31">
        <f t="shared" si="0"/>
        <v>2100000</v>
      </c>
      <c r="P38" s="31">
        <f t="shared" si="0"/>
        <v>2100000</v>
      </c>
      <c r="Q38" s="31"/>
    </row>
    <row r="39" spans="1:17" x14ac:dyDescent="0.25">
      <c r="A39" s="47" t="s">
        <v>102</v>
      </c>
      <c r="B39" s="32" t="s">
        <v>103</v>
      </c>
      <c r="C39" s="27"/>
      <c r="D39" s="28"/>
      <c r="E39" s="29"/>
      <c r="F39" s="28"/>
      <c r="G39" s="30"/>
      <c r="H39" s="28"/>
      <c r="I39" s="29"/>
      <c r="J39" s="28"/>
      <c r="K39" s="30"/>
      <c r="L39" s="28">
        <v>1100000</v>
      </c>
      <c r="M39" s="29">
        <f t="shared" si="3"/>
        <v>1100000</v>
      </c>
      <c r="N39" s="28"/>
      <c r="O39" s="31">
        <f t="shared" si="0"/>
        <v>0</v>
      </c>
      <c r="P39" s="31">
        <f t="shared" si="0"/>
        <v>1100000</v>
      </c>
      <c r="Q39" s="31"/>
    </row>
    <row r="40" spans="1:17" x14ac:dyDescent="0.25">
      <c r="A40" s="33" t="s">
        <v>104</v>
      </c>
      <c r="B40" s="32" t="s">
        <v>105</v>
      </c>
      <c r="C40" s="27">
        <v>800000</v>
      </c>
      <c r="D40" s="28">
        <f>C40</f>
        <v>800000</v>
      </c>
      <c r="E40" s="29"/>
      <c r="F40" s="28"/>
      <c r="G40" s="30"/>
      <c r="H40" s="28"/>
      <c r="I40" s="29"/>
      <c r="J40" s="28"/>
      <c r="K40" s="30">
        <v>6500000</v>
      </c>
      <c r="L40" s="28">
        <f>K40</f>
        <v>6500000</v>
      </c>
      <c r="M40" s="29">
        <f t="shared" si="3"/>
        <v>0</v>
      </c>
      <c r="N40" s="28"/>
      <c r="O40" s="31">
        <f t="shared" ref="O40:P71" si="10">SUM(C40,G40,K40)</f>
        <v>7300000</v>
      </c>
      <c r="P40" s="31">
        <f t="shared" si="10"/>
        <v>7300000</v>
      </c>
      <c r="Q40" s="31"/>
    </row>
    <row r="41" spans="1:17" x14ac:dyDescent="0.25">
      <c r="A41" s="33" t="s">
        <v>106</v>
      </c>
      <c r="B41" s="32" t="s">
        <v>107</v>
      </c>
      <c r="C41" s="27">
        <v>22740000</v>
      </c>
      <c r="D41" s="28">
        <f>C41-330000</f>
        <v>22410000</v>
      </c>
      <c r="E41" s="29"/>
      <c r="F41" s="28"/>
      <c r="G41" s="30"/>
      <c r="H41" s="28"/>
      <c r="I41" s="29"/>
      <c r="J41" s="28"/>
      <c r="K41" s="30">
        <v>9500000</v>
      </c>
      <c r="L41" s="28">
        <f>K41</f>
        <v>9500000</v>
      </c>
      <c r="M41" s="29">
        <f t="shared" si="3"/>
        <v>0</v>
      </c>
      <c r="N41" s="28"/>
      <c r="O41" s="31">
        <f t="shared" si="10"/>
        <v>32240000</v>
      </c>
      <c r="P41" s="31">
        <f t="shared" si="10"/>
        <v>31910000</v>
      </c>
      <c r="Q41" s="31"/>
    </row>
    <row r="42" spans="1:17" x14ac:dyDescent="0.25">
      <c r="A42" s="37" t="s">
        <v>108</v>
      </c>
      <c r="B42" s="35" t="s">
        <v>109</v>
      </c>
      <c r="C42" s="36">
        <f>SUM(C35:C41)</f>
        <v>42500000</v>
      </c>
      <c r="D42" s="36">
        <f>SUM(D35:D41)</f>
        <v>42170000</v>
      </c>
      <c r="E42" s="29">
        <f t="shared" si="1"/>
        <v>-330000</v>
      </c>
      <c r="F42" s="36">
        <f t="shared" ref="F42:N42" si="11">SUM(F35:F41)</f>
        <v>0</v>
      </c>
      <c r="G42" s="36">
        <f t="shared" si="11"/>
        <v>0</v>
      </c>
      <c r="H42" s="36">
        <f>SUM(H35:H41)</f>
        <v>0</v>
      </c>
      <c r="I42" s="29">
        <f t="shared" si="2"/>
        <v>0</v>
      </c>
      <c r="J42" s="36">
        <f t="shared" si="11"/>
        <v>0</v>
      </c>
      <c r="K42" s="36">
        <f t="shared" si="11"/>
        <v>19290000</v>
      </c>
      <c r="L42" s="36">
        <f>SUM(L35:L41)</f>
        <v>19890000</v>
      </c>
      <c r="M42" s="29">
        <f t="shared" si="3"/>
        <v>600000</v>
      </c>
      <c r="N42" s="36">
        <f t="shared" si="11"/>
        <v>0</v>
      </c>
      <c r="O42" s="36">
        <f t="shared" si="10"/>
        <v>61790000</v>
      </c>
      <c r="P42" s="36">
        <f t="shared" si="10"/>
        <v>62060000</v>
      </c>
      <c r="Q42" s="36"/>
    </row>
    <row r="43" spans="1:17" x14ac:dyDescent="0.25">
      <c r="A43" s="33" t="s">
        <v>110</v>
      </c>
      <c r="B43" s="32" t="s">
        <v>111</v>
      </c>
      <c r="C43" s="27">
        <v>175000</v>
      </c>
      <c r="D43" s="28">
        <f>C43</f>
        <v>175000</v>
      </c>
      <c r="E43" s="29"/>
      <c r="F43" s="28"/>
      <c r="G43" s="30"/>
      <c r="H43" s="28"/>
      <c r="I43" s="29"/>
      <c r="J43" s="28"/>
      <c r="K43" s="30">
        <v>300000</v>
      </c>
      <c r="L43" s="28">
        <f>K43</f>
        <v>300000</v>
      </c>
      <c r="M43" s="29">
        <f t="shared" si="3"/>
        <v>0</v>
      </c>
      <c r="N43" s="28"/>
      <c r="O43" s="31">
        <f t="shared" si="10"/>
        <v>475000</v>
      </c>
      <c r="P43" s="31">
        <f t="shared" si="10"/>
        <v>475000</v>
      </c>
      <c r="Q43" s="31"/>
    </row>
    <row r="44" spans="1:17" x14ac:dyDescent="0.25">
      <c r="A44" s="33" t="s">
        <v>112</v>
      </c>
      <c r="B44" s="32" t="s">
        <v>113</v>
      </c>
      <c r="C44" s="27"/>
      <c r="D44" s="28"/>
      <c r="E44" s="29">
        <f t="shared" si="1"/>
        <v>0</v>
      </c>
      <c r="F44" s="28"/>
      <c r="G44" s="30"/>
      <c r="H44" s="28"/>
      <c r="I44" s="29">
        <f t="shared" si="2"/>
        <v>0</v>
      </c>
      <c r="J44" s="28"/>
      <c r="K44" s="30"/>
      <c r="L44" s="28"/>
      <c r="M44" s="29">
        <f t="shared" si="3"/>
        <v>0</v>
      </c>
      <c r="N44" s="28"/>
      <c r="O44" s="31">
        <f t="shared" si="10"/>
        <v>0</v>
      </c>
      <c r="P44" s="31">
        <f t="shared" si="10"/>
        <v>0</v>
      </c>
      <c r="Q44" s="31"/>
    </row>
    <row r="45" spans="1:17" x14ac:dyDescent="0.25">
      <c r="A45" s="37" t="s">
        <v>114</v>
      </c>
      <c r="B45" s="35" t="s">
        <v>115</v>
      </c>
      <c r="C45" s="36">
        <f>SUM(C43:C44)</f>
        <v>175000</v>
      </c>
      <c r="D45" s="36">
        <f>SUM(D43:D44)</f>
        <v>175000</v>
      </c>
      <c r="E45" s="29">
        <f t="shared" si="1"/>
        <v>0</v>
      </c>
      <c r="F45" s="36">
        <f t="shared" ref="F45:N45" si="12">SUM(F43:F44)</f>
        <v>0</v>
      </c>
      <c r="G45" s="36">
        <f t="shared" si="12"/>
        <v>0</v>
      </c>
      <c r="H45" s="36">
        <f>SUM(H43:H44)</f>
        <v>0</v>
      </c>
      <c r="I45" s="29">
        <f t="shared" si="2"/>
        <v>0</v>
      </c>
      <c r="J45" s="36">
        <f t="shared" si="12"/>
        <v>0</v>
      </c>
      <c r="K45" s="36">
        <f t="shared" si="12"/>
        <v>300000</v>
      </c>
      <c r="L45" s="36">
        <f>SUM(L43:L44)</f>
        <v>300000</v>
      </c>
      <c r="M45" s="29">
        <f t="shared" si="3"/>
        <v>0</v>
      </c>
      <c r="N45" s="36">
        <f t="shared" si="12"/>
        <v>0</v>
      </c>
      <c r="O45" s="36">
        <f t="shared" si="10"/>
        <v>475000</v>
      </c>
      <c r="P45" s="36">
        <f t="shared" si="10"/>
        <v>475000</v>
      </c>
      <c r="Q45" s="36"/>
    </row>
    <row r="46" spans="1:17" x14ac:dyDescent="0.25">
      <c r="A46" s="33" t="s">
        <v>116</v>
      </c>
      <c r="B46" s="32" t="s">
        <v>117</v>
      </c>
      <c r="C46" s="27">
        <v>20391670</v>
      </c>
      <c r="D46" s="28">
        <f>C46</f>
        <v>20391670</v>
      </c>
      <c r="E46" s="29"/>
      <c r="F46" s="28"/>
      <c r="G46" s="30"/>
      <c r="H46" s="28"/>
      <c r="I46" s="29"/>
      <c r="J46" s="28"/>
      <c r="K46" s="30">
        <v>7739271</v>
      </c>
      <c r="L46" s="28">
        <f>K46</f>
        <v>7739271</v>
      </c>
      <c r="M46" s="29">
        <f t="shared" si="3"/>
        <v>0</v>
      </c>
      <c r="N46" s="28"/>
      <c r="O46" s="31">
        <f t="shared" si="10"/>
        <v>28130941</v>
      </c>
      <c r="P46" s="31">
        <f t="shared" si="10"/>
        <v>28130941</v>
      </c>
      <c r="Q46" s="31"/>
    </row>
    <row r="47" spans="1:17" x14ac:dyDescent="0.25">
      <c r="A47" s="33" t="s">
        <v>118</v>
      </c>
      <c r="B47" s="32" t="s">
        <v>119</v>
      </c>
      <c r="C47" s="27"/>
      <c r="D47" s="28">
        <v>330000</v>
      </c>
      <c r="E47" s="29">
        <f t="shared" si="1"/>
        <v>330000</v>
      </c>
      <c r="F47" s="28"/>
      <c r="G47" s="30"/>
      <c r="H47" s="28"/>
      <c r="I47" s="29">
        <f t="shared" si="2"/>
        <v>0</v>
      </c>
      <c r="J47" s="28"/>
      <c r="K47" s="30"/>
      <c r="L47" s="28"/>
      <c r="M47" s="29">
        <f t="shared" si="3"/>
        <v>0</v>
      </c>
      <c r="N47" s="28"/>
      <c r="O47" s="31">
        <f t="shared" si="10"/>
        <v>0</v>
      </c>
      <c r="P47" s="31">
        <f t="shared" si="10"/>
        <v>330000</v>
      </c>
      <c r="Q47" s="31"/>
    </row>
    <row r="48" spans="1:17" x14ac:dyDescent="0.25">
      <c r="A48" s="33" t="s">
        <v>120</v>
      </c>
      <c r="B48" s="32" t="s">
        <v>121</v>
      </c>
      <c r="C48" s="27"/>
      <c r="D48" s="28"/>
      <c r="E48" s="29">
        <f t="shared" si="1"/>
        <v>0</v>
      </c>
      <c r="F48" s="28"/>
      <c r="G48" s="30"/>
      <c r="H48" s="28"/>
      <c r="I48" s="29">
        <f t="shared" si="2"/>
        <v>0</v>
      </c>
      <c r="J48" s="28"/>
      <c r="K48" s="30">
        <v>1200000</v>
      </c>
      <c r="L48" s="28">
        <f>K48</f>
        <v>1200000</v>
      </c>
      <c r="M48" s="29">
        <f t="shared" si="3"/>
        <v>0</v>
      </c>
      <c r="N48" s="28"/>
      <c r="O48" s="31">
        <f t="shared" si="10"/>
        <v>1200000</v>
      </c>
      <c r="P48" s="31">
        <f t="shared" si="10"/>
        <v>1200000</v>
      </c>
      <c r="Q48" s="31"/>
    </row>
    <row r="49" spans="1:18" x14ac:dyDescent="0.25">
      <c r="A49" s="33" t="s">
        <v>122</v>
      </c>
      <c r="B49" s="32" t="s">
        <v>123</v>
      </c>
      <c r="C49" s="27"/>
      <c r="D49" s="28"/>
      <c r="E49" s="29">
        <f t="shared" si="1"/>
        <v>0</v>
      </c>
      <c r="F49" s="28"/>
      <c r="G49" s="30"/>
      <c r="H49" s="28"/>
      <c r="I49" s="29">
        <f t="shared" si="2"/>
        <v>0</v>
      </c>
      <c r="J49" s="28"/>
      <c r="K49" s="30"/>
      <c r="L49" s="28"/>
      <c r="M49" s="29">
        <f t="shared" si="3"/>
        <v>0</v>
      </c>
      <c r="N49" s="28"/>
      <c r="O49" s="31">
        <f t="shared" si="10"/>
        <v>0</v>
      </c>
      <c r="P49" s="31">
        <f t="shared" si="10"/>
        <v>0</v>
      </c>
      <c r="Q49" s="31"/>
    </row>
    <row r="50" spans="1:18" x14ac:dyDescent="0.25">
      <c r="A50" s="33" t="s">
        <v>124</v>
      </c>
      <c r="B50" s="32" t="s">
        <v>125</v>
      </c>
      <c r="C50" s="27">
        <v>13000</v>
      </c>
      <c r="D50" s="28">
        <f>C50+600000</f>
        <v>613000</v>
      </c>
      <c r="E50" s="29">
        <f t="shared" si="1"/>
        <v>600000</v>
      </c>
      <c r="F50" s="28"/>
      <c r="G50" s="30"/>
      <c r="H50" s="28"/>
      <c r="I50" s="29"/>
      <c r="J50" s="28"/>
      <c r="K50" s="30">
        <v>21000</v>
      </c>
      <c r="L50" s="28">
        <f>K50</f>
        <v>21000</v>
      </c>
      <c r="M50" s="29">
        <f t="shared" si="3"/>
        <v>0</v>
      </c>
      <c r="N50" s="28"/>
      <c r="O50" s="31">
        <f t="shared" si="10"/>
        <v>34000</v>
      </c>
      <c r="P50" s="31">
        <f t="shared" si="10"/>
        <v>634000</v>
      </c>
      <c r="Q50" s="31"/>
    </row>
    <row r="51" spans="1:18" x14ac:dyDescent="0.25">
      <c r="A51" s="37" t="s">
        <v>126</v>
      </c>
      <c r="B51" s="35" t="s">
        <v>127</v>
      </c>
      <c r="C51" s="36">
        <f t="shared" ref="C51:N51" si="13">SUM(C46:C50)</f>
        <v>20404670</v>
      </c>
      <c r="D51" s="36">
        <f>SUM(D46:D50)</f>
        <v>21334670</v>
      </c>
      <c r="E51" s="29">
        <f t="shared" si="1"/>
        <v>930000</v>
      </c>
      <c r="F51" s="36">
        <f t="shared" si="13"/>
        <v>0</v>
      </c>
      <c r="G51" s="36">
        <f t="shared" si="13"/>
        <v>0</v>
      </c>
      <c r="H51" s="36">
        <f>SUM(H46:H50)</f>
        <v>0</v>
      </c>
      <c r="I51" s="29">
        <f t="shared" si="2"/>
        <v>0</v>
      </c>
      <c r="J51" s="36">
        <f t="shared" si="13"/>
        <v>0</v>
      </c>
      <c r="K51" s="36">
        <f t="shared" si="13"/>
        <v>8960271</v>
      </c>
      <c r="L51" s="36">
        <f>SUM(L46:L50)</f>
        <v>8960271</v>
      </c>
      <c r="M51" s="29">
        <f t="shared" si="3"/>
        <v>0</v>
      </c>
      <c r="N51" s="36">
        <f t="shared" si="13"/>
        <v>0</v>
      </c>
      <c r="O51" s="36">
        <f t="shared" si="10"/>
        <v>29364941</v>
      </c>
      <c r="P51" s="36">
        <f t="shared" si="10"/>
        <v>30294941</v>
      </c>
      <c r="Q51" s="36"/>
    </row>
    <row r="52" spans="1:18" s="45" customFormat="1" ht="15.75" x14ac:dyDescent="0.25">
      <c r="A52" s="46" t="s">
        <v>128</v>
      </c>
      <c r="B52" s="41" t="s">
        <v>129</v>
      </c>
      <c r="C52" s="43">
        <f>SUM(C51,C42,C34,C31,C45)</f>
        <v>97870320</v>
      </c>
      <c r="D52" s="43">
        <f t="shared" ref="D52:J52" si="14">SUM(D51,D42,D34,D31+D45)</f>
        <v>101090501</v>
      </c>
      <c r="E52" s="43">
        <f t="shared" si="14"/>
        <v>3220181</v>
      </c>
      <c r="F52" s="43">
        <f t="shared" si="14"/>
        <v>0</v>
      </c>
      <c r="G52" s="43">
        <f t="shared" si="14"/>
        <v>0</v>
      </c>
      <c r="H52" s="43">
        <f t="shared" si="14"/>
        <v>0</v>
      </c>
      <c r="I52" s="43">
        <f t="shared" si="14"/>
        <v>0</v>
      </c>
      <c r="J52" s="43">
        <f t="shared" si="14"/>
        <v>0</v>
      </c>
      <c r="K52" s="43">
        <f>SUM(K51,K42,K34,K31,K45)</f>
        <v>36409621</v>
      </c>
      <c r="L52" s="43">
        <f>SUM(L51,L42,L34,L31,L45)</f>
        <v>36564664</v>
      </c>
      <c r="M52" s="29">
        <f t="shared" si="3"/>
        <v>155043</v>
      </c>
      <c r="N52" s="43">
        <f>SUM(N51,N42,N34,N31)</f>
        <v>0</v>
      </c>
      <c r="O52" s="44">
        <f t="shared" si="10"/>
        <v>134279941</v>
      </c>
      <c r="P52" s="44">
        <f t="shared" si="10"/>
        <v>137655165</v>
      </c>
      <c r="Q52" s="44"/>
      <c r="R52" s="48"/>
    </row>
    <row r="53" spans="1:18" s="45" customFormat="1" ht="15.75" x14ac:dyDescent="0.25">
      <c r="A53" s="49" t="s">
        <v>130</v>
      </c>
      <c r="B53" s="41" t="s">
        <v>131</v>
      </c>
      <c r="C53" s="42">
        <v>8330000</v>
      </c>
      <c r="D53" s="43">
        <f>C53</f>
        <v>8330000</v>
      </c>
      <c r="E53" s="29">
        <f t="shared" si="1"/>
        <v>0</v>
      </c>
      <c r="F53" s="43"/>
      <c r="G53" s="43"/>
      <c r="H53" s="43"/>
      <c r="I53" s="29">
        <f t="shared" si="2"/>
        <v>0</v>
      </c>
      <c r="J53" s="43"/>
      <c r="K53" s="43">
        <v>1600000</v>
      </c>
      <c r="L53" s="43">
        <f>K53</f>
        <v>1600000</v>
      </c>
      <c r="M53" s="29">
        <f t="shared" si="3"/>
        <v>0</v>
      </c>
      <c r="N53" s="43"/>
      <c r="O53" s="44">
        <f t="shared" si="10"/>
        <v>9930000</v>
      </c>
      <c r="P53" s="44">
        <f t="shared" si="10"/>
        <v>9930000</v>
      </c>
      <c r="Q53" s="44"/>
    </row>
    <row r="54" spans="1:18" x14ac:dyDescent="0.25">
      <c r="A54" s="50" t="s">
        <v>132</v>
      </c>
      <c r="B54" s="32" t="s">
        <v>133</v>
      </c>
      <c r="C54" s="27"/>
      <c r="D54" s="28"/>
      <c r="E54" s="29">
        <f t="shared" si="1"/>
        <v>0</v>
      </c>
      <c r="F54" s="28"/>
      <c r="G54" s="30"/>
      <c r="H54" s="28"/>
      <c r="I54" s="29">
        <f t="shared" si="2"/>
        <v>0</v>
      </c>
      <c r="J54" s="28"/>
      <c r="K54" s="30"/>
      <c r="L54" s="28"/>
      <c r="M54" s="29">
        <f t="shared" si="3"/>
        <v>0</v>
      </c>
      <c r="N54" s="28"/>
      <c r="O54" s="31">
        <f t="shared" si="10"/>
        <v>0</v>
      </c>
      <c r="P54" s="31">
        <f t="shared" si="10"/>
        <v>0</v>
      </c>
      <c r="Q54" s="31"/>
    </row>
    <row r="55" spans="1:18" x14ac:dyDescent="0.25">
      <c r="A55" s="50" t="s">
        <v>134</v>
      </c>
      <c r="B55" s="32" t="s">
        <v>135</v>
      </c>
      <c r="C55" s="27"/>
      <c r="D55" s="28">
        <v>54002</v>
      </c>
      <c r="E55" s="29">
        <f t="shared" si="1"/>
        <v>54002</v>
      </c>
      <c r="F55" s="28"/>
      <c r="G55" s="30"/>
      <c r="H55" s="28"/>
      <c r="I55" s="29">
        <f t="shared" si="2"/>
        <v>0</v>
      </c>
      <c r="J55" s="28"/>
      <c r="K55" s="30"/>
      <c r="L55" s="28"/>
      <c r="M55" s="29">
        <f t="shared" si="3"/>
        <v>0</v>
      </c>
      <c r="N55" s="28"/>
      <c r="O55" s="31">
        <f t="shared" si="10"/>
        <v>0</v>
      </c>
      <c r="P55" s="31">
        <f t="shared" si="10"/>
        <v>54002</v>
      </c>
      <c r="Q55" s="31"/>
    </row>
    <row r="56" spans="1:18" ht="25.5" x14ac:dyDescent="0.25">
      <c r="A56" s="50" t="s">
        <v>136</v>
      </c>
      <c r="B56" s="32" t="s">
        <v>137</v>
      </c>
      <c r="C56" s="27"/>
      <c r="D56" s="28"/>
      <c r="E56" s="29">
        <f t="shared" si="1"/>
        <v>0</v>
      </c>
      <c r="F56" s="28"/>
      <c r="G56" s="30"/>
      <c r="H56" s="28"/>
      <c r="I56" s="29">
        <f t="shared" si="2"/>
        <v>0</v>
      </c>
      <c r="J56" s="28"/>
      <c r="K56" s="30"/>
      <c r="L56" s="28"/>
      <c r="M56" s="29">
        <f t="shared" si="3"/>
        <v>0</v>
      </c>
      <c r="N56" s="28"/>
      <c r="O56" s="31">
        <f t="shared" si="10"/>
        <v>0</v>
      </c>
      <c r="P56" s="31">
        <f t="shared" si="10"/>
        <v>0</v>
      </c>
      <c r="Q56" s="31"/>
    </row>
    <row r="57" spans="1:18" ht="25.5" x14ac:dyDescent="0.25">
      <c r="A57" s="50" t="s">
        <v>138</v>
      </c>
      <c r="B57" s="32" t="s">
        <v>139</v>
      </c>
      <c r="C57" s="27"/>
      <c r="D57" s="28"/>
      <c r="E57" s="29">
        <f t="shared" si="1"/>
        <v>0</v>
      </c>
      <c r="F57" s="28"/>
      <c r="G57" s="30"/>
      <c r="H57" s="28"/>
      <c r="I57" s="29">
        <f t="shared" si="2"/>
        <v>0</v>
      </c>
      <c r="J57" s="28"/>
      <c r="K57" s="30"/>
      <c r="L57" s="28"/>
      <c r="M57" s="29">
        <f t="shared" si="3"/>
        <v>0</v>
      </c>
      <c r="N57" s="28"/>
      <c r="O57" s="31">
        <f t="shared" si="10"/>
        <v>0</v>
      </c>
      <c r="P57" s="31">
        <f t="shared" si="10"/>
        <v>0</v>
      </c>
      <c r="Q57" s="31"/>
    </row>
    <row r="58" spans="1:18" ht="25.5" x14ac:dyDescent="0.25">
      <c r="A58" s="50" t="s">
        <v>140</v>
      </c>
      <c r="B58" s="32" t="s">
        <v>141</v>
      </c>
      <c r="C58" s="27"/>
      <c r="D58" s="28"/>
      <c r="E58" s="29">
        <f t="shared" si="1"/>
        <v>0</v>
      </c>
      <c r="F58" s="28"/>
      <c r="G58" s="30"/>
      <c r="H58" s="28"/>
      <c r="I58" s="29">
        <f t="shared" si="2"/>
        <v>0</v>
      </c>
      <c r="J58" s="28"/>
      <c r="K58" s="30"/>
      <c r="L58" s="28"/>
      <c r="M58" s="29">
        <f t="shared" si="3"/>
        <v>0</v>
      </c>
      <c r="N58" s="28"/>
      <c r="O58" s="31">
        <f t="shared" si="10"/>
        <v>0</v>
      </c>
      <c r="P58" s="31">
        <f t="shared" si="10"/>
        <v>0</v>
      </c>
      <c r="Q58" s="31"/>
    </row>
    <row r="59" spans="1:18" ht="30.75" customHeight="1" x14ac:dyDescent="0.25">
      <c r="A59" s="50" t="s">
        <v>142</v>
      </c>
      <c r="B59" s="32" t="s">
        <v>143</v>
      </c>
      <c r="C59" s="27"/>
      <c r="D59" s="28"/>
      <c r="E59" s="29"/>
      <c r="F59" s="28"/>
      <c r="G59" s="30"/>
      <c r="H59" s="28"/>
      <c r="I59" s="29"/>
      <c r="J59" s="28"/>
      <c r="K59" s="30">
        <v>4500000</v>
      </c>
      <c r="L59" s="28">
        <f>K59</f>
        <v>4500000</v>
      </c>
      <c r="M59" s="29">
        <f t="shared" si="3"/>
        <v>0</v>
      </c>
      <c r="N59" s="28"/>
      <c r="O59" s="31">
        <f t="shared" si="10"/>
        <v>4500000</v>
      </c>
      <c r="P59" s="31">
        <f t="shared" si="10"/>
        <v>4500000</v>
      </c>
      <c r="Q59" s="31"/>
    </row>
    <row r="60" spans="1:18" x14ac:dyDescent="0.25">
      <c r="A60" s="50" t="s">
        <v>144</v>
      </c>
      <c r="B60" s="32" t="s">
        <v>145</v>
      </c>
      <c r="C60" s="27">
        <v>3500000</v>
      </c>
      <c r="D60" s="28">
        <f>C60</f>
        <v>3500000</v>
      </c>
      <c r="E60" s="29">
        <f t="shared" si="1"/>
        <v>0</v>
      </c>
      <c r="F60" s="28"/>
      <c r="G60" s="30"/>
      <c r="H60" s="28"/>
      <c r="I60" s="29"/>
      <c r="J60" s="28"/>
      <c r="K60" s="30"/>
      <c r="L60" s="28"/>
      <c r="M60" s="29">
        <f t="shared" si="3"/>
        <v>0</v>
      </c>
      <c r="N60" s="28"/>
      <c r="O60" s="31">
        <f t="shared" si="10"/>
        <v>3500000</v>
      </c>
      <c r="P60" s="31">
        <f t="shared" si="10"/>
        <v>3500000</v>
      </c>
      <c r="Q60" s="31"/>
    </row>
    <row r="61" spans="1:18" x14ac:dyDescent="0.25">
      <c r="A61" s="50" t="s">
        <v>12</v>
      </c>
      <c r="B61" s="32" t="s">
        <v>146</v>
      </c>
      <c r="C61" s="27">
        <v>25000000</v>
      </c>
      <c r="D61" s="28">
        <f>C61+69251224</f>
        <v>94251224</v>
      </c>
      <c r="E61" s="29">
        <f t="shared" si="1"/>
        <v>69251224</v>
      </c>
      <c r="F61" s="28"/>
      <c r="G61" s="30"/>
      <c r="H61" s="28"/>
      <c r="I61" s="29"/>
      <c r="J61" s="28"/>
      <c r="K61" s="30"/>
      <c r="L61" s="28"/>
      <c r="M61" s="29">
        <f t="shared" si="3"/>
        <v>0</v>
      </c>
      <c r="N61" s="28"/>
      <c r="O61" s="31">
        <f t="shared" si="10"/>
        <v>25000000</v>
      </c>
      <c r="P61" s="31">
        <f t="shared" si="10"/>
        <v>94251224</v>
      </c>
      <c r="Q61" s="31"/>
    </row>
    <row r="62" spans="1:18" s="45" customFormat="1" ht="15.75" x14ac:dyDescent="0.25">
      <c r="A62" s="49" t="s">
        <v>147</v>
      </c>
      <c r="B62" s="41" t="s">
        <v>148</v>
      </c>
      <c r="C62" s="42">
        <f t="shared" ref="C62:N62" si="15">SUM(C54:C61)</f>
        <v>28500000</v>
      </c>
      <c r="D62" s="42">
        <f>SUM(D54:D61)</f>
        <v>97805226</v>
      </c>
      <c r="E62" s="29">
        <f t="shared" si="1"/>
        <v>69305226</v>
      </c>
      <c r="F62" s="42">
        <f t="shared" si="15"/>
        <v>0</v>
      </c>
      <c r="G62" s="43">
        <f t="shared" si="15"/>
        <v>0</v>
      </c>
      <c r="H62" s="42">
        <f>SUM(H54:H61)</f>
        <v>0</v>
      </c>
      <c r="I62" s="29">
        <f t="shared" si="2"/>
        <v>0</v>
      </c>
      <c r="J62" s="43">
        <f t="shared" si="15"/>
        <v>0</v>
      </c>
      <c r="K62" s="43">
        <f t="shared" si="15"/>
        <v>4500000</v>
      </c>
      <c r="L62" s="42">
        <f>SUM(L54:L61)</f>
        <v>4500000</v>
      </c>
      <c r="M62" s="29">
        <f t="shared" si="3"/>
        <v>0</v>
      </c>
      <c r="N62" s="43">
        <f t="shared" si="15"/>
        <v>0</v>
      </c>
      <c r="O62" s="44">
        <f t="shared" si="10"/>
        <v>33000000</v>
      </c>
      <c r="P62" s="44">
        <f t="shared" si="10"/>
        <v>102305226</v>
      </c>
      <c r="Q62" s="44"/>
    </row>
    <row r="63" spans="1:18" ht="15.75" x14ac:dyDescent="0.25">
      <c r="A63" s="51" t="s">
        <v>149</v>
      </c>
      <c r="B63" s="52"/>
      <c r="C63" s="42">
        <f>C26+C27+C52+C53+C62</f>
        <v>284903150</v>
      </c>
      <c r="D63" s="42">
        <f t="shared" ref="D63:P63" si="16">D26+D27+D52+D53+D62</f>
        <v>357587734</v>
      </c>
      <c r="E63" s="42">
        <f t="shared" si="16"/>
        <v>72684584</v>
      </c>
      <c r="F63" s="42">
        <f t="shared" si="16"/>
        <v>0</v>
      </c>
      <c r="G63" s="42">
        <f t="shared" si="16"/>
        <v>0</v>
      </c>
      <c r="H63" s="42">
        <f t="shared" si="16"/>
        <v>0</v>
      </c>
      <c r="I63" s="42">
        <f t="shared" si="16"/>
        <v>0</v>
      </c>
      <c r="J63" s="42">
        <f t="shared" si="16"/>
        <v>0</v>
      </c>
      <c r="K63" s="42">
        <f t="shared" si="16"/>
        <v>134985416</v>
      </c>
      <c r="L63" s="42">
        <f t="shared" si="16"/>
        <v>134981282</v>
      </c>
      <c r="M63" s="42">
        <f t="shared" si="16"/>
        <v>-4134</v>
      </c>
      <c r="N63" s="42">
        <f t="shared" si="16"/>
        <v>0</v>
      </c>
      <c r="O63" s="42">
        <f t="shared" si="16"/>
        <v>419888566</v>
      </c>
      <c r="P63" s="42">
        <f t="shared" si="16"/>
        <v>492569016</v>
      </c>
      <c r="Q63" s="31"/>
    </row>
    <row r="64" spans="1:18" x14ac:dyDescent="0.25">
      <c r="A64" s="53" t="s">
        <v>150</v>
      </c>
      <c r="B64" s="32" t="s">
        <v>151</v>
      </c>
      <c r="C64" s="27">
        <v>200000</v>
      </c>
      <c r="D64" s="28">
        <f>C64</f>
        <v>200000</v>
      </c>
      <c r="E64" s="29">
        <f t="shared" si="1"/>
        <v>0</v>
      </c>
      <c r="F64" s="28"/>
      <c r="G64" s="30"/>
      <c r="H64" s="28"/>
      <c r="I64" s="29">
        <f t="shared" si="2"/>
        <v>0</v>
      </c>
      <c r="J64" s="28"/>
      <c r="K64" s="30"/>
      <c r="L64" s="28"/>
      <c r="M64" s="29">
        <f t="shared" si="3"/>
        <v>0</v>
      </c>
      <c r="N64" s="28"/>
      <c r="O64" s="31">
        <f t="shared" si="10"/>
        <v>200000</v>
      </c>
      <c r="P64" s="31">
        <f t="shared" si="10"/>
        <v>200000</v>
      </c>
      <c r="Q64" s="31"/>
    </row>
    <row r="65" spans="1:17" x14ac:dyDescent="0.25">
      <c r="A65" s="53" t="s">
        <v>152</v>
      </c>
      <c r="B65" s="32" t="s">
        <v>153</v>
      </c>
      <c r="C65" s="27">
        <v>4500000</v>
      </c>
      <c r="D65" s="28">
        <f t="shared" ref="D65:D66" si="17">C65</f>
        <v>4500000</v>
      </c>
      <c r="E65" s="29">
        <f t="shared" si="1"/>
        <v>0</v>
      </c>
      <c r="F65" s="28"/>
      <c r="G65" s="30"/>
      <c r="H65" s="28"/>
      <c r="I65" s="29">
        <f t="shared" si="2"/>
        <v>0</v>
      </c>
      <c r="J65" s="28"/>
      <c r="K65" s="30"/>
      <c r="L65" s="28"/>
      <c r="M65" s="29">
        <f t="shared" si="3"/>
        <v>0</v>
      </c>
      <c r="N65" s="28"/>
      <c r="O65" s="31">
        <f t="shared" si="10"/>
        <v>4500000</v>
      </c>
      <c r="P65" s="31">
        <f t="shared" si="10"/>
        <v>4500000</v>
      </c>
      <c r="Q65" s="31"/>
    </row>
    <row r="66" spans="1:17" x14ac:dyDescent="0.25">
      <c r="A66" s="53" t="s">
        <v>154</v>
      </c>
      <c r="B66" s="32" t="s">
        <v>155</v>
      </c>
      <c r="C66" s="27">
        <v>2075000</v>
      </c>
      <c r="D66" s="28">
        <f t="shared" si="17"/>
        <v>2075000</v>
      </c>
      <c r="E66" s="29">
        <f t="shared" si="1"/>
        <v>0</v>
      </c>
      <c r="F66" s="28"/>
      <c r="G66" s="30"/>
      <c r="H66" s="28"/>
      <c r="I66" s="29">
        <f t="shared" si="2"/>
        <v>0</v>
      </c>
      <c r="J66" s="28"/>
      <c r="K66" s="30"/>
      <c r="L66" s="28"/>
      <c r="M66" s="29">
        <f t="shared" si="3"/>
        <v>0</v>
      </c>
      <c r="N66" s="28"/>
      <c r="O66" s="31">
        <f t="shared" si="10"/>
        <v>2075000</v>
      </c>
      <c r="P66" s="31">
        <f t="shared" si="10"/>
        <v>2075000</v>
      </c>
      <c r="Q66" s="31"/>
    </row>
    <row r="67" spans="1:17" x14ac:dyDescent="0.25">
      <c r="A67" s="53" t="s">
        <v>156</v>
      </c>
      <c r="B67" s="32" t="s">
        <v>157</v>
      </c>
      <c r="C67" s="27">
        <v>6100000</v>
      </c>
      <c r="D67" s="28">
        <f>C67+5250000</f>
        <v>11350000</v>
      </c>
      <c r="E67" s="29">
        <f t="shared" si="1"/>
        <v>5250000</v>
      </c>
      <c r="F67" s="28"/>
      <c r="G67" s="30"/>
      <c r="H67" s="28"/>
      <c r="I67" s="29">
        <f t="shared" si="2"/>
        <v>0</v>
      </c>
      <c r="J67" s="28"/>
      <c r="K67" s="30"/>
      <c r="L67" s="28"/>
      <c r="M67" s="29">
        <f t="shared" si="3"/>
        <v>0</v>
      </c>
      <c r="N67" s="28"/>
      <c r="O67" s="31">
        <f t="shared" si="10"/>
        <v>6100000</v>
      </c>
      <c r="P67" s="31">
        <f t="shared" si="10"/>
        <v>11350000</v>
      </c>
      <c r="Q67" s="31"/>
    </row>
    <row r="68" spans="1:17" x14ac:dyDescent="0.25">
      <c r="A68" s="33" t="s">
        <v>158</v>
      </c>
      <c r="B68" s="32" t="s">
        <v>159</v>
      </c>
      <c r="C68" s="27"/>
      <c r="D68" s="28"/>
      <c r="E68" s="29">
        <f t="shared" si="1"/>
        <v>0</v>
      </c>
      <c r="F68" s="28"/>
      <c r="G68" s="30"/>
      <c r="H68" s="28"/>
      <c r="I68" s="29">
        <f t="shared" si="2"/>
        <v>0</v>
      </c>
      <c r="J68" s="28"/>
      <c r="K68" s="30"/>
      <c r="L68" s="28"/>
      <c r="M68" s="29">
        <f t="shared" si="3"/>
        <v>0</v>
      </c>
      <c r="N68" s="28"/>
      <c r="O68" s="31">
        <f t="shared" si="10"/>
        <v>0</v>
      </c>
      <c r="P68" s="31">
        <f t="shared" si="10"/>
        <v>0</v>
      </c>
      <c r="Q68" s="31"/>
    </row>
    <row r="69" spans="1:17" x14ac:dyDescent="0.25">
      <c r="A69" s="33" t="s">
        <v>160</v>
      </c>
      <c r="B69" s="32" t="s">
        <v>161</v>
      </c>
      <c r="C69" s="27"/>
      <c r="D69" s="28"/>
      <c r="E69" s="29">
        <f t="shared" si="1"/>
        <v>0</v>
      </c>
      <c r="F69" s="28"/>
      <c r="G69" s="30"/>
      <c r="H69" s="28"/>
      <c r="I69" s="29">
        <f t="shared" si="2"/>
        <v>0</v>
      </c>
      <c r="J69" s="28"/>
      <c r="K69" s="30"/>
      <c r="L69" s="28"/>
      <c r="M69" s="29">
        <f t="shared" si="3"/>
        <v>0</v>
      </c>
      <c r="N69" s="28"/>
      <c r="O69" s="31">
        <f t="shared" si="10"/>
        <v>0</v>
      </c>
      <c r="P69" s="31">
        <f t="shared" si="10"/>
        <v>0</v>
      </c>
      <c r="Q69" s="31"/>
    </row>
    <row r="70" spans="1:17" x14ac:dyDescent="0.25">
      <c r="A70" s="33" t="s">
        <v>162</v>
      </c>
      <c r="B70" s="32" t="s">
        <v>163</v>
      </c>
      <c r="C70" s="27">
        <v>3487500</v>
      </c>
      <c r="D70" s="28">
        <f>C70+100000</f>
        <v>3587500</v>
      </c>
      <c r="E70" s="29">
        <f t="shared" si="1"/>
        <v>100000</v>
      </c>
      <c r="F70" s="28"/>
      <c r="G70" s="30"/>
      <c r="H70" s="28"/>
      <c r="I70" s="29">
        <f t="shared" si="2"/>
        <v>0</v>
      </c>
      <c r="J70" s="28"/>
      <c r="K70" s="30"/>
      <c r="L70" s="28"/>
      <c r="M70" s="29">
        <f t="shared" si="3"/>
        <v>0</v>
      </c>
      <c r="N70" s="28"/>
      <c r="O70" s="31">
        <f t="shared" si="10"/>
        <v>3487500</v>
      </c>
      <c r="P70" s="31">
        <f t="shared" si="10"/>
        <v>3587500</v>
      </c>
      <c r="Q70" s="31"/>
    </row>
    <row r="71" spans="1:17" s="45" customFormat="1" ht="15.75" x14ac:dyDescent="0.25">
      <c r="A71" s="46" t="s">
        <v>164</v>
      </c>
      <c r="B71" s="41" t="s">
        <v>165</v>
      </c>
      <c r="C71" s="43">
        <f>SUM(C64:C70)</f>
        <v>16362500</v>
      </c>
      <c r="D71" s="43">
        <f>SUM(D64:D70)</f>
        <v>21712500</v>
      </c>
      <c r="E71" s="29">
        <f t="shared" si="1"/>
        <v>5350000</v>
      </c>
      <c r="F71" s="43">
        <f>SUM(F64:F70)</f>
        <v>0</v>
      </c>
      <c r="G71" s="43">
        <f>SUM(G64:G70)</f>
        <v>0</v>
      </c>
      <c r="H71" s="43">
        <f>SUM(H64:H70)</f>
        <v>0</v>
      </c>
      <c r="I71" s="29">
        <f t="shared" si="2"/>
        <v>0</v>
      </c>
      <c r="J71" s="43">
        <f>SUM(J64:J70)</f>
        <v>0</v>
      </c>
      <c r="K71" s="43">
        <f>SUM(K64:K70)</f>
        <v>0</v>
      </c>
      <c r="L71" s="43">
        <f>SUM(L64:L70)</f>
        <v>0</v>
      </c>
      <c r="M71" s="29">
        <f t="shared" si="3"/>
        <v>0</v>
      </c>
      <c r="N71" s="43">
        <f>SUM(N64:N70)</f>
        <v>0</v>
      </c>
      <c r="O71" s="44">
        <f t="shared" si="10"/>
        <v>16362500</v>
      </c>
      <c r="P71" s="44">
        <f t="shared" si="10"/>
        <v>21712500</v>
      </c>
      <c r="Q71" s="44"/>
    </row>
    <row r="72" spans="1:17" x14ac:dyDescent="0.25">
      <c r="A72" s="54" t="s">
        <v>166</v>
      </c>
      <c r="B72" s="32" t="s">
        <v>167</v>
      </c>
      <c r="C72" s="27">
        <v>61742796</v>
      </c>
      <c r="D72" s="28">
        <f>C72</f>
        <v>61742796</v>
      </c>
      <c r="E72" s="29">
        <f t="shared" si="1"/>
        <v>0</v>
      </c>
      <c r="F72" s="28"/>
      <c r="G72" s="30"/>
      <c r="H72" s="28"/>
      <c r="I72" s="29">
        <f t="shared" si="2"/>
        <v>0</v>
      </c>
      <c r="J72" s="28"/>
      <c r="K72" s="30"/>
      <c r="L72" s="28"/>
      <c r="M72" s="29">
        <f t="shared" si="3"/>
        <v>0</v>
      </c>
      <c r="N72" s="28"/>
      <c r="O72" s="31">
        <f t="shared" ref="O72:Q83" si="18">SUM(C72,G72,K72)</f>
        <v>61742796</v>
      </c>
      <c r="P72" s="31">
        <f t="shared" si="18"/>
        <v>61742796</v>
      </c>
      <c r="Q72" s="31"/>
    </row>
    <row r="73" spans="1:17" x14ac:dyDescent="0.25">
      <c r="A73" s="54" t="s">
        <v>168</v>
      </c>
      <c r="B73" s="32" t="s">
        <v>169</v>
      </c>
      <c r="C73" s="27"/>
      <c r="D73" s="28"/>
      <c r="E73" s="29">
        <f t="shared" ref="E73:E85" si="19">SUM(D73-C73)</f>
        <v>0</v>
      </c>
      <c r="F73" s="28"/>
      <c r="G73" s="30"/>
      <c r="H73" s="28"/>
      <c r="I73" s="29">
        <f t="shared" ref="I73:I85" si="20">SUM(H73-G73)</f>
        <v>0</v>
      </c>
      <c r="J73" s="28"/>
      <c r="K73" s="30"/>
      <c r="L73" s="28"/>
      <c r="M73" s="29">
        <f t="shared" ref="M73:M85" si="21">SUM(L73-K73)</f>
        <v>0</v>
      </c>
      <c r="N73" s="28"/>
      <c r="O73" s="31">
        <f t="shared" si="18"/>
        <v>0</v>
      </c>
      <c r="P73" s="31">
        <f t="shared" si="18"/>
        <v>0</v>
      </c>
      <c r="Q73" s="31"/>
    </row>
    <row r="74" spans="1:17" x14ac:dyDescent="0.25">
      <c r="A74" s="54" t="s">
        <v>170</v>
      </c>
      <c r="B74" s="32" t="s">
        <v>171</v>
      </c>
      <c r="C74" s="27"/>
      <c r="D74" s="28"/>
      <c r="E74" s="29">
        <f t="shared" si="19"/>
        <v>0</v>
      </c>
      <c r="F74" s="28"/>
      <c r="G74" s="30"/>
      <c r="H74" s="28"/>
      <c r="I74" s="29">
        <f t="shared" si="20"/>
        <v>0</v>
      </c>
      <c r="J74" s="28"/>
      <c r="K74" s="30"/>
      <c r="L74" s="28"/>
      <c r="M74" s="29">
        <f t="shared" si="21"/>
        <v>0</v>
      </c>
      <c r="N74" s="28"/>
      <c r="O74" s="31">
        <f t="shared" si="18"/>
        <v>0</v>
      </c>
      <c r="P74" s="31">
        <f t="shared" si="18"/>
        <v>0</v>
      </c>
      <c r="Q74" s="31"/>
    </row>
    <row r="75" spans="1:17" x14ac:dyDescent="0.25">
      <c r="A75" s="54" t="s">
        <v>172</v>
      </c>
      <c r="B75" s="32" t="s">
        <v>173</v>
      </c>
      <c r="C75" s="27">
        <v>16662555</v>
      </c>
      <c r="D75" s="28">
        <f>C75</f>
        <v>16662555</v>
      </c>
      <c r="E75" s="29">
        <f t="shared" si="19"/>
        <v>0</v>
      </c>
      <c r="F75" s="28"/>
      <c r="G75" s="30"/>
      <c r="H75" s="28"/>
      <c r="I75" s="29">
        <f t="shared" si="20"/>
        <v>0</v>
      </c>
      <c r="J75" s="28"/>
      <c r="K75" s="30"/>
      <c r="L75" s="28"/>
      <c r="M75" s="29">
        <f t="shared" si="21"/>
        <v>0</v>
      </c>
      <c r="N75" s="28"/>
      <c r="O75" s="31">
        <f t="shared" si="18"/>
        <v>16662555</v>
      </c>
      <c r="P75" s="31">
        <f t="shared" si="18"/>
        <v>16662555</v>
      </c>
      <c r="Q75" s="31"/>
    </row>
    <row r="76" spans="1:17" s="45" customFormat="1" ht="15.75" x14ac:dyDescent="0.25">
      <c r="A76" s="49" t="s">
        <v>174</v>
      </c>
      <c r="B76" s="41" t="s">
        <v>175</v>
      </c>
      <c r="C76" s="42">
        <f t="shared" ref="C76:N76" si="22">SUM(C72:C75)</f>
        <v>78405351</v>
      </c>
      <c r="D76" s="42">
        <f>SUM(D72:D75)</f>
        <v>78405351</v>
      </c>
      <c r="E76" s="29">
        <f t="shared" si="19"/>
        <v>0</v>
      </c>
      <c r="F76" s="42">
        <f t="shared" si="22"/>
        <v>0</v>
      </c>
      <c r="G76" s="43">
        <f t="shared" si="22"/>
        <v>0</v>
      </c>
      <c r="H76" s="42">
        <f>SUM(H72:H75)</f>
        <v>0</v>
      </c>
      <c r="I76" s="29">
        <f t="shared" si="20"/>
        <v>0</v>
      </c>
      <c r="J76" s="43">
        <f t="shared" si="22"/>
        <v>0</v>
      </c>
      <c r="K76" s="43">
        <f t="shared" si="22"/>
        <v>0</v>
      </c>
      <c r="L76" s="42">
        <f>SUM(L72:L75)</f>
        <v>0</v>
      </c>
      <c r="M76" s="29">
        <f t="shared" si="21"/>
        <v>0</v>
      </c>
      <c r="N76" s="43">
        <f t="shared" si="22"/>
        <v>0</v>
      </c>
      <c r="O76" s="44">
        <f t="shared" si="18"/>
        <v>78405351</v>
      </c>
      <c r="P76" s="44">
        <f t="shared" si="18"/>
        <v>78405351</v>
      </c>
      <c r="Q76" s="44"/>
    </row>
    <row r="77" spans="1:17" x14ac:dyDescent="0.25">
      <c r="A77" s="54" t="s">
        <v>176</v>
      </c>
      <c r="B77" s="32" t="s">
        <v>177</v>
      </c>
      <c r="C77" s="27"/>
      <c r="D77" s="28"/>
      <c r="E77" s="29">
        <f t="shared" si="19"/>
        <v>0</v>
      </c>
      <c r="F77" s="28"/>
      <c r="G77" s="30"/>
      <c r="H77" s="28"/>
      <c r="I77" s="29">
        <f t="shared" si="20"/>
        <v>0</v>
      </c>
      <c r="J77" s="28"/>
      <c r="K77" s="30"/>
      <c r="L77" s="28"/>
      <c r="M77" s="29">
        <f t="shared" si="21"/>
        <v>0</v>
      </c>
      <c r="N77" s="28"/>
      <c r="O77" s="31">
        <f t="shared" si="18"/>
        <v>0</v>
      </c>
      <c r="P77" s="31">
        <f t="shared" si="18"/>
        <v>0</v>
      </c>
      <c r="Q77" s="31"/>
    </row>
    <row r="78" spans="1:17" s="45" customFormat="1" ht="15.75" x14ac:dyDescent="0.25">
      <c r="A78" s="49" t="s">
        <v>178</v>
      </c>
      <c r="B78" s="41">
        <v>0</v>
      </c>
      <c r="C78" s="42"/>
      <c r="D78" s="43"/>
      <c r="E78" s="29">
        <f t="shared" si="19"/>
        <v>0</v>
      </c>
      <c r="F78" s="43"/>
      <c r="G78" s="43">
        <f>SUM(G77)</f>
        <v>0</v>
      </c>
      <c r="H78" s="43"/>
      <c r="I78" s="29">
        <f t="shared" si="20"/>
        <v>0</v>
      </c>
      <c r="J78" s="43"/>
      <c r="K78" s="43"/>
      <c r="L78" s="43"/>
      <c r="M78" s="29">
        <f t="shared" si="21"/>
        <v>0</v>
      </c>
      <c r="N78" s="43"/>
      <c r="O78" s="44">
        <f t="shared" si="18"/>
        <v>0</v>
      </c>
      <c r="P78" s="44">
        <f t="shared" si="18"/>
        <v>0</v>
      </c>
      <c r="Q78" s="44"/>
    </row>
    <row r="79" spans="1:17" ht="15.75" x14ac:dyDescent="0.25">
      <c r="A79" s="51" t="s">
        <v>179</v>
      </c>
      <c r="B79" s="52"/>
      <c r="C79" s="42">
        <f>SUM(C76,C71)</f>
        <v>94767851</v>
      </c>
      <c r="D79" s="42">
        <f>SUM(D76,D71)</f>
        <v>100117851</v>
      </c>
      <c r="E79" s="55">
        <f t="shared" si="19"/>
        <v>5350000</v>
      </c>
      <c r="F79" s="43"/>
      <c r="G79" s="43">
        <f>SUM(G78,G76)</f>
        <v>0</v>
      </c>
      <c r="H79" s="43"/>
      <c r="I79" s="55">
        <f t="shared" si="20"/>
        <v>0</v>
      </c>
      <c r="J79" s="43"/>
      <c r="K79" s="43"/>
      <c r="L79" s="43"/>
      <c r="M79" s="55">
        <f t="shared" si="21"/>
        <v>0</v>
      </c>
      <c r="N79" s="43"/>
      <c r="O79" s="44">
        <f t="shared" si="18"/>
        <v>94767851</v>
      </c>
      <c r="P79" s="44">
        <f t="shared" si="18"/>
        <v>100117851</v>
      </c>
      <c r="Q79" s="31"/>
    </row>
    <row r="80" spans="1:17" ht="15.75" x14ac:dyDescent="0.25">
      <c r="A80" s="46" t="s">
        <v>180</v>
      </c>
      <c r="B80" s="41" t="s">
        <v>181</v>
      </c>
      <c r="C80" s="42">
        <f>SUM(C79,C62,C53,C52,C27,C26)</f>
        <v>379671001</v>
      </c>
      <c r="D80" s="42">
        <f>SUM(D79,D62,D53,D52,D27,D26)</f>
        <v>457705585</v>
      </c>
      <c r="E80" s="29">
        <f t="shared" si="19"/>
        <v>78034584</v>
      </c>
      <c r="F80" s="42">
        <f>SUM(F79,F71,F62,F53,F52,F27,F26)</f>
        <v>0</v>
      </c>
      <c r="G80" s="39">
        <f>SUM(G79,G71,G62,G53,G52,G27,G26)</f>
        <v>0</v>
      </c>
      <c r="H80" s="42">
        <f>SUM(H79,H71,H62,H53,H52,H27,H26)</f>
        <v>0</v>
      </c>
      <c r="I80" s="29">
        <f t="shared" si="20"/>
        <v>0</v>
      </c>
      <c r="J80" s="39">
        <f>SUM(J79,J71,J62,J53,J52,J27,J26)</f>
        <v>0</v>
      </c>
      <c r="K80" s="39">
        <f>SUM(K79,K62,K53,K52,K27,K26)</f>
        <v>134985416</v>
      </c>
      <c r="L80" s="42">
        <f>SUM(L79,L71,L62,L53,L52,L27,L26)</f>
        <v>134981282</v>
      </c>
      <c r="M80" s="29">
        <f t="shared" si="21"/>
        <v>-4134</v>
      </c>
      <c r="N80" s="39">
        <f>SUM(N79,N71,N62,N53,N52,N27,N26)</f>
        <v>0</v>
      </c>
      <c r="O80" s="31">
        <f t="shared" si="18"/>
        <v>514656417</v>
      </c>
      <c r="P80" s="31">
        <f t="shared" si="18"/>
        <v>592686867</v>
      </c>
      <c r="Q80" s="31">
        <f t="shared" si="18"/>
        <v>78030450</v>
      </c>
    </row>
    <row r="81" spans="1:32" ht="15.75" x14ac:dyDescent="0.25">
      <c r="A81" s="56" t="s">
        <v>182</v>
      </c>
      <c r="B81" s="57" t="s">
        <v>183</v>
      </c>
      <c r="C81" s="58">
        <v>3000000</v>
      </c>
      <c r="D81" s="58">
        <f>C81</f>
        <v>3000000</v>
      </c>
      <c r="E81" s="29"/>
      <c r="F81" s="58"/>
      <c r="G81" s="30"/>
      <c r="H81" s="58"/>
      <c r="I81" s="29"/>
      <c r="J81" s="30"/>
      <c r="K81" s="30"/>
      <c r="L81" s="58"/>
      <c r="M81" s="29"/>
      <c r="N81" s="30"/>
      <c r="O81" s="31">
        <f t="shared" si="18"/>
        <v>3000000</v>
      </c>
      <c r="P81" s="31">
        <f t="shared" si="18"/>
        <v>3000000</v>
      </c>
      <c r="Q81" s="31"/>
    </row>
    <row r="82" spans="1:32" ht="15.75" x14ac:dyDescent="0.25">
      <c r="A82" s="56" t="s">
        <v>184</v>
      </c>
      <c r="B82" s="57" t="s">
        <v>185</v>
      </c>
      <c r="C82" s="58"/>
      <c r="D82" s="42">
        <v>11285505</v>
      </c>
      <c r="E82" s="29">
        <f t="shared" si="19"/>
        <v>11285505</v>
      </c>
      <c r="F82" s="42"/>
      <c r="G82" s="39"/>
      <c r="H82" s="42"/>
      <c r="I82" s="29">
        <f t="shared" si="20"/>
        <v>0</v>
      </c>
      <c r="J82" s="39"/>
      <c r="K82" s="39"/>
      <c r="L82" s="42"/>
      <c r="M82" s="29"/>
      <c r="N82" s="39"/>
      <c r="O82" s="31">
        <f t="shared" si="18"/>
        <v>0</v>
      </c>
      <c r="P82" s="31">
        <f t="shared" si="18"/>
        <v>11285505</v>
      </c>
      <c r="Q82" s="31"/>
    </row>
    <row r="83" spans="1:32" ht="15.75" x14ac:dyDescent="0.25">
      <c r="A83" s="56" t="s">
        <v>186</v>
      </c>
      <c r="B83" s="57" t="s">
        <v>187</v>
      </c>
      <c r="C83" s="58"/>
      <c r="D83" s="42"/>
      <c r="E83" s="29">
        <f t="shared" si="19"/>
        <v>0</v>
      </c>
      <c r="F83" s="42"/>
      <c r="G83" s="39"/>
      <c r="H83" s="42"/>
      <c r="I83" s="29">
        <f t="shared" si="20"/>
        <v>0</v>
      </c>
      <c r="J83" s="39"/>
      <c r="K83" s="39"/>
      <c r="L83" s="42"/>
      <c r="M83" s="29"/>
      <c r="N83" s="39"/>
      <c r="O83" s="31">
        <f t="shared" si="18"/>
        <v>0</v>
      </c>
      <c r="P83" s="31"/>
      <c r="Q83" s="31"/>
    </row>
    <row r="84" spans="1:32" ht="15.75" x14ac:dyDescent="0.25">
      <c r="A84" s="49" t="s">
        <v>188</v>
      </c>
      <c r="B84" s="46" t="s">
        <v>189</v>
      </c>
      <c r="C84" s="59">
        <f>SUM(C81:C83)</f>
        <v>3000000</v>
      </c>
      <c r="D84" s="59">
        <f t="shared" ref="D84:P84" si="23">SUM(D81:D83)</f>
        <v>14285505</v>
      </c>
      <c r="E84" s="59">
        <f t="shared" si="23"/>
        <v>11285505</v>
      </c>
      <c r="F84" s="59">
        <f t="shared" si="23"/>
        <v>0</v>
      </c>
      <c r="G84" s="59">
        <f t="shared" si="23"/>
        <v>0</v>
      </c>
      <c r="H84" s="59">
        <f t="shared" si="23"/>
        <v>0</v>
      </c>
      <c r="I84" s="59">
        <f t="shared" si="23"/>
        <v>0</v>
      </c>
      <c r="J84" s="59">
        <f t="shared" si="23"/>
        <v>0</v>
      </c>
      <c r="K84" s="59">
        <f t="shared" si="23"/>
        <v>0</v>
      </c>
      <c r="L84" s="59">
        <f t="shared" si="23"/>
        <v>0</v>
      </c>
      <c r="M84" s="59">
        <f t="shared" si="23"/>
        <v>0</v>
      </c>
      <c r="N84" s="59">
        <f t="shared" si="23"/>
        <v>0</v>
      </c>
      <c r="O84" s="59">
        <f t="shared" si="23"/>
        <v>3000000</v>
      </c>
      <c r="P84" s="59">
        <f t="shared" si="23"/>
        <v>14285505</v>
      </c>
      <c r="Q84" s="60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</row>
    <row r="85" spans="1:32" s="65" customFormat="1" ht="18.75" x14ac:dyDescent="0.3">
      <c r="A85" s="62" t="s">
        <v>18</v>
      </c>
      <c r="B85" s="63"/>
      <c r="C85" s="64">
        <f>SUM(C84,C80)</f>
        <v>382671001</v>
      </c>
      <c r="D85" s="64">
        <f>SUM(D80,D84)</f>
        <v>471991090</v>
      </c>
      <c r="E85" s="29">
        <f t="shared" si="19"/>
        <v>89320089</v>
      </c>
      <c r="F85" s="64">
        <f>SUM(F80:F84)</f>
        <v>0</v>
      </c>
      <c r="G85" s="64">
        <f>SUM(G80:G84)</f>
        <v>0</v>
      </c>
      <c r="H85" s="64">
        <f>SUM(H80:H84)</f>
        <v>0</v>
      </c>
      <c r="I85" s="29">
        <f t="shared" si="20"/>
        <v>0</v>
      </c>
      <c r="J85" s="64">
        <f>SUM(J80:J84)</f>
        <v>0</v>
      </c>
      <c r="K85" s="64">
        <f>SUM(K80:K84)</f>
        <v>134985416</v>
      </c>
      <c r="L85" s="64">
        <f>SUM(L80,L84)</f>
        <v>134981282</v>
      </c>
      <c r="M85" s="29">
        <f t="shared" si="21"/>
        <v>-4134</v>
      </c>
      <c r="N85" s="64">
        <f>SUM(N80:N84)</f>
        <v>0</v>
      </c>
      <c r="O85" s="64">
        <f>SUM(C85,G85,K85)</f>
        <v>517656417</v>
      </c>
      <c r="P85" s="64">
        <f>D85+L85</f>
        <v>606972372</v>
      </c>
      <c r="Q85" s="64"/>
    </row>
    <row r="87" spans="1:32" x14ac:dyDescent="0.25">
      <c r="D87" s="66"/>
      <c r="E87" s="66"/>
      <c r="H87" s="66"/>
      <c r="I87" s="66"/>
      <c r="L87" s="66"/>
      <c r="M87" s="66"/>
    </row>
    <row r="88" spans="1:32" x14ac:dyDescent="0.25"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</sheetData>
  <mergeCells count="9">
    <mergeCell ref="A1:P1"/>
    <mergeCell ref="A2:Q2"/>
    <mergeCell ref="A3:Q3"/>
    <mergeCell ref="A6:A7"/>
    <mergeCell ref="B6:B7"/>
    <mergeCell ref="C6:F6"/>
    <mergeCell ref="G6:J6"/>
    <mergeCell ref="K6:N6"/>
    <mergeCell ref="O6:Q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0BED-AD98-48B8-805E-2DF018D7117E}">
  <dimension ref="A1:F34"/>
  <sheetViews>
    <sheetView tabSelected="1" zoomScale="115" zoomScaleNormal="115" workbookViewId="0">
      <selection activeCell="C4" sqref="C4:E5"/>
    </sheetView>
  </sheetViews>
  <sheetFormatPr defaultRowHeight="15" x14ac:dyDescent="0.25"/>
  <cols>
    <col min="1" max="1" width="30.5703125" style="366" customWidth="1"/>
    <col min="2" max="2" width="5.140625" style="366" customWidth="1"/>
    <col min="3" max="5" width="10" style="366" customWidth="1"/>
    <col min="6" max="6" width="11.42578125" style="366" customWidth="1"/>
    <col min="7" max="16384" width="9.140625" style="366"/>
  </cols>
  <sheetData>
    <row r="1" spans="1:6" x14ac:dyDescent="0.25">
      <c r="A1" s="460" t="s">
        <v>741</v>
      </c>
      <c r="B1" s="460"/>
      <c r="C1" s="460"/>
      <c r="D1" s="460"/>
      <c r="E1" s="460"/>
      <c r="F1" s="460"/>
    </row>
    <row r="2" spans="1:6" ht="42" customHeight="1" x14ac:dyDescent="0.25">
      <c r="A2" s="461" t="s">
        <v>688</v>
      </c>
      <c r="B2" s="461"/>
      <c r="C2" s="461"/>
      <c r="D2" s="461"/>
      <c r="E2" s="461"/>
      <c r="F2" s="461"/>
    </row>
    <row r="3" spans="1:6" ht="15.75" thickBot="1" x14ac:dyDescent="0.3">
      <c r="F3" s="367" t="s">
        <v>689</v>
      </c>
    </row>
    <row r="4" spans="1:6" ht="22.5" customHeight="1" x14ac:dyDescent="0.25">
      <c r="A4" s="462" t="s">
        <v>690</v>
      </c>
      <c r="B4" s="465" t="s">
        <v>336</v>
      </c>
      <c r="C4" s="468" t="s">
        <v>691</v>
      </c>
      <c r="D4" s="469"/>
      <c r="E4" s="469"/>
      <c r="F4" s="472" t="s">
        <v>692</v>
      </c>
    </row>
    <row r="5" spans="1:6" ht="22.5" customHeight="1" x14ac:dyDescent="0.25">
      <c r="A5" s="463"/>
      <c r="B5" s="466"/>
      <c r="C5" s="470"/>
      <c r="D5" s="471"/>
      <c r="E5" s="471"/>
      <c r="F5" s="473"/>
    </row>
    <row r="6" spans="1:6" ht="15.75" thickBot="1" x14ac:dyDescent="0.3">
      <c r="A6" s="464"/>
      <c r="B6" s="467"/>
      <c r="C6" s="368">
        <v>2021</v>
      </c>
      <c r="D6" s="368">
        <v>2022</v>
      </c>
      <c r="E6" s="368">
        <v>2023</v>
      </c>
      <c r="F6" s="474"/>
    </row>
    <row r="7" spans="1:6" x14ac:dyDescent="0.25">
      <c r="A7" s="369">
        <v>1</v>
      </c>
      <c r="B7" s="370">
        <v>2</v>
      </c>
      <c r="C7" s="370">
        <v>3</v>
      </c>
      <c r="D7" s="370">
        <v>4</v>
      </c>
      <c r="E7" s="370">
        <v>5</v>
      </c>
      <c r="F7" s="371">
        <v>7</v>
      </c>
    </row>
    <row r="8" spans="1:6" ht="18" customHeight="1" x14ac:dyDescent="0.25">
      <c r="A8" s="372" t="s">
        <v>693</v>
      </c>
      <c r="B8" s="373" t="s">
        <v>694</v>
      </c>
      <c r="C8" s="374">
        <v>52550000</v>
      </c>
      <c r="D8" s="374">
        <v>52550000</v>
      </c>
      <c r="E8" s="374">
        <v>52550000</v>
      </c>
      <c r="F8" s="375">
        <f>+C8+D8+E8</f>
        <v>157650000</v>
      </c>
    </row>
    <row r="9" spans="1:6" ht="18" customHeight="1" x14ac:dyDescent="0.25">
      <c r="A9" s="372" t="s">
        <v>695</v>
      </c>
      <c r="B9" s="373" t="s">
        <v>696</v>
      </c>
      <c r="C9" s="374"/>
      <c r="D9" s="374"/>
      <c r="E9" s="374"/>
      <c r="F9" s="375">
        <f>+C9+D9+E9</f>
        <v>0</v>
      </c>
    </row>
    <row r="10" spans="1:6" ht="18" customHeight="1" x14ac:dyDescent="0.25">
      <c r="A10" s="372" t="s">
        <v>697</v>
      </c>
      <c r="B10" s="373" t="s">
        <v>698</v>
      </c>
      <c r="C10" s="374"/>
      <c r="D10" s="374"/>
      <c r="E10" s="374"/>
      <c r="F10" s="375">
        <f t="shared" ref="F10:F34" si="0">+C10+D10+E10</f>
        <v>0</v>
      </c>
    </row>
    <row r="11" spans="1:6" ht="39" customHeight="1" x14ac:dyDescent="0.25">
      <c r="A11" s="372" t="s">
        <v>699</v>
      </c>
      <c r="B11" s="373" t="s">
        <v>700</v>
      </c>
      <c r="C11" s="374"/>
      <c r="D11" s="374"/>
      <c r="E11" s="374"/>
      <c r="F11" s="375">
        <f t="shared" si="0"/>
        <v>0</v>
      </c>
    </row>
    <row r="12" spans="1:6" ht="18" customHeight="1" x14ac:dyDescent="0.25">
      <c r="A12" s="372" t="s">
        <v>701</v>
      </c>
      <c r="B12" s="373" t="s">
        <v>702</v>
      </c>
      <c r="C12" s="374"/>
      <c r="D12" s="374"/>
      <c r="E12" s="374"/>
      <c r="F12" s="375">
        <f t="shared" si="0"/>
        <v>0</v>
      </c>
    </row>
    <row r="13" spans="1:6" ht="26.25" customHeight="1" x14ac:dyDescent="0.25">
      <c r="A13" s="372" t="s">
        <v>703</v>
      </c>
      <c r="B13" s="373" t="s">
        <v>704</v>
      </c>
      <c r="C13" s="374"/>
      <c r="D13" s="374"/>
      <c r="E13" s="374"/>
      <c r="F13" s="375">
        <f t="shared" si="0"/>
        <v>0</v>
      </c>
    </row>
    <row r="14" spans="1:6" ht="18" customHeight="1" thickBot="1" x14ac:dyDescent="0.3">
      <c r="A14" s="376" t="s">
        <v>705</v>
      </c>
      <c r="B14" s="377" t="s">
        <v>706</v>
      </c>
      <c r="C14" s="378"/>
      <c r="D14" s="378"/>
      <c r="E14" s="378"/>
      <c r="F14" s="379">
        <f t="shared" si="0"/>
        <v>0</v>
      </c>
    </row>
    <row r="15" spans="1:6" ht="18" customHeight="1" thickBot="1" x14ac:dyDescent="0.3">
      <c r="A15" s="380" t="s">
        <v>707</v>
      </c>
      <c r="B15" s="381" t="s">
        <v>708</v>
      </c>
      <c r="C15" s="382">
        <f>SUM(C8:C14)</f>
        <v>52550000</v>
      </c>
      <c r="D15" s="382">
        <f>SUM(D8:D14)</f>
        <v>52550000</v>
      </c>
      <c r="E15" s="382">
        <f>SUM(E8:E14)</f>
        <v>52550000</v>
      </c>
      <c r="F15" s="383">
        <f t="shared" si="0"/>
        <v>157650000</v>
      </c>
    </row>
    <row r="16" spans="1:6" ht="18" customHeight="1" thickBot="1" x14ac:dyDescent="0.3">
      <c r="A16" s="384" t="s">
        <v>709</v>
      </c>
      <c r="B16" s="385" t="s">
        <v>710</v>
      </c>
      <c r="C16" s="386">
        <f>C15/2</f>
        <v>26275000</v>
      </c>
      <c r="D16" s="386">
        <f t="shared" ref="D16:E16" si="1">D15/2</f>
        <v>26275000</v>
      </c>
      <c r="E16" s="386">
        <f t="shared" si="1"/>
        <v>26275000</v>
      </c>
      <c r="F16" s="387">
        <f t="shared" si="0"/>
        <v>78825000</v>
      </c>
    </row>
    <row r="17" spans="1:6" ht="30" customHeight="1" thickBot="1" x14ac:dyDescent="0.3">
      <c r="A17" s="380" t="s">
        <v>711</v>
      </c>
      <c r="B17" s="388">
        <v>10</v>
      </c>
      <c r="C17" s="382">
        <f>SUM(C18:C24)</f>
        <v>3000000</v>
      </c>
      <c r="D17" s="382">
        <f>SUM(D18:D24)</f>
        <v>3000000</v>
      </c>
      <c r="E17" s="382">
        <f>SUM(E18:E24)</f>
        <v>3000000</v>
      </c>
      <c r="F17" s="383">
        <f t="shared" si="0"/>
        <v>9000000</v>
      </c>
    </row>
    <row r="18" spans="1:6" ht="18" customHeight="1" x14ac:dyDescent="0.25">
      <c r="A18" s="389" t="s">
        <v>712</v>
      </c>
      <c r="B18" s="390">
        <v>11</v>
      </c>
      <c r="C18" s="391">
        <v>3000000</v>
      </c>
      <c r="D18" s="391">
        <v>3000000</v>
      </c>
      <c r="E18" s="391">
        <v>3000000</v>
      </c>
      <c r="F18" s="392">
        <f t="shared" si="0"/>
        <v>9000000</v>
      </c>
    </row>
    <row r="19" spans="1:6" ht="18" customHeight="1" x14ac:dyDescent="0.25">
      <c r="A19" s="372" t="s">
        <v>713</v>
      </c>
      <c r="B19" s="393">
        <v>12</v>
      </c>
      <c r="C19" s="374"/>
      <c r="D19" s="374"/>
      <c r="E19" s="374"/>
      <c r="F19" s="375">
        <f t="shared" si="0"/>
        <v>0</v>
      </c>
    </row>
    <row r="20" spans="1:6" ht="18" customHeight="1" x14ac:dyDescent="0.25">
      <c r="A20" s="372" t="s">
        <v>714</v>
      </c>
      <c r="B20" s="393">
        <v>13</v>
      </c>
      <c r="C20" s="374"/>
      <c r="D20" s="374"/>
      <c r="E20" s="374"/>
      <c r="F20" s="375">
        <f t="shared" si="0"/>
        <v>0</v>
      </c>
    </row>
    <row r="21" spans="1:6" ht="18" customHeight="1" x14ac:dyDescent="0.25">
      <c r="A21" s="372" t="s">
        <v>715</v>
      </c>
      <c r="B21" s="393">
        <v>14</v>
      </c>
      <c r="C21" s="374"/>
      <c r="D21" s="374"/>
      <c r="E21" s="374"/>
      <c r="F21" s="375">
        <f t="shared" si="0"/>
        <v>0</v>
      </c>
    </row>
    <row r="22" spans="1:6" ht="18" customHeight="1" x14ac:dyDescent="0.25">
      <c r="A22" s="372" t="s">
        <v>716</v>
      </c>
      <c r="B22" s="393">
        <v>15</v>
      </c>
      <c r="C22" s="374"/>
      <c r="D22" s="374"/>
      <c r="E22" s="374"/>
      <c r="F22" s="375">
        <f t="shared" si="0"/>
        <v>0</v>
      </c>
    </row>
    <row r="23" spans="1:6" ht="18" customHeight="1" x14ac:dyDescent="0.25">
      <c r="A23" s="372" t="s">
        <v>717</v>
      </c>
      <c r="B23" s="393">
        <v>16</v>
      </c>
      <c r="C23" s="374"/>
      <c r="D23" s="374"/>
      <c r="E23" s="374"/>
      <c r="F23" s="375">
        <f t="shared" si="0"/>
        <v>0</v>
      </c>
    </row>
    <row r="24" spans="1:6" ht="18" customHeight="1" thickBot="1" x14ac:dyDescent="0.3">
      <c r="A24" s="376" t="s">
        <v>718</v>
      </c>
      <c r="B24" s="394">
        <v>17</v>
      </c>
      <c r="C24" s="378"/>
      <c r="D24" s="378"/>
      <c r="E24" s="378"/>
      <c r="F24" s="379">
        <f t="shared" si="0"/>
        <v>0</v>
      </c>
    </row>
    <row r="25" spans="1:6" ht="39.75" customHeight="1" thickBot="1" x14ac:dyDescent="0.3">
      <c r="A25" s="380" t="s">
        <v>719</v>
      </c>
      <c r="B25" s="388">
        <v>18</v>
      </c>
      <c r="C25" s="382">
        <f>SUM(C26:C32)</f>
        <v>0</v>
      </c>
      <c r="D25" s="382">
        <f>SUM(D26:D32)</f>
        <v>0</v>
      </c>
      <c r="E25" s="382">
        <f>SUM(E26:E32)</f>
        <v>0</v>
      </c>
      <c r="F25" s="383">
        <f t="shared" si="0"/>
        <v>0</v>
      </c>
    </row>
    <row r="26" spans="1:6" ht="18" customHeight="1" x14ac:dyDescent="0.25">
      <c r="A26" s="389" t="s">
        <v>712</v>
      </c>
      <c r="B26" s="390">
        <v>19</v>
      </c>
      <c r="C26" s="391"/>
      <c r="D26" s="391"/>
      <c r="E26" s="391"/>
      <c r="F26" s="392">
        <f t="shared" si="0"/>
        <v>0</v>
      </c>
    </row>
    <row r="27" spans="1:6" ht="18" customHeight="1" x14ac:dyDescent="0.25">
      <c r="A27" s="372" t="s">
        <v>713</v>
      </c>
      <c r="B27" s="393">
        <v>20</v>
      </c>
      <c r="C27" s="374"/>
      <c r="D27" s="374"/>
      <c r="E27" s="374"/>
      <c r="F27" s="375">
        <f t="shared" si="0"/>
        <v>0</v>
      </c>
    </row>
    <row r="28" spans="1:6" ht="18" customHeight="1" x14ac:dyDescent="0.25">
      <c r="A28" s="372" t="s">
        <v>714</v>
      </c>
      <c r="B28" s="393">
        <v>21</v>
      </c>
      <c r="C28" s="374"/>
      <c r="D28" s="374"/>
      <c r="E28" s="374"/>
      <c r="F28" s="375">
        <f t="shared" si="0"/>
        <v>0</v>
      </c>
    </row>
    <row r="29" spans="1:6" ht="18" customHeight="1" x14ac:dyDescent="0.25">
      <c r="A29" s="372" t="s">
        <v>715</v>
      </c>
      <c r="B29" s="393">
        <v>22</v>
      </c>
      <c r="C29" s="374"/>
      <c r="D29" s="374"/>
      <c r="E29" s="374"/>
      <c r="F29" s="375">
        <f t="shared" si="0"/>
        <v>0</v>
      </c>
    </row>
    <row r="30" spans="1:6" ht="18" customHeight="1" x14ac:dyDescent="0.25">
      <c r="A30" s="372" t="s">
        <v>716</v>
      </c>
      <c r="B30" s="393">
        <v>23</v>
      </c>
      <c r="C30" s="374"/>
      <c r="D30" s="374"/>
      <c r="E30" s="374"/>
      <c r="F30" s="375">
        <f t="shared" si="0"/>
        <v>0</v>
      </c>
    </row>
    <row r="31" spans="1:6" ht="18" customHeight="1" x14ac:dyDescent="0.25">
      <c r="A31" s="372" t="s">
        <v>717</v>
      </c>
      <c r="B31" s="393">
        <v>24</v>
      </c>
      <c r="C31" s="374"/>
      <c r="D31" s="374"/>
      <c r="E31" s="374"/>
      <c r="F31" s="375">
        <f t="shared" si="0"/>
        <v>0</v>
      </c>
    </row>
    <row r="32" spans="1:6" ht="18" customHeight="1" thickBot="1" x14ac:dyDescent="0.3">
      <c r="A32" s="376" t="s">
        <v>718</v>
      </c>
      <c r="B32" s="394">
        <v>25</v>
      </c>
      <c r="C32" s="378"/>
      <c r="D32" s="378"/>
      <c r="E32" s="378"/>
      <c r="F32" s="379">
        <f t="shared" si="0"/>
        <v>0</v>
      </c>
    </row>
    <row r="33" spans="1:6" ht="18" customHeight="1" thickBot="1" x14ac:dyDescent="0.3">
      <c r="A33" s="380" t="s">
        <v>720</v>
      </c>
      <c r="B33" s="388">
        <v>26</v>
      </c>
      <c r="C33" s="382">
        <f>+C17+C25</f>
        <v>3000000</v>
      </c>
      <c r="D33" s="382">
        <f>+D17+D25</f>
        <v>3000000</v>
      </c>
      <c r="E33" s="382">
        <f>+E17+E25</f>
        <v>3000000</v>
      </c>
      <c r="F33" s="383">
        <f t="shared" si="0"/>
        <v>9000000</v>
      </c>
    </row>
    <row r="34" spans="1:6" ht="30" customHeight="1" thickBot="1" x14ac:dyDescent="0.3">
      <c r="A34" s="380" t="s">
        <v>721</v>
      </c>
      <c r="B34" s="388">
        <v>27</v>
      </c>
      <c r="C34" s="382">
        <f>+C16-C33</f>
        <v>23275000</v>
      </c>
      <c r="D34" s="382">
        <f>+D16-D33</f>
        <v>23275000</v>
      </c>
      <c r="E34" s="382">
        <f>+E16-E33</f>
        <v>23275000</v>
      </c>
      <c r="F34" s="383">
        <f t="shared" si="0"/>
        <v>69825000</v>
      </c>
    </row>
  </sheetData>
  <mergeCells count="6">
    <mergeCell ref="A1:F1"/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677-36CC-4C8E-95D4-3F545518BD51}">
  <sheetPr filterMode="1">
    <tabColor rgb="FF00FF00"/>
    <pageSetUpPr fitToPage="1"/>
  </sheetPr>
  <dimension ref="A1:N89"/>
  <sheetViews>
    <sheetView zoomScaleNormal="100" zoomScaleSheetLayoutView="75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I4" sqref="I4"/>
    </sheetView>
  </sheetViews>
  <sheetFormatPr defaultRowHeight="15" x14ac:dyDescent="0.25"/>
  <cols>
    <col min="1" max="1" width="60.42578125" customWidth="1"/>
    <col min="3" max="3" width="12.7109375" customWidth="1"/>
    <col min="4" max="4" width="14.42578125" bestFit="1" customWidth="1"/>
    <col min="5" max="5" width="12.7109375" hidden="1" customWidth="1"/>
    <col min="6" max="6" width="12.28515625" hidden="1" customWidth="1"/>
    <col min="7" max="7" width="12.140625" hidden="1" customWidth="1"/>
    <col min="8" max="8" width="7.42578125" hidden="1" customWidth="1"/>
    <col min="9" max="9" width="12.140625" customWidth="1"/>
    <col min="10" max="10" width="13" customWidth="1"/>
    <col min="11" max="11" width="7.7109375" hidden="1" customWidth="1"/>
    <col min="12" max="12" width="12.7109375" customWidth="1"/>
    <col min="13" max="13" width="12.85546875" customWidth="1"/>
    <col min="14" max="14" width="12.7109375" hidden="1" customWidth="1"/>
  </cols>
  <sheetData>
    <row r="1" spans="1:14" ht="15.75" customHeight="1" x14ac:dyDescent="0.3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ht="15.75" customHeight="1" x14ac:dyDescent="0.3">
      <c r="A2" s="414" t="s">
        <v>361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ht="18.75" x14ac:dyDescent="0.3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 ht="15.75" x14ac:dyDescent="0.25">
      <c r="A4" s="198" t="s">
        <v>30</v>
      </c>
      <c r="B4" s="197"/>
      <c r="C4" s="4"/>
      <c r="D4" s="197"/>
      <c r="E4" s="197"/>
      <c r="F4" s="197"/>
      <c r="G4" s="197"/>
      <c r="H4" s="197"/>
      <c r="I4" s="197" t="s">
        <v>724</v>
      </c>
      <c r="J4" s="199"/>
      <c r="K4" s="197"/>
      <c r="L4" s="200"/>
      <c r="M4" s="201"/>
      <c r="N4" s="197"/>
    </row>
    <row r="5" spans="1:14" ht="28.15" customHeight="1" x14ac:dyDescent="0.25">
      <c r="A5" s="202" t="s">
        <v>31</v>
      </c>
      <c r="B5" s="203" t="s">
        <v>32</v>
      </c>
      <c r="C5" s="415" t="s">
        <v>33</v>
      </c>
      <c r="D5" s="415"/>
      <c r="E5" s="415"/>
      <c r="F5" s="415" t="s">
        <v>34</v>
      </c>
      <c r="G5" s="415"/>
      <c r="H5" s="415"/>
      <c r="I5" s="415" t="s">
        <v>35</v>
      </c>
      <c r="J5" s="415"/>
      <c r="K5" s="415"/>
      <c r="L5" s="415" t="s">
        <v>36</v>
      </c>
      <c r="M5" s="415"/>
      <c r="N5" s="415"/>
    </row>
    <row r="6" spans="1:14" ht="26.25" x14ac:dyDescent="0.25">
      <c r="A6" s="204"/>
      <c r="B6" s="205"/>
      <c r="C6" s="206" t="s">
        <v>37</v>
      </c>
      <c r="D6" s="206" t="s">
        <v>38</v>
      </c>
      <c r="E6" s="207" t="s">
        <v>39</v>
      </c>
      <c r="F6" s="206" t="s">
        <v>37</v>
      </c>
      <c r="G6" s="206" t="s">
        <v>38</v>
      </c>
      <c r="H6" s="207" t="s">
        <v>39</v>
      </c>
      <c r="I6" s="206" t="s">
        <v>37</v>
      </c>
      <c r="J6" s="206" t="s">
        <v>38</v>
      </c>
      <c r="K6" s="207" t="s">
        <v>39</v>
      </c>
      <c r="L6" s="206" t="s">
        <v>37</v>
      </c>
      <c r="M6" s="206" t="s">
        <v>38</v>
      </c>
      <c r="N6" s="207" t="s">
        <v>39</v>
      </c>
    </row>
    <row r="7" spans="1:14" x14ac:dyDescent="0.25">
      <c r="A7" s="208" t="s">
        <v>362</v>
      </c>
      <c r="B7" s="209" t="s">
        <v>363</v>
      </c>
      <c r="C7" s="210">
        <v>17289526</v>
      </c>
      <c r="D7" s="210">
        <f t="shared" ref="D7" si="0">C7</f>
        <v>17289526</v>
      </c>
      <c r="E7" s="210"/>
      <c r="F7" s="210"/>
      <c r="G7" s="210"/>
      <c r="H7" s="210"/>
      <c r="I7" s="210">
        <v>119212984</v>
      </c>
      <c r="J7" s="210">
        <f>I7+242262</f>
        <v>119455246</v>
      </c>
      <c r="K7" s="210"/>
      <c r="L7" s="210">
        <f t="shared" ref="L7:N33" si="1">SUM(,C7,F7,I7)</f>
        <v>136502510</v>
      </c>
      <c r="M7" s="210">
        <f t="shared" si="1"/>
        <v>136744772</v>
      </c>
      <c r="N7" s="210">
        <f t="shared" si="1"/>
        <v>0</v>
      </c>
    </row>
    <row r="8" spans="1:14" x14ac:dyDescent="0.25">
      <c r="A8" s="211" t="s">
        <v>364</v>
      </c>
      <c r="B8" s="209" t="s">
        <v>365</v>
      </c>
      <c r="C8" s="210">
        <v>85830370</v>
      </c>
      <c r="D8" s="210">
        <f>C8+1452360</f>
        <v>87282730</v>
      </c>
      <c r="E8" s="210"/>
      <c r="F8" s="210"/>
      <c r="G8" s="210"/>
      <c r="H8" s="210"/>
      <c r="I8" s="210"/>
      <c r="J8" s="210"/>
      <c r="K8" s="210"/>
      <c r="L8" s="210">
        <f t="shared" si="1"/>
        <v>85830370</v>
      </c>
      <c r="M8" s="210">
        <f t="shared" si="1"/>
        <v>87282730</v>
      </c>
      <c r="N8" s="210">
        <f t="shared" si="1"/>
        <v>0</v>
      </c>
    </row>
    <row r="9" spans="1:14" x14ac:dyDescent="0.25">
      <c r="A9" s="211" t="s">
        <v>366</v>
      </c>
      <c r="B9" s="209" t="s">
        <v>367</v>
      </c>
      <c r="C9" s="210">
        <v>17627280</v>
      </c>
      <c r="D9" s="210">
        <f>C9+590559</f>
        <v>18217839</v>
      </c>
      <c r="E9" s="210"/>
      <c r="F9" s="210"/>
      <c r="G9" s="210"/>
      <c r="H9" s="210"/>
      <c r="I9" s="210"/>
      <c r="J9" s="210"/>
      <c r="K9" s="210"/>
      <c r="L9" s="210">
        <f t="shared" si="1"/>
        <v>17627280</v>
      </c>
      <c r="M9" s="210">
        <f t="shared" si="1"/>
        <v>18217839</v>
      </c>
      <c r="N9" s="210">
        <f t="shared" si="1"/>
        <v>0</v>
      </c>
    </row>
    <row r="10" spans="1:14" x14ac:dyDescent="0.25">
      <c r="A10" s="211" t="s">
        <v>368</v>
      </c>
      <c r="B10" s="209" t="s">
        <v>369</v>
      </c>
      <c r="C10" s="210">
        <v>36598405</v>
      </c>
      <c r="D10" s="210">
        <f>C10+176624</f>
        <v>36775029</v>
      </c>
      <c r="E10" s="210"/>
      <c r="F10" s="210"/>
      <c r="G10" s="210"/>
      <c r="H10" s="210"/>
      <c r="I10" s="210"/>
      <c r="J10" s="210"/>
      <c r="K10" s="210"/>
      <c r="L10" s="210">
        <f>SUM(,C10,F10,I10)</f>
        <v>36598405</v>
      </c>
      <c r="M10" s="210">
        <f>SUM(,D10,G10,J10)</f>
        <v>36775029</v>
      </c>
      <c r="N10" s="210">
        <f>SUM(,E10,H10,K10)</f>
        <v>0</v>
      </c>
    </row>
    <row r="11" spans="1:14" x14ac:dyDescent="0.25">
      <c r="A11" s="211" t="s">
        <v>370</v>
      </c>
      <c r="B11" s="209" t="s">
        <v>371</v>
      </c>
      <c r="C11" s="210">
        <v>5579070</v>
      </c>
      <c r="D11" s="210">
        <f>C11+48126</f>
        <v>5627196</v>
      </c>
      <c r="E11" s="210"/>
      <c r="F11" s="210"/>
      <c r="G11" s="210"/>
      <c r="H11" s="210"/>
      <c r="I11" s="210"/>
      <c r="J11" s="210"/>
      <c r="K11" s="210"/>
      <c r="L11" s="210">
        <f t="shared" si="1"/>
        <v>5579070</v>
      </c>
      <c r="M11" s="210">
        <f t="shared" si="1"/>
        <v>5627196</v>
      </c>
      <c r="N11" s="210">
        <f t="shared" si="1"/>
        <v>0</v>
      </c>
    </row>
    <row r="12" spans="1:14" x14ac:dyDescent="0.25">
      <c r="A12" s="211" t="s">
        <v>372</v>
      </c>
      <c r="B12" s="209" t="s">
        <v>373</v>
      </c>
      <c r="C12" s="210">
        <v>0</v>
      </c>
      <c r="D12" s="210">
        <f>C12+8678492</f>
        <v>8678492</v>
      </c>
      <c r="E12" s="210"/>
      <c r="F12" s="210"/>
      <c r="G12" s="210"/>
      <c r="H12" s="210"/>
      <c r="I12" s="210"/>
      <c r="J12" s="210"/>
      <c r="K12" s="210"/>
      <c r="L12" s="210">
        <f t="shared" si="1"/>
        <v>0</v>
      </c>
      <c r="M12" s="210">
        <f t="shared" si="1"/>
        <v>8678492</v>
      </c>
      <c r="N12" s="210">
        <f t="shared" si="1"/>
        <v>0</v>
      </c>
    </row>
    <row r="13" spans="1:14" ht="15.75" customHeight="1" x14ac:dyDescent="0.25">
      <c r="A13" s="211" t="s">
        <v>374</v>
      </c>
      <c r="B13" s="209" t="s">
        <v>375</v>
      </c>
      <c r="C13" s="210"/>
      <c r="D13" s="210">
        <v>172440</v>
      </c>
      <c r="E13" s="210"/>
      <c r="F13" s="210"/>
      <c r="G13" s="210"/>
      <c r="H13" s="210"/>
      <c r="I13" s="210"/>
      <c r="J13" s="210"/>
      <c r="K13" s="210"/>
      <c r="L13" s="210">
        <f t="shared" si="1"/>
        <v>0</v>
      </c>
      <c r="M13" s="210">
        <f t="shared" si="1"/>
        <v>172440</v>
      </c>
      <c r="N13" s="210">
        <f t="shared" si="1"/>
        <v>0</v>
      </c>
    </row>
    <row r="14" spans="1:14" x14ac:dyDescent="0.25">
      <c r="A14" s="212" t="s">
        <v>376</v>
      </c>
      <c r="B14" s="213" t="s">
        <v>377</v>
      </c>
      <c r="C14" s="210">
        <f t="shared" ref="C14:K14" si="2">SUM(C7:C13)</f>
        <v>162924651</v>
      </c>
      <c r="D14" s="210">
        <f t="shared" si="2"/>
        <v>174043252</v>
      </c>
      <c r="E14" s="210">
        <f t="shared" si="2"/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119212984</v>
      </c>
      <c r="J14" s="210">
        <f t="shared" si="2"/>
        <v>119455246</v>
      </c>
      <c r="K14" s="210">
        <f t="shared" si="2"/>
        <v>0</v>
      </c>
      <c r="L14" s="210">
        <f t="shared" si="1"/>
        <v>282137635</v>
      </c>
      <c r="M14" s="210">
        <f t="shared" si="1"/>
        <v>293498498</v>
      </c>
      <c r="N14" s="210">
        <f t="shared" si="1"/>
        <v>0</v>
      </c>
    </row>
    <row r="15" spans="1:14" hidden="1" x14ac:dyDescent="0.25">
      <c r="A15" s="211" t="s">
        <v>378</v>
      </c>
      <c r="B15" s="209" t="s">
        <v>379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>
        <f t="shared" si="1"/>
        <v>0</v>
      </c>
      <c r="M15" s="210">
        <f t="shared" si="1"/>
        <v>0</v>
      </c>
      <c r="N15" s="210">
        <f t="shared" si="1"/>
        <v>0</v>
      </c>
    </row>
    <row r="16" spans="1:14" ht="25.5" hidden="1" x14ac:dyDescent="0.25">
      <c r="A16" s="211" t="s">
        <v>380</v>
      </c>
      <c r="B16" s="209" t="s">
        <v>381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>
        <f t="shared" si="1"/>
        <v>0</v>
      </c>
      <c r="M16" s="210">
        <f t="shared" si="1"/>
        <v>0</v>
      </c>
      <c r="N16" s="210">
        <f t="shared" si="1"/>
        <v>0</v>
      </c>
    </row>
    <row r="17" spans="1:14" ht="25.5" hidden="1" x14ac:dyDescent="0.25">
      <c r="A17" s="211" t="s">
        <v>382</v>
      </c>
      <c r="B17" s="209" t="s">
        <v>383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>
        <f t="shared" si="1"/>
        <v>0</v>
      </c>
      <c r="M17" s="210">
        <f t="shared" si="1"/>
        <v>0</v>
      </c>
      <c r="N17" s="210">
        <f t="shared" si="1"/>
        <v>0</v>
      </c>
    </row>
    <row r="18" spans="1:14" ht="25.5" hidden="1" x14ac:dyDescent="0.25">
      <c r="A18" s="211" t="s">
        <v>384</v>
      </c>
      <c r="B18" s="209" t="s">
        <v>385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>
        <f t="shared" si="1"/>
        <v>0</v>
      </c>
      <c r="M18" s="210">
        <f t="shared" si="1"/>
        <v>0</v>
      </c>
      <c r="N18" s="210">
        <f t="shared" si="1"/>
        <v>0</v>
      </c>
    </row>
    <row r="19" spans="1:14" x14ac:dyDescent="0.25">
      <c r="A19" s="211" t="s">
        <v>386</v>
      </c>
      <c r="B19" s="209" t="s">
        <v>387</v>
      </c>
      <c r="C19" s="210">
        <v>25580160</v>
      </c>
      <c r="D19" s="210">
        <f>C19</f>
        <v>25580160</v>
      </c>
      <c r="E19" s="210"/>
      <c r="F19" s="210"/>
      <c r="G19" s="210"/>
      <c r="H19" s="210"/>
      <c r="I19" s="210"/>
      <c r="J19" s="210"/>
      <c r="K19" s="210"/>
      <c r="L19" s="210">
        <f t="shared" si="1"/>
        <v>25580160</v>
      </c>
      <c r="M19" s="210">
        <f t="shared" si="1"/>
        <v>25580160</v>
      </c>
      <c r="N19" s="210">
        <f t="shared" si="1"/>
        <v>0</v>
      </c>
    </row>
    <row r="20" spans="1:14" x14ac:dyDescent="0.25">
      <c r="A20" s="214" t="s">
        <v>210</v>
      </c>
      <c r="B20" s="215" t="s">
        <v>388</v>
      </c>
      <c r="C20" s="216">
        <f>SUM(C14:C19)</f>
        <v>188504811</v>
      </c>
      <c r="D20" s="216">
        <f>SUM(D14:D19)</f>
        <v>199623412</v>
      </c>
      <c r="E20" s="216">
        <f t="shared" ref="E20:K20" si="3">SUM(E14:E19)</f>
        <v>0</v>
      </c>
      <c r="F20" s="216">
        <f t="shared" si="3"/>
        <v>0</v>
      </c>
      <c r="G20" s="216">
        <f>SUM(G14:G19)</f>
        <v>0</v>
      </c>
      <c r="H20" s="216">
        <f t="shared" si="3"/>
        <v>0</v>
      </c>
      <c r="I20" s="216">
        <f t="shared" si="3"/>
        <v>119212984</v>
      </c>
      <c r="J20" s="216">
        <f>SUM(J14:J19)</f>
        <v>119455246</v>
      </c>
      <c r="K20" s="216">
        <f t="shared" si="3"/>
        <v>0</v>
      </c>
      <c r="L20" s="216">
        <f t="shared" si="1"/>
        <v>307717795</v>
      </c>
      <c r="M20" s="216">
        <f t="shared" si="1"/>
        <v>319078658</v>
      </c>
      <c r="N20" s="216">
        <f t="shared" si="1"/>
        <v>0</v>
      </c>
    </row>
    <row r="21" spans="1:14" hidden="1" x14ac:dyDescent="0.25">
      <c r="A21" s="211" t="s">
        <v>389</v>
      </c>
      <c r="B21" s="209" t="s">
        <v>390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>
        <f t="shared" si="1"/>
        <v>0</v>
      </c>
      <c r="M21" s="210">
        <f t="shared" si="1"/>
        <v>0</v>
      </c>
      <c r="N21" s="210">
        <f t="shared" si="1"/>
        <v>0</v>
      </c>
    </row>
    <row r="22" spans="1:14" hidden="1" x14ac:dyDescent="0.25">
      <c r="A22" s="211" t="s">
        <v>391</v>
      </c>
      <c r="B22" s="209" t="s">
        <v>392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>
        <f t="shared" si="1"/>
        <v>0</v>
      </c>
      <c r="M22" s="210">
        <f t="shared" si="1"/>
        <v>0</v>
      </c>
      <c r="N22" s="210">
        <f t="shared" si="1"/>
        <v>0</v>
      </c>
    </row>
    <row r="23" spans="1:14" hidden="1" x14ac:dyDescent="0.25">
      <c r="A23" s="212" t="s">
        <v>393</v>
      </c>
      <c r="B23" s="213" t="s">
        <v>394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>
        <f t="shared" si="1"/>
        <v>0</v>
      </c>
      <c r="M23" s="210">
        <f t="shared" si="1"/>
        <v>0</v>
      </c>
      <c r="N23" s="210">
        <f t="shared" si="1"/>
        <v>0</v>
      </c>
    </row>
    <row r="24" spans="1:14" hidden="1" x14ac:dyDescent="0.25">
      <c r="A24" s="211" t="s">
        <v>395</v>
      </c>
      <c r="B24" s="209" t="s">
        <v>396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>
        <f t="shared" si="1"/>
        <v>0</v>
      </c>
      <c r="M24" s="210">
        <f t="shared" si="1"/>
        <v>0</v>
      </c>
      <c r="N24" s="210">
        <f t="shared" si="1"/>
        <v>0</v>
      </c>
    </row>
    <row r="25" spans="1:14" hidden="1" x14ac:dyDescent="0.25">
      <c r="A25" s="211" t="s">
        <v>397</v>
      </c>
      <c r="B25" s="209" t="s">
        <v>398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>
        <f t="shared" si="1"/>
        <v>0</v>
      </c>
      <c r="M25" s="210">
        <f t="shared" si="1"/>
        <v>0</v>
      </c>
      <c r="N25" s="210">
        <f t="shared" si="1"/>
        <v>0</v>
      </c>
    </row>
    <row r="26" spans="1:14" x14ac:dyDescent="0.25">
      <c r="A26" s="211" t="s">
        <v>399</v>
      </c>
      <c r="B26" s="209" t="s">
        <v>400</v>
      </c>
      <c r="C26" s="210">
        <v>10350000</v>
      </c>
      <c r="D26" s="210">
        <f>C26</f>
        <v>10350000</v>
      </c>
      <c r="E26" s="210"/>
      <c r="F26" s="210"/>
      <c r="G26" s="210"/>
      <c r="H26" s="210"/>
      <c r="I26" s="210"/>
      <c r="J26" s="210"/>
      <c r="K26" s="210"/>
      <c r="L26" s="210">
        <f t="shared" si="1"/>
        <v>10350000</v>
      </c>
      <c r="M26" s="210">
        <f t="shared" si="1"/>
        <v>10350000</v>
      </c>
      <c r="N26" s="210">
        <f t="shared" si="1"/>
        <v>0</v>
      </c>
    </row>
    <row r="27" spans="1:14" x14ac:dyDescent="0.25">
      <c r="A27" s="211" t="s">
        <v>401</v>
      </c>
      <c r="B27" s="209" t="s">
        <v>402</v>
      </c>
      <c r="C27" s="210">
        <v>42000000</v>
      </c>
      <c r="D27" s="210">
        <f>C27</f>
        <v>42000000</v>
      </c>
      <c r="E27" s="210"/>
      <c r="F27" s="210"/>
      <c r="G27" s="210"/>
      <c r="H27" s="210"/>
      <c r="I27" s="210"/>
      <c r="J27" s="210"/>
      <c r="K27" s="210"/>
      <c r="L27" s="210">
        <f t="shared" si="1"/>
        <v>42000000</v>
      </c>
      <c r="M27" s="210">
        <f t="shared" si="1"/>
        <v>42000000</v>
      </c>
      <c r="N27" s="210">
        <f t="shared" si="1"/>
        <v>0</v>
      </c>
    </row>
    <row r="28" spans="1:14" hidden="1" x14ac:dyDescent="0.25">
      <c r="A28" s="211" t="s">
        <v>403</v>
      </c>
      <c r="B28" s="209" t="s">
        <v>404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>
        <f t="shared" si="1"/>
        <v>0</v>
      </c>
      <c r="M28" s="210">
        <f t="shared" si="1"/>
        <v>0</v>
      </c>
      <c r="N28" s="210">
        <f t="shared" si="1"/>
        <v>0</v>
      </c>
    </row>
    <row r="29" spans="1:14" hidden="1" x14ac:dyDescent="0.25">
      <c r="A29" s="211" t="s">
        <v>405</v>
      </c>
      <c r="B29" s="209" t="s">
        <v>406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>
        <f t="shared" si="1"/>
        <v>0</v>
      </c>
      <c r="M29" s="210">
        <f t="shared" si="1"/>
        <v>0</v>
      </c>
      <c r="N29" s="210">
        <f t="shared" si="1"/>
        <v>0</v>
      </c>
    </row>
    <row r="30" spans="1:14" x14ac:dyDescent="0.25">
      <c r="A30" s="211" t="s">
        <v>407</v>
      </c>
      <c r="B30" s="209" t="s">
        <v>408</v>
      </c>
      <c r="C30" s="210">
        <v>0</v>
      </c>
      <c r="D30" s="210">
        <f>C30</f>
        <v>0</v>
      </c>
      <c r="E30" s="210"/>
      <c r="F30" s="210"/>
      <c r="G30" s="210"/>
      <c r="H30" s="210"/>
      <c r="I30" s="210"/>
      <c r="J30" s="210"/>
      <c r="K30" s="210"/>
      <c r="L30" s="210">
        <f t="shared" si="1"/>
        <v>0</v>
      </c>
      <c r="M30" s="210">
        <f t="shared" si="1"/>
        <v>0</v>
      </c>
      <c r="N30" s="210">
        <f t="shared" si="1"/>
        <v>0</v>
      </c>
    </row>
    <row r="31" spans="1:14" hidden="1" x14ac:dyDescent="0.25">
      <c r="A31" s="211" t="s">
        <v>409</v>
      </c>
      <c r="B31" s="209" t="s">
        <v>410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>
        <f t="shared" si="1"/>
        <v>0</v>
      </c>
      <c r="M31" s="210">
        <f t="shared" si="1"/>
        <v>0</v>
      </c>
      <c r="N31" s="210">
        <f t="shared" si="1"/>
        <v>0</v>
      </c>
    </row>
    <row r="32" spans="1:14" x14ac:dyDescent="0.25">
      <c r="A32" s="212" t="s">
        <v>411</v>
      </c>
      <c r="B32" s="213" t="s">
        <v>412</v>
      </c>
      <c r="C32" s="210">
        <f>SUM(C27:C31)</f>
        <v>42000000</v>
      </c>
      <c r="D32" s="210">
        <f>SUM(D27:D31)</f>
        <v>42000000</v>
      </c>
      <c r="E32" s="210">
        <f t="shared" ref="E32:K32" si="4">SUM(E27:E31)</f>
        <v>0</v>
      </c>
      <c r="F32" s="210">
        <f t="shared" si="4"/>
        <v>0</v>
      </c>
      <c r="G32" s="210">
        <f>SUM(G27:G31)</f>
        <v>0</v>
      </c>
      <c r="H32" s="210">
        <f t="shared" si="4"/>
        <v>0</v>
      </c>
      <c r="I32" s="210">
        <f t="shared" si="4"/>
        <v>0</v>
      </c>
      <c r="J32" s="210">
        <f>SUM(J27:J31)</f>
        <v>0</v>
      </c>
      <c r="K32" s="210">
        <f t="shared" si="4"/>
        <v>0</v>
      </c>
      <c r="L32" s="210">
        <f t="shared" si="1"/>
        <v>42000000</v>
      </c>
      <c r="M32" s="210">
        <f t="shared" si="1"/>
        <v>42000000</v>
      </c>
      <c r="N32" s="210">
        <f t="shared" si="1"/>
        <v>0</v>
      </c>
    </row>
    <row r="33" spans="1:14" x14ac:dyDescent="0.25">
      <c r="A33" s="211" t="s">
        <v>413</v>
      </c>
      <c r="B33" s="209" t="s">
        <v>414</v>
      </c>
      <c r="C33" s="210">
        <v>200000</v>
      </c>
      <c r="D33" s="210">
        <f>C33</f>
        <v>200000</v>
      </c>
      <c r="E33" s="210"/>
      <c r="F33" s="210"/>
      <c r="G33" s="210"/>
      <c r="H33" s="210"/>
      <c r="I33" s="210"/>
      <c r="J33" s="210"/>
      <c r="K33" s="210"/>
      <c r="L33" s="210">
        <f t="shared" si="1"/>
        <v>200000</v>
      </c>
      <c r="M33" s="210">
        <f t="shared" si="1"/>
        <v>200000</v>
      </c>
      <c r="N33" s="210">
        <f t="shared" si="1"/>
        <v>0</v>
      </c>
    </row>
    <row r="34" spans="1:14" s="163" customFormat="1" ht="15.75" x14ac:dyDescent="0.25">
      <c r="A34" s="217" t="s">
        <v>415</v>
      </c>
      <c r="B34" s="218" t="s">
        <v>416</v>
      </c>
      <c r="C34" s="219">
        <f>SUM(C32:C33,C26)</f>
        <v>52550000</v>
      </c>
      <c r="D34" s="219">
        <f>SUM(D32:D33,D26)</f>
        <v>52550000</v>
      </c>
      <c r="E34" s="219">
        <f t="shared" ref="E34:M34" si="5">SUM(E32:E33,E26)</f>
        <v>0</v>
      </c>
      <c r="F34" s="219">
        <f t="shared" si="5"/>
        <v>0</v>
      </c>
      <c r="G34" s="219">
        <f>SUM(G32:G33,G26)</f>
        <v>0</v>
      </c>
      <c r="H34" s="219">
        <f t="shared" si="5"/>
        <v>0</v>
      </c>
      <c r="I34" s="219">
        <f t="shared" si="5"/>
        <v>0</v>
      </c>
      <c r="J34" s="219">
        <f>SUM(J32:J33,J26)</f>
        <v>0</v>
      </c>
      <c r="K34" s="219">
        <f t="shared" si="5"/>
        <v>0</v>
      </c>
      <c r="L34" s="219">
        <f t="shared" si="5"/>
        <v>52550000</v>
      </c>
      <c r="M34" s="219">
        <f t="shared" si="5"/>
        <v>52550000</v>
      </c>
      <c r="N34" s="219">
        <f>SUM(N32:N33)</f>
        <v>0</v>
      </c>
    </row>
    <row r="35" spans="1:14" hidden="1" x14ac:dyDescent="0.25">
      <c r="A35" s="220" t="s">
        <v>417</v>
      </c>
      <c r="B35" s="209" t="s">
        <v>418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>
        <f t="shared" ref="L35:N58" si="6">SUM(,C35,F35,I35)</f>
        <v>0</v>
      </c>
      <c r="M35" s="210">
        <f t="shared" si="6"/>
        <v>0</v>
      </c>
      <c r="N35" s="210">
        <f t="shared" si="6"/>
        <v>0</v>
      </c>
    </row>
    <row r="36" spans="1:14" x14ac:dyDescent="0.25">
      <c r="A36" s="220" t="s">
        <v>419</v>
      </c>
      <c r="B36" s="209" t="s">
        <v>420</v>
      </c>
      <c r="C36" s="210">
        <v>9535000</v>
      </c>
      <c r="D36" s="210">
        <f>C36</f>
        <v>9535000</v>
      </c>
      <c r="E36" s="210"/>
      <c r="F36" s="210"/>
      <c r="G36" s="210"/>
      <c r="H36" s="210"/>
      <c r="I36" s="210"/>
      <c r="J36" s="210"/>
      <c r="K36" s="210"/>
      <c r="L36" s="210">
        <f t="shared" si="6"/>
        <v>9535000</v>
      </c>
      <c r="M36" s="210">
        <f t="shared" si="6"/>
        <v>9535000</v>
      </c>
      <c r="N36" s="210">
        <f t="shared" si="6"/>
        <v>0</v>
      </c>
    </row>
    <row r="37" spans="1:14" hidden="1" x14ac:dyDescent="0.25">
      <c r="A37" s="220" t="s">
        <v>421</v>
      </c>
      <c r="B37" s="209" t="s">
        <v>422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>
        <f t="shared" si="6"/>
        <v>0</v>
      </c>
      <c r="M37" s="210">
        <f t="shared" si="6"/>
        <v>0</v>
      </c>
      <c r="N37" s="210">
        <f t="shared" si="6"/>
        <v>0</v>
      </c>
    </row>
    <row r="38" spans="1:14" x14ac:dyDescent="0.25">
      <c r="A38" s="220" t="s">
        <v>421</v>
      </c>
      <c r="B38" s="209" t="s">
        <v>422</v>
      </c>
      <c r="C38" s="210"/>
      <c r="D38" s="210">
        <v>600000</v>
      </c>
      <c r="E38" s="210"/>
      <c r="F38" s="210"/>
      <c r="G38" s="210"/>
      <c r="H38" s="210"/>
      <c r="I38" s="210"/>
      <c r="J38" s="210"/>
      <c r="K38" s="210"/>
      <c r="L38" s="210">
        <f t="shared" si="6"/>
        <v>0</v>
      </c>
      <c r="M38" s="210">
        <f>SUM(,D38,G38,J38)</f>
        <v>600000</v>
      </c>
      <c r="N38" s="210"/>
    </row>
    <row r="39" spans="1:14" x14ac:dyDescent="0.25">
      <c r="A39" s="220" t="s">
        <v>423</v>
      </c>
      <c r="B39" s="209" t="s">
        <v>424</v>
      </c>
      <c r="C39" s="210">
        <v>8559872</v>
      </c>
      <c r="D39" s="210">
        <f>C39</f>
        <v>8559872</v>
      </c>
      <c r="E39" s="210"/>
      <c r="F39" s="210"/>
      <c r="G39" s="210"/>
      <c r="H39" s="210"/>
      <c r="I39" s="210"/>
      <c r="J39" s="210"/>
      <c r="K39" s="210"/>
      <c r="L39" s="210">
        <f t="shared" si="6"/>
        <v>8559872</v>
      </c>
      <c r="M39" s="210">
        <f t="shared" si="6"/>
        <v>8559872</v>
      </c>
      <c r="N39" s="210">
        <f t="shared" si="6"/>
        <v>0</v>
      </c>
    </row>
    <row r="40" spans="1:14" hidden="1" x14ac:dyDescent="0.25">
      <c r="A40" s="220" t="s">
        <v>425</v>
      </c>
      <c r="B40" s="209" t="s">
        <v>426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>
        <f t="shared" si="6"/>
        <v>0</v>
      </c>
      <c r="M40" s="210">
        <f t="shared" si="6"/>
        <v>0</v>
      </c>
      <c r="N40" s="210">
        <f t="shared" si="6"/>
        <v>0</v>
      </c>
    </row>
    <row r="41" spans="1:14" hidden="1" x14ac:dyDescent="0.25">
      <c r="A41" s="220" t="s">
        <v>427</v>
      </c>
      <c r="B41" s="209" t="s">
        <v>428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>
        <f t="shared" si="6"/>
        <v>0</v>
      </c>
      <c r="M41" s="210">
        <f t="shared" si="6"/>
        <v>0</v>
      </c>
      <c r="N41" s="210">
        <f t="shared" si="6"/>
        <v>0</v>
      </c>
    </row>
    <row r="42" spans="1:14" hidden="1" x14ac:dyDescent="0.25">
      <c r="A42" s="220" t="s">
        <v>429</v>
      </c>
      <c r="B42" s="209" t="s">
        <v>430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>
        <f t="shared" si="6"/>
        <v>0</v>
      </c>
      <c r="M42" s="210">
        <f t="shared" si="6"/>
        <v>0</v>
      </c>
      <c r="N42" s="210">
        <f t="shared" si="6"/>
        <v>0</v>
      </c>
    </row>
    <row r="43" spans="1:14" hidden="1" x14ac:dyDescent="0.25">
      <c r="A43" s="220" t="s">
        <v>431</v>
      </c>
      <c r="B43" s="209" t="s">
        <v>432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>
        <f t="shared" si="6"/>
        <v>0</v>
      </c>
      <c r="M43" s="210">
        <f t="shared" si="6"/>
        <v>0</v>
      </c>
      <c r="N43" s="210">
        <f t="shared" si="6"/>
        <v>0</v>
      </c>
    </row>
    <row r="44" spans="1:14" hidden="1" x14ac:dyDescent="0.25">
      <c r="A44" s="220" t="s">
        <v>433</v>
      </c>
      <c r="B44" s="209" t="s">
        <v>434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>
        <f t="shared" si="6"/>
        <v>0</v>
      </c>
      <c r="M44" s="210">
        <f t="shared" si="6"/>
        <v>0</v>
      </c>
      <c r="N44" s="210">
        <f t="shared" si="6"/>
        <v>0</v>
      </c>
    </row>
    <row r="45" spans="1:14" x14ac:dyDescent="0.25">
      <c r="A45" s="220" t="s">
        <v>425</v>
      </c>
      <c r="B45" s="209" t="s">
        <v>426</v>
      </c>
      <c r="C45" s="210">
        <v>21000000</v>
      </c>
      <c r="D45" s="210">
        <f>C45</f>
        <v>21000000</v>
      </c>
      <c r="E45" s="210"/>
      <c r="F45" s="210"/>
      <c r="G45" s="210"/>
      <c r="H45" s="210"/>
      <c r="I45" s="210"/>
      <c r="J45" s="210"/>
      <c r="K45" s="210"/>
      <c r="L45" s="210">
        <f t="shared" si="6"/>
        <v>21000000</v>
      </c>
      <c r="M45" s="210">
        <f t="shared" si="6"/>
        <v>21000000</v>
      </c>
      <c r="N45" s="210"/>
    </row>
    <row r="46" spans="1:14" x14ac:dyDescent="0.25">
      <c r="A46" s="220" t="s">
        <v>427</v>
      </c>
      <c r="B46" s="209" t="s">
        <v>428</v>
      </c>
      <c r="C46" s="210">
        <v>8210000</v>
      </c>
      <c r="D46" s="210">
        <f>C46</f>
        <v>8210000</v>
      </c>
      <c r="E46" s="210"/>
      <c r="F46" s="210"/>
      <c r="G46" s="210"/>
      <c r="H46" s="210"/>
      <c r="I46" s="210"/>
      <c r="J46" s="210"/>
      <c r="K46" s="210"/>
      <c r="L46" s="210">
        <f t="shared" si="6"/>
        <v>8210000</v>
      </c>
      <c r="M46" s="210">
        <f t="shared" si="6"/>
        <v>8210000</v>
      </c>
      <c r="N46" s="210"/>
    </row>
    <row r="47" spans="1:14" x14ac:dyDescent="0.25">
      <c r="A47" s="220" t="s">
        <v>220</v>
      </c>
      <c r="B47" s="209" t="s">
        <v>435</v>
      </c>
      <c r="C47" s="210">
        <v>5103339</v>
      </c>
      <c r="D47" s="210">
        <f>C47</f>
        <v>5103339</v>
      </c>
      <c r="E47" s="210"/>
      <c r="F47" s="210"/>
      <c r="G47" s="210"/>
      <c r="H47" s="210"/>
      <c r="I47" s="210"/>
      <c r="J47" s="210"/>
      <c r="K47" s="210"/>
      <c r="L47" s="210">
        <f t="shared" si="6"/>
        <v>5103339</v>
      </c>
      <c r="M47" s="210">
        <f t="shared" si="6"/>
        <v>5103339</v>
      </c>
      <c r="N47" s="210">
        <f t="shared" si="6"/>
        <v>0</v>
      </c>
    </row>
    <row r="48" spans="1:14" s="222" customFormat="1" ht="15.75" x14ac:dyDescent="0.25">
      <c r="A48" s="221" t="s">
        <v>436</v>
      </c>
      <c r="B48" s="218" t="s">
        <v>437</v>
      </c>
      <c r="C48" s="219">
        <f>SUM(C35:C47)</f>
        <v>52408211</v>
      </c>
      <c r="D48" s="219">
        <f>SUM(D35:D47)</f>
        <v>53008211</v>
      </c>
      <c r="E48" s="219">
        <f t="shared" ref="E48:K48" si="7">SUM(E35:E47)</f>
        <v>0</v>
      </c>
      <c r="F48" s="219">
        <f t="shared" si="7"/>
        <v>0</v>
      </c>
      <c r="G48" s="219">
        <f>SUM(G35:G47)</f>
        <v>0</v>
      </c>
      <c r="H48" s="219">
        <f t="shared" si="7"/>
        <v>0</v>
      </c>
      <c r="I48" s="219">
        <f t="shared" si="7"/>
        <v>0</v>
      </c>
      <c r="J48" s="219">
        <f>SUM(J35:J47)</f>
        <v>0</v>
      </c>
      <c r="K48" s="219">
        <f t="shared" si="7"/>
        <v>0</v>
      </c>
      <c r="L48" s="219">
        <f t="shared" si="6"/>
        <v>52408211</v>
      </c>
      <c r="M48" s="219">
        <f t="shared" si="6"/>
        <v>53008211</v>
      </c>
      <c r="N48" s="219">
        <f t="shared" si="6"/>
        <v>0</v>
      </c>
    </row>
    <row r="49" spans="1:14" ht="25.5" hidden="1" x14ac:dyDescent="0.25">
      <c r="A49" s="220" t="s">
        <v>438</v>
      </c>
      <c r="B49" s="209" t="s">
        <v>439</v>
      </c>
      <c r="C49" s="210"/>
      <c r="D49" s="210"/>
      <c r="E49" s="210"/>
      <c r="F49" s="210"/>
      <c r="G49" s="210"/>
      <c r="H49" s="210"/>
      <c r="I49" s="210"/>
      <c r="J49" s="210"/>
      <c r="K49" s="210"/>
      <c r="L49" s="210">
        <f t="shared" si="6"/>
        <v>0</v>
      </c>
      <c r="M49" s="210">
        <f t="shared" si="6"/>
        <v>0</v>
      </c>
      <c r="N49" s="210">
        <f t="shared" si="6"/>
        <v>0</v>
      </c>
    </row>
    <row r="50" spans="1:14" ht="25.5" hidden="1" x14ac:dyDescent="0.25">
      <c r="A50" s="211" t="s">
        <v>440</v>
      </c>
      <c r="B50" s="209" t="s">
        <v>441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>
        <f t="shared" si="6"/>
        <v>0</v>
      </c>
      <c r="M50" s="210">
        <f t="shared" si="6"/>
        <v>0</v>
      </c>
      <c r="N50" s="210">
        <f t="shared" si="6"/>
        <v>0</v>
      </c>
    </row>
    <row r="51" spans="1:14" hidden="1" x14ac:dyDescent="0.25">
      <c r="A51" s="220" t="s">
        <v>442</v>
      </c>
      <c r="B51" s="209" t="s">
        <v>443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>
        <f t="shared" si="6"/>
        <v>0</v>
      </c>
      <c r="M51" s="210">
        <f t="shared" si="6"/>
        <v>0</v>
      </c>
      <c r="N51" s="210">
        <f t="shared" si="6"/>
        <v>0</v>
      </c>
    </row>
    <row r="52" spans="1:14" hidden="1" x14ac:dyDescent="0.25">
      <c r="A52" s="214" t="s">
        <v>444</v>
      </c>
      <c r="B52" s="215" t="s">
        <v>445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>
        <f t="shared" si="6"/>
        <v>0</v>
      </c>
      <c r="M52" s="210">
        <f t="shared" si="6"/>
        <v>0</v>
      </c>
      <c r="N52" s="210">
        <f t="shared" si="6"/>
        <v>0</v>
      </c>
    </row>
    <row r="53" spans="1:14" ht="15.75" x14ac:dyDescent="0.25">
      <c r="A53" s="223" t="s">
        <v>149</v>
      </c>
      <c r="B53" s="224"/>
      <c r="C53" s="219">
        <f t="shared" ref="C53:J53" si="8">C20+C34+C48+C52</f>
        <v>293463022</v>
      </c>
      <c r="D53" s="219">
        <f t="shared" si="8"/>
        <v>305181623</v>
      </c>
      <c r="E53" s="210">
        <f t="shared" si="8"/>
        <v>0</v>
      </c>
      <c r="F53" s="219">
        <f t="shared" si="8"/>
        <v>0</v>
      </c>
      <c r="G53" s="210">
        <f t="shared" si="8"/>
        <v>0</v>
      </c>
      <c r="H53" s="210">
        <f t="shared" si="8"/>
        <v>0</v>
      </c>
      <c r="I53" s="219">
        <f t="shared" si="8"/>
        <v>119212984</v>
      </c>
      <c r="J53" s="219">
        <f t="shared" si="8"/>
        <v>119455246</v>
      </c>
      <c r="K53" s="210"/>
      <c r="L53" s="219">
        <f t="shared" si="6"/>
        <v>412676006</v>
      </c>
      <c r="M53" s="219">
        <f>SUM(,D53,G53,J53)</f>
        <v>424636869</v>
      </c>
      <c r="N53" s="210">
        <f t="shared" si="6"/>
        <v>0</v>
      </c>
    </row>
    <row r="54" spans="1:14" x14ac:dyDescent="0.25">
      <c r="A54" s="211" t="s">
        <v>446</v>
      </c>
      <c r="B54" s="209" t="s">
        <v>447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>
        <f t="shared" si="6"/>
        <v>0</v>
      </c>
      <c r="M54" s="210">
        <f t="shared" si="6"/>
        <v>0</v>
      </c>
      <c r="N54" s="210">
        <f t="shared" si="6"/>
        <v>0</v>
      </c>
    </row>
    <row r="55" spans="1:14" ht="25.5" hidden="1" x14ac:dyDescent="0.25">
      <c r="A55" s="211" t="s">
        <v>448</v>
      </c>
      <c r="B55" s="209" t="s">
        <v>449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>
        <f t="shared" si="6"/>
        <v>0</v>
      </c>
      <c r="M55" s="210">
        <f t="shared" si="6"/>
        <v>0</v>
      </c>
      <c r="N55" s="210">
        <f t="shared" si="6"/>
        <v>0</v>
      </c>
    </row>
    <row r="56" spans="1:14" ht="25.5" hidden="1" x14ac:dyDescent="0.25">
      <c r="A56" s="211" t="s">
        <v>450</v>
      </c>
      <c r="B56" s="209" t="s">
        <v>451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>
        <f t="shared" si="6"/>
        <v>0</v>
      </c>
      <c r="M56" s="210">
        <f t="shared" si="6"/>
        <v>0</v>
      </c>
      <c r="N56" s="210">
        <f t="shared" si="6"/>
        <v>0</v>
      </c>
    </row>
    <row r="57" spans="1:14" ht="25.5" hidden="1" x14ac:dyDescent="0.25">
      <c r="A57" s="211" t="s">
        <v>452</v>
      </c>
      <c r="B57" s="209" t="s">
        <v>453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>
        <f t="shared" si="6"/>
        <v>0</v>
      </c>
      <c r="M57" s="210">
        <f t="shared" si="6"/>
        <v>0</v>
      </c>
      <c r="N57" s="210">
        <f t="shared" si="6"/>
        <v>0</v>
      </c>
    </row>
    <row r="58" spans="1:14" ht="25.5" x14ac:dyDescent="0.25">
      <c r="A58" s="211" t="s">
        <v>454</v>
      </c>
      <c r="B58" s="209" t="s">
        <v>455</v>
      </c>
      <c r="C58" s="210">
        <v>88107097</v>
      </c>
      <c r="D58" s="210">
        <f>C58+2819572</f>
        <v>90926669</v>
      </c>
      <c r="E58" s="210"/>
      <c r="F58" s="210"/>
      <c r="G58" s="210"/>
      <c r="H58" s="210"/>
      <c r="I58" s="210"/>
      <c r="J58" s="210"/>
      <c r="K58" s="210"/>
      <c r="L58" s="210">
        <f t="shared" si="6"/>
        <v>88107097</v>
      </c>
      <c r="M58" s="210">
        <f t="shared" si="6"/>
        <v>90926669</v>
      </c>
      <c r="N58" s="210">
        <f t="shared" si="6"/>
        <v>0</v>
      </c>
    </row>
    <row r="59" spans="1:14" x14ac:dyDescent="0.25">
      <c r="A59" s="214" t="s">
        <v>456</v>
      </c>
      <c r="B59" s="215" t="s">
        <v>457</v>
      </c>
      <c r="C59" s="216">
        <f>SUM(C54:C58)</f>
        <v>88107097</v>
      </c>
      <c r="D59" s="216">
        <f t="shared" ref="D59:L59" si="9">SUM(D54:D58)</f>
        <v>90926669</v>
      </c>
      <c r="E59" s="216">
        <f t="shared" si="9"/>
        <v>0</v>
      </c>
      <c r="F59" s="216">
        <f t="shared" si="9"/>
        <v>0</v>
      </c>
      <c r="G59" s="216">
        <f t="shared" si="9"/>
        <v>0</v>
      </c>
      <c r="H59" s="216">
        <f t="shared" si="9"/>
        <v>0</v>
      </c>
      <c r="I59" s="216">
        <f t="shared" si="9"/>
        <v>0</v>
      </c>
      <c r="J59" s="216">
        <f t="shared" si="9"/>
        <v>0</v>
      </c>
      <c r="K59" s="216">
        <f t="shared" si="9"/>
        <v>0</v>
      </c>
      <c r="L59" s="216">
        <f t="shared" si="9"/>
        <v>88107097</v>
      </c>
      <c r="M59" s="216">
        <f t="shared" ref="M59:N69" si="10">SUM(,D59,G59,J59)</f>
        <v>90926669</v>
      </c>
      <c r="N59" s="216">
        <f t="shared" si="10"/>
        <v>0</v>
      </c>
    </row>
    <row r="60" spans="1:14" hidden="1" x14ac:dyDescent="0.25">
      <c r="A60" s="220" t="s">
        <v>458</v>
      </c>
      <c r="B60" s="209" t="s">
        <v>459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>
        <f t="shared" ref="L60:L70" si="11">SUM(,C60,F60,I60)</f>
        <v>0</v>
      </c>
      <c r="M60" s="210">
        <f t="shared" si="10"/>
        <v>0</v>
      </c>
      <c r="N60" s="210">
        <f t="shared" si="10"/>
        <v>0</v>
      </c>
    </row>
    <row r="61" spans="1:14" hidden="1" x14ac:dyDescent="0.25">
      <c r="A61" s="220" t="s">
        <v>460</v>
      </c>
      <c r="B61" s="209" t="s">
        <v>461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10">
        <f t="shared" si="11"/>
        <v>0</v>
      </c>
      <c r="M61" s="210">
        <f t="shared" si="10"/>
        <v>0</v>
      </c>
      <c r="N61" s="210">
        <f t="shared" si="10"/>
        <v>0</v>
      </c>
    </row>
    <row r="62" spans="1:14" hidden="1" x14ac:dyDescent="0.25">
      <c r="A62" s="220" t="s">
        <v>462</v>
      </c>
      <c r="B62" s="209" t="s">
        <v>463</v>
      </c>
      <c r="C62" s="210"/>
      <c r="D62" s="210"/>
      <c r="E62" s="210"/>
      <c r="F62" s="210"/>
      <c r="G62" s="210"/>
      <c r="H62" s="210"/>
      <c r="I62" s="210"/>
      <c r="J62" s="210"/>
      <c r="K62" s="210"/>
      <c r="L62" s="210">
        <f t="shared" si="11"/>
        <v>0</v>
      </c>
      <c r="M62" s="210">
        <f t="shared" si="10"/>
        <v>0</v>
      </c>
      <c r="N62" s="210">
        <f t="shared" si="10"/>
        <v>0</v>
      </c>
    </row>
    <row r="63" spans="1:14" hidden="1" x14ac:dyDescent="0.25">
      <c r="A63" s="220" t="s">
        <v>464</v>
      </c>
      <c r="B63" s="209" t="s">
        <v>465</v>
      </c>
      <c r="C63" s="210"/>
      <c r="D63" s="210"/>
      <c r="E63" s="210"/>
      <c r="F63" s="210"/>
      <c r="G63" s="210"/>
      <c r="H63" s="210"/>
      <c r="I63" s="210"/>
      <c r="J63" s="210"/>
      <c r="K63" s="210"/>
      <c r="L63" s="210">
        <f t="shared" si="11"/>
        <v>0</v>
      </c>
      <c r="M63" s="210">
        <f t="shared" si="10"/>
        <v>0</v>
      </c>
      <c r="N63" s="210">
        <f t="shared" si="10"/>
        <v>0</v>
      </c>
    </row>
    <row r="64" spans="1:14" hidden="1" x14ac:dyDescent="0.25">
      <c r="A64" s="220" t="s">
        <v>466</v>
      </c>
      <c r="B64" s="209" t="s">
        <v>467</v>
      </c>
      <c r="C64" s="210"/>
      <c r="D64" s="210"/>
      <c r="E64" s="210"/>
      <c r="F64" s="210"/>
      <c r="G64" s="210"/>
      <c r="H64" s="210"/>
      <c r="I64" s="210"/>
      <c r="J64" s="210"/>
      <c r="K64" s="210"/>
      <c r="L64" s="210">
        <f t="shared" si="11"/>
        <v>0</v>
      </c>
      <c r="M64" s="210">
        <f t="shared" si="10"/>
        <v>0</v>
      </c>
      <c r="N64" s="210">
        <f t="shared" si="10"/>
        <v>0</v>
      </c>
    </row>
    <row r="65" spans="1:14" hidden="1" x14ac:dyDescent="0.25">
      <c r="A65" s="214" t="s">
        <v>468</v>
      </c>
      <c r="B65" s="215" t="s">
        <v>469</v>
      </c>
      <c r="C65" s="216">
        <f>SUM(C60:C64)</f>
        <v>0</v>
      </c>
      <c r="D65" s="216">
        <f>SUM(D60:D64)</f>
        <v>0</v>
      </c>
      <c r="E65" s="216">
        <f t="shared" ref="E65:K65" si="12">SUM(E60:E64)</f>
        <v>0</v>
      </c>
      <c r="F65" s="216">
        <f t="shared" si="12"/>
        <v>0</v>
      </c>
      <c r="G65" s="216">
        <f>SUM(G60:G64)</f>
        <v>0</v>
      </c>
      <c r="H65" s="216">
        <f t="shared" si="12"/>
        <v>0</v>
      </c>
      <c r="I65" s="216">
        <f t="shared" si="12"/>
        <v>0</v>
      </c>
      <c r="J65" s="216">
        <f>SUM(J60:J64)</f>
        <v>0</v>
      </c>
      <c r="K65" s="216">
        <f t="shared" si="12"/>
        <v>0</v>
      </c>
      <c r="L65" s="216">
        <f t="shared" si="11"/>
        <v>0</v>
      </c>
      <c r="M65" s="216">
        <f t="shared" si="10"/>
        <v>0</v>
      </c>
      <c r="N65" s="216">
        <f t="shared" si="10"/>
        <v>0</v>
      </c>
    </row>
    <row r="66" spans="1:14" ht="25.5" hidden="1" x14ac:dyDescent="0.25">
      <c r="A66" s="220" t="s">
        <v>470</v>
      </c>
      <c r="B66" s="209" t="s">
        <v>471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10">
        <f t="shared" si="11"/>
        <v>0</v>
      </c>
      <c r="M66" s="210">
        <f t="shared" si="10"/>
        <v>0</v>
      </c>
      <c r="N66" s="210">
        <f t="shared" si="10"/>
        <v>0</v>
      </c>
    </row>
    <row r="67" spans="1:14" ht="25.5" hidden="1" x14ac:dyDescent="0.25">
      <c r="A67" s="211" t="s">
        <v>472</v>
      </c>
      <c r="B67" s="209" t="s">
        <v>473</v>
      </c>
      <c r="C67" s="210"/>
      <c r="D67" s="210"/>
      <c r="E67" s="210"/>
      <c r="F67" s="210"/>
      <c r="G67" s="210"/>
      <c r="H67" s="210"/>
      <c r="I67" s="210"/>
      <c r="J67" s="210"/>
      <c r="K67" s="210"/>
      <c r="L67" s="210">
        <f t="shared" si="11"/>
        <v>0</v>
      </c>
      <c r="M67" s="210">
        <f t="shared" si="10"/>
        <v>0</v>
      </c>
      <c r="N67" s="210">
        <f t="shared" si="10"/>
        <v>0</v>
      </c>
    </row>
    <row r="68" spans="1:14" ht="25.5" hidden="1" x14ac:dyDescent="0.25">
      <c r="A68" s="211" t="s">
        <v>474</v>
      </c>
      <c r="B68" s="209" t="s">
        <v>475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>
        <f t="shared" si="11"/>
        <v>0</v>
      </c>
      <c r="M68" s="210">
        <f t="shared" si="10"/>
        <v>0</v>
      </c>
      <c r="N68" s="210">
        <f t="shared" si="10"/>
        <v>0</v>
      </c>
    </row>
    <row r="69" spans="1:14" hidden="1" x14ac:dyDescent="0.25">
      <c r="A69" s="220" t="s">
        <v>476</v>
      </c>
      <c r="B69" s="209" t="s">
        <v>477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>
        <f t="shared" si="11"/>
        <v>0</v>
      </c>
      <c r="M69" s="210">
        <f t="shared" si="10"/>
        <v>0</v>
      </c>
      <c r="N69" s="210">
        <f t="shared" si="10"/>
        <v>0</v>
      </c>
    </row>
    <row r="70" spans="1:14" x14ac:dyDescent="0.25">
      <c r="A70" s="220" t="s">
        <v>478</v>
      </c>
      <c r="B70" s="209" t="s">
        <v>479</v>
      </c>
      <c r="C70" s="210">
        <v>1100882</v>
      </c>
      <c r="D70" s="210">
        <f>C70</f>
        <v>1100882</v>
      </c>
      <c r="E70" s="210"/>
      <c r="F70" s="210"/>
      <c r="G70" s="210">
        <v>1143330</v>
      </c>
      <c r="H70" s="210">
        <v>1143330</v>
      </c>
      <c r="I70" s="210"/>
      <c r="J70" s="210"/>
      <c r="K70" s="210"/>
      <c r="L70" s="210">
        <f t="shared" si="11"/>
        <v>1100882</v>
      </c>
      <c r="M70" s="210">
        <f>D70+J70</f>
        <v>1100882</v>
      </c>
      <c r="N70" s="210"/>
    </row>
    <row r="71" spans="1:14" x14ac:dyDescent="0.25">
      <c r="A71" s="214" t="s">
        <v>480</v>
      </c>
      <c r="B71" s="215" t="s">
        <v>481</v>
      </c>
      <c r="C71" s="210">
        <f>SUM(C66:C70)</f>
        <v>1100882</v>
      </c>
      <c r="D71" s="210">
        <f t="shared" ref="D71:L71" si="13">SUM(D66:D70)</f>
        <v>1100882</v>
      </c>
      <c r="E71" s="210">
        <f t="shared" si="13"/>
        <v>0</v>
      </c>
      <c r="F71" s="210">
        <f t="shared" si="13"/>
        <v>0</v>
      </c>
      <c r="G71" s="210">
        <f t="shared" si="13"/>
        <v>1143330</v>
      </c>
      <c r="H71" s="210">
        <f t="shared" si="13"/>
        <v>1143330</v>
      </c>
      <c r="I71" s="210">
        <f t="shared" si="13"/>
        <v>0</v>
      </c>
      <c r="J71" s="210">
        <f t="shared" si="13"/>
        <v>0</v>
      </c>
      <c r="K71" s="210">
        <f t="shared" si="13"/>
        <v>0</v>
      </c>
      <c r="L71" s="210">
        <f t="shared" si="13"/>
        <v>1100882</v>
      </c>
      <c r="M71" s="210">
        <f>D71+J71</f>
        <v>1100882</v>
      </c>
      <c r="N71" s="210"/>
    </row>
    <row r="72" spans="1:14" ht="15.75" hidden="1" x14ac:dyDescent="0.25">
      <c r="A72" s="223" t="s">
        <v>179</v>
      </c>
      <c r="B72" s="215"/>
      <c r="C72" s="210"/>
      <c r="D72" s="210"/>
      <c r="E72" s="210"/>
      <c r="F72" s="210"/>
      <c r="G72" s="210"/>
      <c r="H72" s="210"/>
      <c r="I72" s="210"/>
      <c r="J72" s="210"/>
      <c r="K72" s="210"/>
      <c r="L72" s="210">
        <f t="shared" ref="L72:N87" si="14">SUM(,C72,F72,I72)</f>
        <v>0</v>
      </c>
      <c r="M72" s="210">
        <f t="shared" si="14"/>
        <v>0</v>
      </c>
      <c r="N72" s="210">
        <f t="shared" si="14"/>
        <v>0</v>
      </c>
    </row>
    <row r="73" spans="1:14" s="222" customFormat="1" ht="15.75" x14ac:dyDescent="0.25">
      <c r="A73" s="221" t="s">
        <v>482</v>
      </c>
      <c r="B73" s="218" t="s">
        <v>483</v>
      </c>
      <c r="C73" s="219">
        <f t="shared" ref="C73:K73" si="15">SUM(C65,C71,C59,C52,C48,C34,C20)</f>
        <v>382671001</v>
      </c>
      <c r="D73" s="219">
        <f t="shared" si="15"/>
        <v>397209174</v>
      </c>
      <c r="E73" s="219">
        <f t="shared" si="15"/>
        <v>0</v>
      </c>
      <c r="F73" s="219">
        <f t="shared" si="15"/>
        <v>0</v>
      </c>
      <c r="G73" s="219">
        <f t="shared" si="15"/>
        <v>1143330</v>
      </c>
      <c r="H73" s="219">
        <f t="shared" si="15"/>
        <v>1143330</v>
      </c>
      <c r="I73" s="219">
        <f t="shared" si="15"/>
        <v>119212984</v>
      </c>
      <c r="J73" s="219">
        <f t="shared" si="15"/>
        <v>119455246</v>
      </c>
      <c r="K73" s="219">
        <f t="shared" si="15"/>
        <v>0</v>
      </c>
      <c r="L73" s="219">
        <f t="shared" si="14"/>
        <v>501883985</v>
      </c>
      <c r="M73" s="219">
        <f>SUM(,D73,J73)</f>
        <v>516664420</v>
      </c>
      <c r="N73" s="219">
        <f>SUM(,E73,K73)</f>
        <v>0</v>
      </c>
    </row>
    <row r="74" spans="1:14" hidden="1" x14ac:dyDescent="0.25">
      <c r="A74" s="225" t="s">
        <v>484</v>
      </c>
      <c r="B74" s="212" t="s">
        <v>485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>
        <f t="shared" si="14"/>
        <v>0</v>
      </c>
      <c r="M74" s="210">
        <f t="shared" si="14"/>
        <v>0</v>
      </c>
      <c r="N74" s="210">
        <f t="shared" si="14"/>
        <v>0</v>
      </c>
    </row>
    <row r="75" spans="1:14" hidden="1" x14ac:dyDescent="0.25">
      <c r="A75" s="225" t="s">
        <v>486</v>
      </c>
      <c r="B75" s="212" t="s">
        <v>487</v>
      </c>
      <c r="C75" s="210"/>
      <c r="D75" s="210"/>
      <c r="E75" s="210"/>
      <c r="F75" s="210"/>
      <c r="G75" s="210"/>
      <c r="H75" s="210"/>
      <c r="I75" s="210"/>
      <c r="J75" s="210"/>
      <c r="K75" s="210"/>
      <c r="L75" s="210">
        <f t="shared" si="14"/>
        <v>0</v>
      </c>
      <c r="M75" s="210">
        <f t="shared" si="14"/>
        <v>0</v>
      </c>
      <c r="N75" s="210">
        <f t="shared" si="14"/>
        <v>0</v>
      </c>
    </row>
    <row r="76" spans="1:14" x14ac:dyDescent="0.25">
      <c r="A76" s="211" t="s">
        <v>488</v>
      </c>
      <c r="B76" s="211" t="s">
        <v>489</v>
      </c>
      <c r="C76" s="226"/>
      <c r="D76" s="210">
        <v>74781916</v>
      </c>
      <c r="E76" s="210"/>
      <c r="F76" s="210"/>
      <c r="G76" s="210"/>
      <c r="H76" s="210"/>
      <c r="I76" s="210">
        <v>15772432</v>
      </c>
      <c r="J76" s="210">
        <f>I76+155043-401439</f>
        <v>15526036</v>
      </c>
      <c r="K76" s="210"/>
      <c r="L76" s="210">
        <f t="shared" si="14"/>
        <v>15772432</v>
      </c>
      <c r="M76" s="210">
        <f t="shared" si="14"/>
        <v>90307952</v>
      </c>
      <c r="N76" s="210">
        <f t="shared" si="14"/>
        <v>0</v>
      </c>
    </row>
    <row r="77" spans="1:14" x14ac:dyDescent="0.25">
      <c r="A77" s="212" t="s">
        <v>490</v>
      </c>
      <c r="B77" s="212" t="s">
        <v>491</v>
      </c>
      <c r="C77" s="210">
        <f>SUM(C76)</f>
        <v>0</v>
      </c>
      <c r="D77" s="210">
        <f>SUM(D76)</f>
        <v>74781916</v>
      </c>
      <c r="E77" s="210">
        <f t="shared" ref="E77:K77" si="16">SUM(E76)</f>
        <v>0</v>
      </c>
      <c r="F77" s="210">
        <f t="shared" si="16"/>
        <v>0</v>
      </c>
      <c r="G77" s="210">
        <f>SUM(G76)</f>
        <v>0</v>
      </c>
      <c r="H77" s="210">
        <f t="shared" si="16"/>
        <v>0</v>
      </c>
      <c r="I77" s="210">
        <f t="shared" si="16"/>
        <v>15772432</v>
      </c>
      <c r="J77" s="210">
        <f>SUM(J76)</f>
        <v>15526036</v>
      </c>
      <c r="K77" s="210">
        <f t="shared" si="16"/>
        <v>0</v>
      </c>
      <c r="L77" s="210">
        <f t="shared" si="14"/>
        <v>15772432</v>
      </c>
      <c r="M77" s="210">
        <f t="shared" si="14"/>
        <v>90307952</v>
      </c>
      <c r="N77" s="210">
        <f t="shared" si="14"/>
        <v>0</v>
      </c>
    </row>
    <row r="78" spans="1:14" hidden="1" x14ac:dyDescent="0.25">
      <c r="A78" s="220" t="s">
        <v>492</v>
      </c>
      <c r="B78" s="211" t="s">
        <v>493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>
        <f t="shared" si="14"/>
        <v>0</v>
      </c>
      <c r="M78" s="210">
        <f t="shared" si="14"/>
        <v>0</v>
      </c>
      <c r="N78" s="210">
        <f t="shared" si="14"/>
        <v>0</v>
      </c>
    </row>
    <row r="79" spans="1:14" hidden="1" x14ac:dyDescent="0.25">
      <c r="A79" s="220" t="s">
        <v>494</v>
      </c>
      <c r="B79" s="211" t="s">
        <v>495</v>
      </c>
      <c r="C79" s="210"/>
      <c r="D79" s="210"/>
      <c r="E79" s="210"/>
      <c r="F79" s="210"/>
      <c r="G79" s="210"/>
      <c r="H79" s="210"/>
      <c r="I79" s="210"/>
      <c r="J79" s="210"/>
      <c r="K79" s="210"/>
      <c r="L79" s="210">
        <f t="shared" si="14"/>
        <v>0</v>
      </c>
      <c r="M79" s="210">
        <f t="shared" si="14"/>
        <v>0</v>
      </c>
      <c r="N79" s="210">
        <f t="shared" si="14"/>
        <v>0</v>
      </c>
    </row>
    <row r="80" spans="1:14" hidden="1" x14ac:dyDescent="0.25">
      <c r="A80" s="220" t="s">
        <v>496</v>
      </c>
      <c r="B80" s="211" t="s">
        <v>497</v>
      </c>
      <c r="C80" s="210"/>
      <c r="D80" s="210"/>
      <c r="E80" s="210"/>
      <c r="F80" s="210"/>
      <c r="G80" s="210"/>
      <c r="H80" s="210"/>
      <c r="I80" s="210"/>
      <c r="J80" s="210"/>
      <c r="K80" s="210"/>
      <c r="L80" s="210">
        <f t="shared" si="14"/>
        <v>0</v>
      </c>
      <c r="M80" s="210">
        <f t="shared" si="14"/>
        <v>0</v>
      </c>
      <c r="N80" s="210">
        <f t="shared" si="14"/>
        <v>0</v>
      </c>
    </row>
    <row r="81" spans="1:14" hidden="1" x14ac:dyDescent="0.25">
      <c r="A81" s="220" t="s">
        <v>498</v>
      </c>
      <c r="B81" s="211" t="s">
        <v>499</v>
      </c>
      <c r="C81" s="210"/>
      <c r="D81" s="210"/>
      <c r="E81" s="210"/>
      <c r="F81" s="210"/>
      <c r="G81" s="210"/>
      <c r="H81" s="210"/>
      <c r="I81" s="210"/>
      <c r="J81" s="210"/>
      <c r="K81" s="210"/>
      <c r="L81" s="210">
        <f t="shared" si="14"/>
        <v>0</v>
      </c>
      <c r="M81" s="210">
        <f t="shared" si="14"/>
        <v>0</v>
      </c>
      <c r="N81" s="210">
        <f t="shared" si="14"/>
        <v>0</v>
      </c>
    </row>
    <row r="82" spans="1:14" hidden="1" x14ac:dyDescent="0.25">
      <c r="A82" s="220" t="s">
        <v>500</v>
      </c>
      <c r="B82" s="211" t="s">
        <v>501</v>
      </c>
      <c r="C82" s="210"/>
      <c r="D82" s="210"/>
      <c r="E82" s="210"/>
      <c r="F82" s="210"/>
      <c r="G82" s="210"/>
      <c r="H82" s="210"/>
      <c r="I82" s="210"/>
      <c r="J82" s="210"/>
      <c r="K82" s="210"/>
      <c r="L82" s="210">
        <f t="shared" si="14"/>
        <v>0</v>
      </c>
      <c r="M82" s="210">
        <f t="shared" si="14"/>
        <v>0</v>
      </c>
      <c r="N82" s="210">
        <f t="shared" si="14"/>
        <v>0</v>
      </c>
    </row>
    <row r="83" spans="1:14" s="222" customFormat="1" ht="15.75" x14ac:dyDescent="0.25">
      <c r="A83" s="221" t="s">
        <v>502</v>
      </c>
      <c r="B83" s="217" t="s">
        <v>503</v>
      </c>
      <c r="C83" s="219">
        <f>SUM(C77:C82)</f>
        <v>0</v>
      </c>
      <c r="D83" s="219">
        <f>SUM(D77:D82)</f>
        <v>74781916</v>
      </c>
      <c r="E83" s="219">
        <f t="shared" ref="E83:K83" si="17">SUM(E77:E82)</f>
        <v>0</v>
      </c>
      <c r="F83" s="219">
        <f t="shared" si="17"/>
        <v>0</v>
      </c>
      <c r="G83" s="219">
        <f>SUM(G77:G82)</f>
        <v>0</v>
      </c>
      <c r="H83" s="219">
        <f t="shared" si="17"/>
        <v>0</v>
      </c>
      <c r="I83" s="219">
        <f t="shared" si="17"/>
        <v>15772432</v>
      </c>
      <c r="J83" s="219">
        <f>SUM(J77:J82)</f>
        <v>15526036</v>
      </c>
      <c r="K83" s="219">
        <f t="shared" si="17"/>
        <v>0</v>
      </c>
      <c r="L83" s="219">
        <f t="shared" si="14"/>
        <v>15772432</v>
      </c>
      <c r="M83" s="219">
        <f t="shared" si="14"/>
        <v>90307952</v>
      </c>
      <c r="N83" s="219">
        <f t="shared" si="14"/>
        <v>0</v>
      </c>
    </row>
    <row r="84" spans="1:14" hidden="1" x14ac:dyDescent="0.25">
      <c r="A84" s="225" t="s">
        <v>504</v>
      </c>
      <c r="B84" s="212" t="s">
        <v>505</v>
      </c>
      <c r="C84" s="210"/>
      <c r="D84" s="210"/>
      <c r="E84" s="210"/>
      <c r="F84" s="210"/>
      <c r="G84" s="210"/>
      <c r="H84" s="210"/>
      <c r="I84" s="210"/>
      <c r="J84" s="210"/>
      <c r="K84" s="210"/>
      <c r="L84" s="210">
        <f t="shared" si="14"/>
        <v>0</v>
      </c>
      <c r="M84" s="210">
        <f t="shared" si="14"/>
        <v>0</v>
      </c>
      <c r="N84" s="210">
        <f t="shared" si="14"/>
        <v>0</v>
      </c>
    </row>
    <row r="85" spans="1:14" hidden="1" x14ac:dyDescent="0.25">
      <c r="A85" s="225" t="s">
        <v>506</v>
      </c>
      <c r="B85" s="212" t="s">
        <v>507</v>
      </c>
      <c r="C85" s="210"/>
      <c r="D85" s="210"/>
      <c r="E85" s="210"/>
      <c r="F85" s="210"/>
      <c r="G85" s="210"/>
      <c r="H85" s="210"/>
      <c r="I85" s="210"/>
      <c r="J85" s="210"/>
      <c r="K85" s="210"/>
      <c r="L85" s="210">
        <f t="shared" si="14"/>
        <v>0</v>
      </c>
      <c r="M85" s="210">
        <f t="shared" si="14"/>
        <v>0</v>
      </c>
      <c r="N85" s="210">
        <f t="shared" si="14"/>
        <v>0</v>
      </c>
    </row>
    <row r="86" spans="1:14" ht="15.75" x14ac:dyDescent="0.25">
      <c r="A86" s="221" t="s">
        <v>508</v>
      </c>
      <c r="B86" s="217" t="s">
        <v>509</v>
      </c>
      <c r="C86" s="216">
        <f>SUM(C84,C83)</f>
        <v>0</v>
      </c>
      <c r="D86" s="216">
        <f>SUM(D84,D83)</f>
        <v>74781916</v>
      </c>
      <c r="E86" s="216">
        <f t="shared" ref="E86:K86" si="18">SUM(E84,E83)</f>
        <v>0</v>
      </c>
      <c r="F86" s="216">
        <f t="shared" si="18"/>
        <v>0</v>
      </c>
      <c r="G86" s="216">
        <f>SUM(G84,G83)</f>
        <v>0</v>
      </c>
      <c r="H86" s="216">
        <f t="shared" si="18"/>
        <v>0</v>
      </c>
      <c r="I86" s="216">
        <f t="shared" si="18"/>
        <v>15772432</v>
      </c>
      <c r="J86" s="216">
        <f>SUM(J84,J83)</f>
        <v>15526036</v>
      </c>
      <c r="K86" s="216">
        <f t="shared" si="18"/>
        <v>0</v>
      </c>
      <c r="L86" s="216">
        <f t="shared" si="14"/>
        <v>15772432</v>
      </c>
      <c r="M86" s="216">
        <f t="shared" si="14"/>
        <v>90307952</v>
      </c>
      <c r="N86" s="216">
        <f t="shared" si="14"/>
        <v>0</v>
      </c>
    </row>
    <row r="87" spans="1:14" ht="15.75" x14ac:dyDescent="0.25">
      <c r="A87" s="227" t="s">
        <v>28</v>
      </c>
      <c r="B87" s="228"/>
      <c r="C87" s="219">
        <f>SUM(C86,C73)</f>
        <v>382671001</v>
      </c>
      <c r="D87" s="219">
        <f>SUM(D86,D73)</f>
        <v>471991090</v>
      </c>
      <c r="E87" s="216">
        <f t="shared" ref="E87:K87" si="19">SUM(E86,E73)</f>
        <v>0</v>
      </c>
      <c r="F87" s="216">
        <f t="shared" si="19"/>
        <v>0</v>
      </c>
      <c r="G87" s="216">
        <f>SUM(G86,G73)</f>
        <v>1143330</v>
      </c>
      <c r="H87" s="216">
        <f t="shared" si="19"/>
        <v>1143330</v>
      </c>
      <c r="I87" s="219">
        <f t="shared" si="19"/>
        <v>134985416</v>
      </c>
      <c r="J87" s="219">
        <f>SUM(J86,J73)</f>
        <v>134981282</v>
      </c>
      <c r="K87" s="216">
        <f t="shared" si="19"/>
        <v>0</v>
      </c>
      <c r="L87" s="219">
        <f t="shared" si="14"/>
        <v>517656417</v>
      </c>
      <c r="M87" s="219">
        <f>SUM(,D87,J87)</f>
        <v>606972372</v>
      </c>
      <c r="N87" s="216">
        <f t="shared" si="14"/>
        <v>1143330</v>
      </c>
    </row>
    <row r="88" spans="1:14" x14ac:dyDescent="0.25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</row>
    <row r="89" spans="1:14" x14ac:dyDescent="0.25">
      <c r="D89" s="2"/>
      <c r="G89" s="2">
        <f>SUM(G87-F87)</f>
        <v>1143330</v>
      </c>
      <c r="J89" s="2"/>
      <c r="M89" s="2"/>
    </row>
  </sheetData>
  <autoFilter ref="A6:N87" xr:uid="{00000000-0009-0000-0000-000007000000}">
    <filterColumn colId="11">
      <filters>
        <filter val="1 143 330"/>
        <filter val="1 511 300"/>
        <filter val="10 200 000"/>
        <filter val="11 723 587"/>
        <filter val="11 973 418"/>
        <filter val="13 232 485"/>
        <filter val="138 473 152"/>
        <filter val="14 042 902"/>
        <filter val="14 875 426"/>
        <filter val="15 990 000"/>
        <filter val="23 697 005"/>
        <filter val="265 629 491"/>
        <filter val="28 665 000"/>
        <filter val="281 619 491"/>
        <filter val="3 243 843"/>
        <filter val="35 516 224"/>
        <filter val="401 481 239"/>
        <filter val="426 321 574"/>
        <filter val="441 197 000"/>
        <filter val="48 831 748"/>
        <filter val="51 000 000"/>
        <filter val="6 934 263"/>
        <filter val="600 000"/>
        <filter val="61 200 000"/>
        <filter val="71 030 000"/>
        <filter val="72 842 070"/>
        <filter val="9 230 000"/>
      </filters>
    </filterColumn>
  </autoFilter>
  <mergeCells count="6">
    <mergeCell ref="A1:N1"/>
    <mergeCell ref="A2:N2"/>
    <mergeCell ref="C5:E5"/>
    <mergeCell ref="F5:H5"/>
    <mergeCell ref="I5:K5"/>
    <mergeCell ref="L5:N5"/>
  </mergeCells>
  <pageMargins left="0.51181102362204722" right="0.31496062992125984" top="0.74803149606299213" bottom="0.74803149606299213" header="0.31496062992125984" footer="0.31496062992125984"/>
  <pageSetup paperSize="9" scale="64" orientation="portrait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2ED0-CB72-49F7-AD94-EA79F8C3DC2C}">
  <dimension ref="A1:F24"/>
  <sheetViews>
    <sheetView workbookViewId="0">
      <selection sqref="A1:E1"/>
    </sheetView>
  </sheetViews>
  <sheetFormatPr defaultRowHeight="15" x14ac:dyDescent="0.25"/>
  <cols>
    <col min="1" max="1" width="64.7109375" style="16" customWidth="1"/>
    <col min="2" max="2" width="9.42578125" style="16" customWidth="1"/>
    <col min="3" max="3" width="11.5703125" style="16" customWidth="1"/>
    <col min="4" max="4" width="17.28515625" style="16" customWidth="1"/>
    <col min="5" max="5" width="13.28515625" style="16" customWidth="1"/>
    <col min="6" max="256" width="9.140625" style="16"/>
    <col min="257" max="257" width="64.7109375" style="16" customWidth="1"/>
    <col min="258" max="258" width="9.42578125" style="16" customWidth="1"/>
    <col min="259" max="259" width="11.5703125" style="16" customWidth="1"/>
    <col min="260" max="260" width="17.28515625" style="16" customWidth="1"/>
    <col min="261" max="261" width="13.28515625" style="16" customWidth="1"/>
    <col min="262" max="512" width="9.140625" style="16"/>
    <col min="513" max="513" width="64.7109375" style="16" customWidth="1"/>
    <col min="514" max="514" width="9.42578125" style="16" customWidth="1"/>
    <col min="515" max="515" width="11.5703125" style="16" customWidth="1"/>
    <col min="516" max="516" width="17.28515625" style="16" customWidth="1"/>
    <col min="517" max="517" width="13.28515625" style="16" customWidth="1"/>
    <col min="518" max="768" width="9.140625" style="16"/>
    <col min="769" max="769" width="64.7109375" style="16" customWidth="1"/>
    <col min="770" max="770" width="9.42578125" style="16" customWidth="1"/>
    <col min="771" max="771" width="11.5703125" style="16" customWidth="1"/>
    <col min="772" max="772" width="17.28515625" style="16" customWidth="1"/>
    <col min="773" max="773" width="13.28515625" style="16" customWidth="1"/>
    <col min="774" max="1024" width="9.140625" style="16"/>
    <col min="1025" max="1025" width="64.7109375" style="16" customWidth="1"/>
    <col min="1026" max="1026" width="9.42578125" style="16" customWidth="1"/>
    <col min="1027" max="1027" width="11.5703125" style="16" customWidth="1"/>
    <col min="1028" max="1028" width="17.28515625" style="16" customWidth="1"/>
    <col min="1029" max="1029" width="13.28515625" style="16" customWidth="1"/>
    <col min="1030" max="1280" width="9.140625" style="16"/>
    <col min="1281" max="1281" width="64.7109375" style="16" customWidth="1"/>
    <col min="1282" max="1282" width="9.42578125" style="16" customWidth="1"/>
    <col min="1283" max="1283" width="11.5703125" style="16" customWidth="1"/>
    <col min="1284" max="1284" width="17.28515625" style="16" customWidth="1"/>
    <col min="1285" max="1285" width="13.28515625" style="16" customWidth="1"/>
    <col min="1286" max="1536" width="9.140625" style="16"/>
    <col min="1537" max="1537" width="64.7109375" style="16" customWidth="1"/>
    <col min="1538" max="1538" width="9.42578125" style="16" customWidth="1"/>
    <col min="1539" max="1539" width="11.5703125" style="16" customWidth="1"/>
    <col min="1540" max="1540" width="17.28515625" style="16" customWidth="1"/>
    <col min="1541" max="1541" width="13.28515625" style="16" customWidth="1"/>
    <col min="1542" max="1792" width="9.140625" style="16"/>
    <col min="1793" max="1793" width="64.7109375" style="16" customWidth="1"/>
    <col min="1794" max="1794" width="9.42578125" style="16" customWidth="1"/>
    <col min="1795" max="1795" width="11.5703125" style="16" customWidth="1"/>
    <col min="1796" max="1796" width="17.28515625" style="16" customWidth="1"/>
    <col min="1797" max="1797" width="13.28515625" style="16" customWidth="1"/>
    <col min="1798" max="2048" width="9.140625" style="16"/>
    <col min="2049" max="2049" width="64.7109375" style="16" customWidth="1"/>
    <col min="2050" max="2050" width="9.42578125" style="16" customWidth="1"/>
    <col min="2051" max="2051" width="11.5703125" style="16" customWidth="1"/>
    <col min="2052" max="2052" width="17.28515625" style="16" customWidth="1"/>
    <col min="2053" max="2053" width="13.28515625" style="16" customWidth="1"/>
    <col min="2054" max="2304" width="9.140625" style="16"/>
    <col min="2305" max="2305" width="64.7109375" style="16" customWidth="1"/>
    <col min="2306" max="2306" width="9.42578125" style="16" customWidth="1"/>
    <col min="2307" max="2307" width="11.5703125" style="16" customWidth="1"/>
    <col min="2308" max="2308" width="17.28515625" style="16" customWidth="1"/>
    <col min="2309" max="2309" width="13.28515625" style="16" customWidth="1"/>
    <col min="2310" max="2560" width="9.140625" style="16"/>
    <col min="2561" max="2561" width="64.7109375" style="16" customWidth="1"/>
    <col min="2562" max="2562" width="9.42578125" style="16" customWidth="1"/>
    <col min="2563" max="2563" width="11.5703125" style="16" customWidth="1"/>
    <col min="2564" max="2564" width="17.28515625" style="16" customWidth="1"/>
    <col min="2565" max="2565" width="13.28515625" style="16" customWidth="1"/>
    <col min="2566" max="2816" width="9.140625" style="16"/>
    <col min="2817" max="2817" width="64.7109375" style="16" customWidth="1"/>
    <col min="2818" max="2818" width="9.42578125" style="16" customWidth="1"/>
    <col min="2819" max="2819" width="11.5703125" style="16" customWidth="1"/>
    <col min="2820" max="2820" width="17.28515625" style="16" customWidth="1"/>
    <col min="2821" max="2821" width="13.28515625" style="16" customWidth="1"/>
    <col min="2822" max="3072" width="9.140625" style="16"/>
    <col min="3073" max="3073" width="64.7109375" style="16" customWidth="1"/>
    <col min="3074" max="3074" width="9.42578125" style="16" customWidth="1"/>
    <col min="3075" max="3075" width="11.5703125" style="16" customWidth="1"/>
    <col min="3076" max="3076" width="17.28515625" style="16" customWidth="1"/>
    <col min="3077" max="3077" width="13.28515625" style="16" customWidth="1"/>
    <col min="3078" max="3328" width="9.140625" style="16"/>
    <col min="3329" max="3329" width="64.7109375" style="16" customWidth="1"/>
    <col min="3330" max="3330" width="9.42578125" style="16" customWidth="1"/>
    <col min="3331" max="3331" width="11.5703125" style="16" customWidth="1"/>
    <col min="3332" max="3332" width="17.28515625" style="16" customWidth="1"/>
    <col min="3333" max="3333" width="13.28515625" style="16" customWidth="1"/>
    <col min="3334" max="3584" width="9.140625" style="16"/>
    <col min="3585" max="3585" width="64.7109375" style="16" customWidth="1"/>
    <col min="3586" max="3586" width="9.42578125" style="16" customWidth="1"/>
    <col min="3587" max="3587" width="11.5703125" style="16" customWidth="1"/>
    <col min="3588" max="3588" width="17.28515625" style="16" customWidth="1"/>
    <col min="3589" max="3589" width="13.28515625" style="16" customWidth="1"/>
    <col min="3590" max="3840" width="9.140625" style="16"/>
    <col min="3841" max="3841" width="64.7109375" style="16" customWidth="1"/>
    <col min="3842" max="3842" width="9.42578125" style="16" customWidth="1"/>
    <col min="3843" max="3843" width="11.5703125" style="16" customWidth="1"/>
    <col min="3844" max="3844" width="17.28515625" style="16" customWidth="1"/>
    <col min="3845" max="3845" width="13.28515625" style="16" customWidth="1"/>
    <col min="3846" max="4096" width="9.140625" style="16"/>
    <col min="4097" max="4097" width="64.7109375" style="16" customWidth="1"/>
    <col min="4098" max="4098" width="9.42578125" style="16" customWidth="1"/>
    <col min="4099" max="4099" width="11.5703125" style="16" customWidth="1"/>
    <col min="4100" max="4100" width="17.28515625" style="16" customWidth="1"/>
    <col min="4101" max="4101" width="13.28515625" style="16" customWidth="1"/>
    <col min="4102" max="4352" width="9.140625" style="16"/>
    <col min="4353" max="4353" width="64.7109375" style="16" customWidth="1"/>
    <col min="4354" max="4354" width="9.42578125" style="16" customWidth="1"/>
    <col min="4355" max="4355" width="11.5703125" style="16" customWidth="1"/>
    <col min="4356" max="4356" width="17.28515625" style="16" customWidth="1"/>
    <col min="4357" max="4357" width="13.28515625" style="16" customWidth="1"/>
    <col min="4358" max="4608" width="9.140625" style="16"/>
    <col min="4609" max="4609" width="64.7109375" style="16" customWidth="1"/>
    <col min="4610" max="4610" width="9.42578125" style="16" customWidth="1"/>
    <col min="4611" max="4611" width="11.5703125" style="16" customWidth="1"/>
    <col min="4612" max="4612" width="17.28515625" style="16" customWidth="1"/>
    <col min="4613" max="4613" width="13.28515625" style="16" customWidth="1"/>
    <col min="4614" max="4864" width="9.140625" style="16"/>
    <col min="4865" max="4865" width="64.7109375" style="16" customWidth="1"/>
    <col min="4866" max="4866" width="9.42578125" style="16" customWidth="1"/>
    <col min="4867" max="4867" width="11.5703125" style="16" customWidth="1"/>
    <col min="4868" max="4868" width="17.28515625" style="16" customWidth="1"/>
    <col min="4869" max="4869" width="13.28515625" style="16" customWidth="1"/>
    <col min="4870" max="5120" width="9.140625" style="16"/>
    <col min="5121" max="5121" width="64.7109375" style="16" customWidth="1"/>
    <col min="5122" max="5122" width="9.42578125" style="16" customWidth="1"/>
    <col min="5123" max="5123" width="11.5703125" style="16" customWidth="1"/>
    <col min="5124" max="5124" width="17.28515625" style="16" customWidth="1"/>
    <col min="5125" max="5125" width="13.28515625" style="16" customWidth="1"/>
    <col min="5126" max="5376" width="9.140625" style="16"/>
    <col min="5377" max="5377" width="64.7109375" style="16" customWidth="1"/>
    <col min="5378" max="5378" width="9.42578125" style="16" customWidth="1"/>
    <col min="5379" max="5379" width="11.5703125" style="16" customWidth="1"/>
    <col min="5380" max="5380" width="17.28515625" style="16" customWidth="1"/>
    <col min="5381" max="5381" width="13.28515625" style="16" customWidth="1"/>
    <col min="5382" max="5632" width="9.140625" style="16"/>
    <col min="5633" max="5633" width="64.7109375" style="16" customWidth="1"/>
    <col min="5634" max="5634" width="9.42578125" style="16" customWidth="1"/>
    <col min="5635" max="5635" width="11.5703125" style="16" customWidth="1"/>
    <col min="5636" max="5636" width="17.28515625" style="16" customWidth="1"/>
    <col min="5637" max="5637" width="13.28515625" style="16" customWidth="1"/>
    <col min="5638" max="5888" width="9.140625" style="16"/>
    <col min="5889" max="5889" width="64.7109375" style="16" customWidth="1"/>
    <col min="5890" max="5890" width="9.42578125" style="16" customWidth="1"/>
    <col min="5891" max="5891" width="11.5703125" style="16" customWidth="1"/>
    <col min="5892" max="5892" width="17.28515625" style="16" customWidth="1"/>
    <col min="5893" max="5893" width="13.28515625" style="16" customWidth="1"/>
    <col min="5894" max="6144" width="9.140625" style="16"/>
    <col min="6145" max="6145" width="64.7109375" style="16" customWidth="1"/>
    <col min="6146" max="6146" width="9.42578125" style="16" customWidth="1"/>
    <col min="6147" max="6147" width="11.5703125" style="16" customWidth="1"/>
    <col min="6148" max="6148" width="17.28515625" style="16" customWidth="1"/>
    <col min="6149" max="6149" width="13.28515625" style="16" customWidth="1"/>
    <col min="6150" max="6400" width="9.140625" style="16"/>
    <col min="6401" max="6401" width="64.7109375" style="16" customWidth="1"/>
    <col min="6402" max="6402" width="9.42578125" style="16" customWidth="1"/>
    <col min="6403" max="6403" width="11.5703125" style="16" customWidth="1"/>
    <col min="6404" max="6404" width="17.28515625" style="16" customWidth="1"/>
    <col min="6405" max="6405" width="13.28515625" style="16" customWidth="1"/>
    <col min="6406" max="6656" width="9.140625" style="16"/>
    <col min="6657" max="6657" width="64.7109375" style="16" customWidth="1"/>
    <col min="6658" max="6658" width="9.42578125" style="16" customWidth="1"/>
    <col min="6659" max="6659" width="11.5703125" style="16" customWidth="1"/>
    <col min="6660" max="6660" width="17.28515625" style="16" customWidth="1"/>
    <col min="6661" max="6661" width="13.28515625" style="16" customWidth="1"/>
    <col min="6662" max="6912" width="9.140625" style="16"/>
    <col min="6913" max="6913" width="64.7109375" style="16" customWidth="1"/>
    <col min="6914" max="6914" width="9.42578125" style="16" customWidth="1"/>
    <col min="6915" max="6915" width="11.5703125" style="16" customWidth="1"/>
    <col min="6916" max="6916" width="17.28515625" style="16" customWidth="1"/>
    <col min="6917" max="6917" width="13.28515625" style="16" customWidth="1"/>
    <col min="6918" max="7168" width="9.140625" style="16"/>
    <col min="7169" max="7169" width="64.7109375" style="16" customWidth="1"/>
    <col min="7170" max="7170" width="9.42578125" style="16" customWidth="1"/>
    <col min="7171" max="7171" width="11.5703125" style="16" customWidth="1"/>
    <col min="7172" max="7172" width="17.28515625" style="16" customWidth="1"/>
    <col min="7173" max="7173" width="13.28515625" style="16" customWidth="1"/>
    <col min="7174" max="7424" width="9.140625" style="16"/>
    <col min="7425" max="7425" width="64.7109375" style="16" customWidth="1"/>
    <col min="7426" max="7426" width="9.42578125" style="16" customWidth="1"/>
    <col min="7427" max="7427" width="11.5703125" style="16" customWidth="1"/>
    <col min="7428" max="7428" width="17.28515625" style="16" customWidth="1"/>
    <col min="7429" max="7429" width="13.28515625" style="16" customWidth="1"/>
    <col min="7430" max="7680" width="9.140625" style="16"/>
    <col min="7681" max="7681" width="64.7109375" style="16" customWidth="1"/>
    <col min="7682" max="7682" width="9.42578125" style="16" customWidth="1"/>
    <col min="7683" max="7683" width="11.5703125" style="16" customWidth="1"/>
    <col min="7684" max="7684" width="17.28515625" style="16" customWidth="1"/>
    <col min="7685" max="7685" width="13.28515625" style="16" customWidth="1"/>
    <col min="7686" max="7936" width="9.140625" style="16"/>
    <col min="7937" max="7937" width="64.7109375" style="16" customWidth="1"/>
    <col min="7938" max="7938" width="9.42578125" style="16" customWidth="1"/>
    <col min="7939" max="7939" width="11.5703125" style="16" customWidth="1"/>
    <col min="7940" max="7940" width="17.28515625" style="16" customWidth="1"/>
    <col min="7941" max="7941" width="13.28515625" style="16" customWidth="1"/>
    <col min="7942" max="8192" width="9.140625" style="16"/>
    <col min="8193" max="8193" width="64.7109375" style="16" customWidth="1"/>
    <col min="8194" max="8194" width="9.42578125" style="16" customWidth="1"/>
    <col min="8195" max="8195" width="11.5703125" style="16" customWidth="1"/>
    <col min="8196" max="8196" width="17.28515625" style="16" customWidth="1"/>
    <col min="8197" max="8197" width="13.28515625" style="16" customWidth="1"/>
    <col min="8198" max="8448" width="9.140625" style="16"/>
    <col min="8449" max="8449" width="64.7109375" style="16" customWidth="1"/>
    <col min="8450" max="8450" width="9.42578125" style="16" customWidth="1"/>
    <col min="8451" max="8451" width="11.5703125" style="16" customWidth="1"/>
    <col min="8452" max="8452" width="17.28515625" style="16" customWidth="1"/>
    <col min="8453" max="8453" width="13.28515625" style="16" customWidth="1"/>
    <col min="8454" max="8704" width="9.140625" style="16"/>
    <col min="8705" max="8705" width="64.7109375" style="16" customWidth="1"/>
    <col min="8706" max="8706" width="9.42578125" style="16" customWidth="1"/>
    <col min="8707" max="8707" width="11.5703125" style="16" customWidth="1"/>
    <col min="8708" max="8708" width="17.28515625" style="16" customWidth="1"/>
    <col min="8709" max="8709" width="13.28515625" style="16" customWidth="1"/>
    <col min="8710" max="8960" width="9.140625" style="16"/>
    <col min="8961" max="8961" width="64.7109375" style="16" customWidth="1"/>
    <col min="8962" max="8962" width="9.42578125" style="16" customWidth="1"/>
    <col min="8963" max="8963" width="11.5703125" style="16" customWidth="1"/>
    <col min="8964" max="8964" width="17.28515625" style="16" customWidth="1"/>
    <col min="8965" max="8965" width="13.28515625" style="16" customWidth="1"/>
    <col min="8966" max="9216" width="9.140625" style="16"/>
    <col min="9217" max="9217" width="64.7109375" style="16" customWidth="1"/>
    <col min="9218" max="9218" width="9.42578125" style="16" customWidth="1"/>
    <col min="9219" max="9219" width="11.5703125" style="16" customWidth="1"/>
    <col min="9220" max="9220" width="17.28515625" style="16" customWidth="1"/>
    <col min="9221" max="9221" width="13.28515625" style="16" customWidth="1"/>
    <col min="9222" max="9472" width="9.140625" style="16"/>
    <col min="9473" max="9473" width="64.7109375" style="16" customWidth="1"/>
    <col min="9474" max="9474" width="9.42578125" style="16" customWidth="1"/>
    <col min="9475" max="9475" width="11.5703125" style="16" customWidth="1"/>
    <col min="9476" max="9476" width="17.28515625" style="16" customWidth="1"/>
    <col min="9477" max="9477" width="13.28515625" style="16" customWidth="1"/>
    <col min="9478" max="9728" width="9.140625" style="16"/>
    <col min="9729" max="9729" width="64.7109375" style="16" customWidth="1"/>
    <col min="9730" max="9730" width="9.42578125" style="16" customWidth="1"/>
    <col min="9731" max="9731" width="11.5703125" style="16" customWidth="1"/>
    <col min="9732" max="9732" width="17.28515625" style="16" customWidth="1"/>
    <col min="9733" max="9733" width="13.28515625" style="16" customWidth="1"/>
    <col min="9734" max="9984" width="9.140625" style="16"/>
    <col min="9985" max="9985" width="64.7109375" style="16" customWidth="1"/>
    <col min="9986" max="9986" width="9.42578125" style="16" customWidth="1"/>
    <col min="9987" max="9987" width="11.5703125" style="16" customWidth="1"/>
    <col min="9988" max="9988" width="17.28515625" style="16" customWidth="1"/>
    <col min="9989" max="9989" width="13.28515625" style="16" customWidth="1"/>
    <col min="9990" max="10240" width="9.140625" style="16"/>
    <col min="10241" max="10241" width="64.7109375" style="16" customWidth="1"/>
    <col min="10242" max="10242" width="9.42578125" style="16" customWidth="1"/>
    <col min="10243" max="10243" width="11.5703125" style="16" customWidth="1"/>
    <col min="10244" max="10244" width="17.28515625" style="16" customWidth="1"/>
    <col min="10245" max="10245" width="13.28515625" style="16" customWidth="1"/>
    <col min="10246" max="10496" width="9.140625" style="16"/>
    <col min="10497" max="10497" width="64.7109375" style="16" customWidth="1"/>
    <col min="10498" max="10498" width="9.42578125" style="16" customWidth="1"/>
    <col min="10499" max="10499" width="11.5703125" style="16" customWidth="1"/>
    <col min="10500" max="10500" width="17.28515625" style="16" customWidth="1"/>
    <col min="10501" max="10501" width="13.28515625" style="16" customWidth="1"/>
    <col min="10502" max="10752" width="9.140625" style="16"/>
    <col min="10753" max="10753" width="64.7109375" style="16" customWidth="1"/>
    <col min="10754" max="10754" width="9.42578125" style="16" customWidth="1"/>
    <col min="10755" max="10755" width="11.5703125" style="16" customWidth="1"/>
    <col min="10756" max="10756" width="17.28515625" style="16" customWidth="1"/>
    <col min="10757" max="10757" width="13.28515625" style="16" customWidth="1"/>
    <col min="10758" max="11008" width="9.140625" style="16"/>
    <col min="11009" max="11009" width="64.7109375" style="16" customWidth="1"/>
    <col min="11010" max="11010" width="9.42578125" style="16" customWidth="1"/>
    <col min="11011" max="11011" width="11.5703125" style="16" customWidth="1"/>
    <col min="11012" max="11012" width="17.28515625" style="16" customWidth="1"/>
    <col min="11013" max="11013" width="13.28515625" style="16" customWidth="1"/>
    <col min="11014" max="11264" width="9.140625" style="16"/>
    <col min="11265" max="11265" width="64.7109375" style="16" customWidth="1"/>
    <col min="11266" max="11266" width="9.42578125" style="16" customWidth="1"/>
    <col min="11267" max="11267" width="11.5703125" style="16" customWidth="1"/>
    <col min="11268" max="11268" width="17.28515625" style="16" customWidth="1"/>
    <col min="11269" max="11269" width="13.28515625" style="16" customWidth="1"/>
    <col min="11270" max="11520" width="9.140625" style="16"/>
    <col min="11521" max="11521" width="64.7109375" style="16" customWidth="1"/>
    <col min="11522" max="11522" width="9.42578125" style="16" customWidth="1"/>
    <col min="11523" max="11523" width="11.5703125" style="16" customWidth="1"/>
    <col min="11524" max="11524" width="17.28515625" style="16" customWidth="1"/>
    <col min="11525" max="11525" width="13.28515625" style="16" customWidth="1"/>
    <col min="11526" max="11776" width="9.140625" style="16"/>
    <col min="11777" max="11777" width="64.7109375" style="16" customWidth="1"/>
    <col min="11778" max="11778" width="9.42578125" style="16" customWidth="1"/>
    <col min="11779" max="11779" width="11.5703125" style="16" customWidth="1"/>
    <col min="11780" max="11780" width="17.28515625" style="16" customWidth="1"/>
    <col min="11781" max="11781" width="13.28515625" style="16" customWidth="1"/>
    <col min="11782" max="12032" width="9.140625" style="16"/>
    <col min="12033" max="12033" width="64.7109375" style="16" customWidth="1"/>
    <col min="12034" max="12034" width="9.42578125" style="16" customWidth="1"/>
    <col min="12035" max="12035" width="11.5703125" style="16" customWidth="1"/>
    <col min="12036" max="12036" width="17.28515625" style="16" customWidth="1"/>
    <col min="12037" max="12037" width="13.28515625" style="16" customWidth="1"/>
    <col min="12038" max="12288" width="9.140625" style="16"/>
    <col min="12289" max="12289" width="64.7109375" style="16" customWidth="1"/>
    <col min="12290" max="12290" width="9.42578125" style="16" customWidth="1"/>
    <col min="12291" max="12291" width="11.5703125" style="16" customWidth="1"/>
    <col min="12292" max="12292" width="17.28515625" style="16" customWidth="1"/>
    <col min="12293" max="12293" width="13.28515625" style="16" customWidth="1"/>
    <col min="12294" max="12544" width="9.140625" style="16"/>
    <col min="12545" max="12545" width="64.7109375" style="16" customWidth="1"/>
    <col min="12546" max="12546" width="9.42578125" style="16" customWidth="1"/>
    <col min="12547" max="12547" width="11.5703125" style="16" customWidth="1"/>
    <col min="12548" max="12548" width="17.28515625" style="16" customWidth="1"/>
    <col min="12549" max="12549" width="13.28515625" style="16" customWidth="1"/>
    <col min="12550" max="12800" width="9.140625" style="16"/>
    <col min="12801" max="12801" width="64.7109375" style="16" customWidth="1"/>
    <col min="12802" max="12802" width="9.42578125" style="16" customWidth="1"/>
    <col min="12803" max="12803" width="11.5703125" style="16" customWidth="1"/>
    <col min="12804" max="12804" width="17.28515625" style="16" customWidth="1"/>
    <col min="12805" max="12805" width="13.28515625" style="16" customWidth="1"/>
    <col min="12806" max="13056" width="9.140625" style="16"/>
    <col min="13057" max="13057" width="64.7109375" style="16" customWidth="1"/>
    <col min="13058" max="13058" width="9.42578125" style="16" customWidth="1"/>
    <col min="13059" max="13059" width="11.5703125" style="16" customWidth="1"/>
    <col min="13060" max="13060" width="17.28515625" style="16" customWidth="1"/>
    <col min="13061" max="13061" width="13.28515625" style="16" customWidth="1"/>
    <col min="13062" max="13312" width="9.140625" style="16"/>
    <col min="13313" max="13313" width="64.7109375" style="16" customWidth="1"/>
    <col min="13314" max="13314" width="9.42578125" style="16" customWidth="1"/>
    <col min="13315" max="13315" width="11.5703125" style="16" customWidth="1"/>
    <col min="13316" max="13316" width="17.28515625" style="16" customWidth="1"/>
    <col min="13317" max="13317" width="13.28515625" style="16" customWidth="1"/>
    <col min="13318" max="13568" width="9.140625" style="16"/>
    <col min="13569" max="13569" width="64.7109375" style="16" customWidth="1"/>
    <col min="13570" max="13570" width="9.42578125" style="16" customWidth="1"/>
    <col min="13571" max="13571" width="11.5703125" style="16" customWidth="1"/>
    <col min="13572" max="13572" width="17.28515625" style="16" customWidth="1"/>
    <col min="13573" max="13573" width="13.28515625" style="16" customWidth="1"/>
    <col min="13574" max="13824" width="9.140625" style="16"/>
    <col min="13825" max="13825" width="64.7109375" style="16" customWidth="1"/>
    <col min="13826" max="13826" width="9.42578125" style="16" customWidth="1"/>
    <col min="13827" max="13827" width="11.5703125" style="16" customWidth="1"/>
    <col min="13828" max="13828" width="17.28515625" style="16" customWidth="1"/>
    <col min="13829" max="13829" width="13.28515625" style="16" customWidth="1"/>
    <col min="13830" max="14080" width="9.140625" style="16"/>
    <col min="14081" max="14081" width="64.7109375" style="16" customWidth="1"/>
    <col min="14082" max="14082" width="9.42578125" style="16" customWidth="1"/>
    <col min="14083" max="14083" width="11.5703125" style="16" customWidth="1"/>
    <col min="14084" max="14084" width="17.28515625" style="16" customWidth="1"/>
    <col min="14085" max="14085" width="13.28515625" style="16" customWidth="1"/>
    <col min="14086" max="14336" width="9.140625" style="16"/>
    <col min="14337" max="14337" width="64.7109375" style="16" customWidth="1"/>
    <col min="14338" max="14338" width="9.42578125" style="16" customWidth="1"/>
    <col min="14339" max="14339" width="11.5703125" style="16" customWidth="1"/>
    <col min="14340" max="14340" width="17.28515625" style="16" customWidth="1"/>
    <col min="14341" max="14341" width="13.28515625" style="16" customWidth="1"/>
    <col min="14342" max="14592" width="9.140625" style="16"/>
    <col min="14593" max="14593" width="64.7109375" style="16" customWidth="1"/>
    <col min="14594" max="14594" width="9.42578125" style="16" customWidth="1"/>
    <col min="14595" max="14595" width="11.5703125" style="16" customWidth="1"/>
    <col min="14596" max="14596" width="17.28515625" style="16" customWidth="1"/>
    <col min="14597" max="14597" width="13.28515625" style="16" customWidth="1"/>
    <col min="14598" max="14848" width="9.140625" style="16"/>
    <col min="14849" max="14849" width="64.7109375" style="16" customWidth="1"/>
    <col min="14850" max="14850" width="9.42578125" style="16" customWidth="1"/>
    <col min="14851" max="14851" width="11.5703125" style="16" customWidth="1"/>
    <col min="14852" max="14852" width="17.28515625" style="16" customWidth="1"/>
    <col min="14853" max="14853" width="13.28515625" style="16" customWidth="1"/>
    <col min="14854" max="15104" width="9.140625" style="16"/>
    <col min="15105" max="15105" width="64.7109375" style="16" customWidth="1"/>
    <col min="15106" max="15106" width="9.42578125" style="16" customWidth="1"/>
    <col min="15107" max="15107" width="11.5703125" style="16" customWidth="1"/>
    <col min="15108" max="15108" width="17.28515625" style="16" customWidth="1"/>
    <col min="15109" max="15109" width="13.28515625" style="16" customWidth="1"/>
    <col min="15110" max="15360" width="9.140625" style="16"/>
    <col min="15361" max="15361" width="64.7109375" style="16" customWidth="1"/>
    <col min="15362" max="15362" width="9.42578125" style="16" customWidth="1"/>
    <col min="15363" max="15363" width="11.5703125" style="16" customWidth="1"/>
    <col min="15364" max="15364" width="17.28515625" style="16" customWidth="1"/>
    <col min="15365" max="15365" width="13.28515625" style="16" customWidth="1"/>
    <col min="15366" max="15616" width="9.140625" style="16"/>
    <col min="15617" max="15617" width="64.7109375" style="16" customWidth="1"/>
    <col min="15618" max="15618" width="9.42578125" style="16" customWidth="1"/>
    <col min="15619" max="15619" width="11.5703125" style="16" customWidth="1"/>
    <col min="15620" max="15620" width="17.28515625" style="16" customWidth="1"/>
    <col min="15621" max="15621" width="13.28515625" style="16" customWidth="1"/>
    <col min="15622" max="15872" width="9.140625" style="16"/>
    <col min="15873" max="15873" width="64.7109375" style="16" customWidth="1"/>
    <col min="15874" max="15874" width="9.42578125" style="16" customWidth="1"/>
    <col min="15875" max="15875" width="11.5703125" style="16" customWidth="1"/>
    <col min="15876" max="15876" width="17.28515625" style="16" customWidth="1"/>
    <col min="15877" max="15877" width="13.28515625" style="16" customWidth="1"/>
    <col min="15878" max="16128" width="9.140625" style="16"/>
    <col min="16129" max="16129" width="64.7109375" style="16" customWidth="1"/>
    <col min="16130" max="16130" width="9.42578125" style="16" customWidth="1"/>
    <col min="16131" max="16131" width="11.5703125" style="16" customWidth="1"/>
    <col min="16132" max="16132" width="17.28515625" style="16" customWidth="1"/>
    <col min="16133" max="16133" width="13.28515625" style="16" customWidth="1"/>
    <col min="16134" max="16384" width="9.140625" style="16"/>
  </cols>
  <sheetData>
    <row r="1" spans="1:6" x14ac:dyDescent="0.25">
      <c r="A1" s="398" t="s">
        <v>725</v>
      </c>
      <c r="B1" s="398"/>
      <c r="C1" s="398"/>
      <c r="D1" s="398"/>
      <c r="E1" s="398"/>
    </row>
    <row r="2" spans="1:6" ht="18.75" x14ac:dyDescent="0.3">
      <c r="A2" s="399" t="str">
        <f>'[1]1.'!A1</f>
        <v>Ják Község  Önkormányzata 2021. évi költségvetése</v>
      </c>
      <c r="B2" s="399"/>
      <c r="C2" s="399"/>
      <c r="D2" s="399"/>
      <c r="E2" s="399"/>
      <c r="F2" s="399"/>
    </row>
    <row r="3" spans="1:6" ht="18.75" x14ac:dyDescent="0.3">
      <c r="A3" s="403" t="s">
        <v>190</v>
      </c>
      <c r="B3" s="403"/>
      <c r="C3" s="403"/>
      <c r="D3" s="403"/>
      <c r="E3" s="403"/>
      <c r="F3" s="403"/>
    </row>
    <row r="4" spans="1:6" ht="18.75" x14ac:dyDescent="0.3">
      <c r="A4" s="67"/>
      <c r="B4" s="68"/>
      <c r="C4" s="68"/>
      <c r="D4" s="68"/>
      <c r="E4" s="68"/>
    </row>
    <row r="5" spans="1:6" x14ac:dyDescent="0.25">
      <c r="B5" s="4"/>
      <c r="C5" s="2"/>
      <c r="D5" s="21"/>
    </row>
    <row r="6" spans="1:6" ht="15" customHeight="1" x14ac:dyDescent="0.25">
      <c r="A6" s="404" t="s">
        <v>191</v>
      </c>
      <c r="B6" s="406" t="s">
        <v>32</v>
      </c>
      <c r="C6" s="417" t="s">
        <v>192</v>
      </c>
      <c r="D6" s="418"/>
      <c r="E6" s="419"/>
    </row>
    <row r="7" spans="1:6" x14ac:dyDescent="0.25">
      <c r="A7" s="416"/>
      <c r="B7" s="416"/>
      <c r="C7" s="69" t="s">
        <v>37</v>
      </c>
      <c r="D7" s="69" t="s">
        <v>38</v>
      </c>
      <c r="E7" s="70" t="s">
        <v>39</v>
      </c>
    </row>
    <row r="8" spans="1:6" x14ac:dyDescent="0.25">
      <c r="A8" s="71"/>
      <c r="B8" s="71"/>
      <c r="C8" s="72"/>
      <c r="D8" s="72"/>
      <c r="E8" s="72"/>
    </row>
    <row r="9" spans="1:6" x14ac:dyDescent="0.25">
      <c r="A9" s="54" t="s">
        <v>150</v>
      </c>
      <c r="B9" s="73" t="s">
        <v>151</v>
      </c>
      <c r="C9" s="72">
        <f>'[1]2.'!C63</f>
        <v>200000</v>
      </c>
      <c r="D9" s="72">
        <f>C9</f>
        <v>200000</v>
      </c>
      <c r="E9" s="72"/>
    </row>
    <row r="10" spans="1:6" x14ac:dyDescent="0.25">
      <c r="A10" s="54" t="s">
        <v>193</v>
      </c>
      <c r="B10" s="73" t="s">
        <v>153</v>
      </c>
      <c r="C10" s="72">
        <f>'[1]2.'!O64</f>
        <v>4500000</v>
      </c>
      <c r="D10" s="72">
        <f t="shared" ref="D10:D11" si="0">C10</f>
        <v>4500000</v>
      </c>
      <c r="E10" s="72"/>
    </row>
    <row r="11" spans="1:6" x14ac:dyDescent="0.25">
      <c r="A11" s="33" t="s">
        <v>154</v>
      </c>
      <c r="B11" s="73" t="s">
        <v>155</v>
      </c>
      <c r="C11" s="72">
        <f>'[1]2.'!C65</f>
        <v>2075000</v>
      </c>
      <c r="D11" s="72">
        <f t="shared" si="0"/>
        <v>2075000</v>
      </c>
      <c r="E11" s="72"/>
    </row>
    <row r="12" spans="1:6" x14ac:dyDescent="0.25">
      <c r="A12" s="33" t="s">
        <v>194</v>
      </c>
      <c r="B12" s="73"/>
      <c r="C12" s="72"/>
      <c r="D12" s="72"/>
      <c r="E12" s="72"/>
    </row>
    <row r="13" spans="1:6" x14ac:dyDescent="0.25">
      <c r="A13" s="54" t="s">
        <v>156</v>
      </c>
      <c r="B13" s="73" t="s">
        <v>157</v>
      </c>
      <c r="C13" s="72">
        <f>'[1]2.'!C66</f>
        <v>6100000</v>
      </c>
      <c r="D13" s="72">
        <f>C13+5250000</f>
        <v>11350000</v>
      </c>
      <c r="E13" s="72"/>
    </row>
    <row r="14" spans="1:6" x14ac:dyDescent="0.25">
      <c r="A14" s="54" t="s">
        <v>195</v>
      </c>
      <c r="B14" s="73"/>
      <c r="C14" s="72"/>
      <c r="D14" s="72"/>
      <c r="E14" s="72"/>
    </row>
    <row r="15" spans="1:6" x14ac:dyDescent="0.25">
      <c r="A15" s="54" t="s">
        <v>158</v>
      </c>
      <c r="B15" s="73" t="s">
        <v>159</v>
      </c>
      <c r="C15" s="72"/>
      <c r="D15" s="72"/>
      <c r="E15" s="72"/>
    </row>
    <row r="16" spans="1:6" x14ac:dyDescent="0.25">
      <c r="A16" s="33" t="s">
        <v>160</v>
      </c>
      <c r="B16" s="73" t="s">
        <v>161</v>
      </c>
      <c r="C16" s="72"/>
      <c r="D16" s="72"/>
      <c r="E16" s="72"/>
    </row>
    <row r="17" spans="1:5" x14ac:dyDescent="0.25">
      <c r="A17" s="33" t="s">
        <v>162</v>
      </c>
      <c r="B17" s="73" t="s">
        <v>163</v>
      </c>
      <c r="C17" s="72">
        <f>'[1]2.'!C69</f>
        <v>3487500</v>
      </c>
      <c r="D17" s="72">
        <f>C17+100000</f>
        <v>3587500</v>
      </c>
      <c r="E17" s="72"/>
    </row>
    <row r="18" spans="1:5" ht="15.75" x14ac:dyDescent="0.25">
      <c r="A18" s="49" t="s">
        <v>164</v>
      </c>
      <c r="B18" s="74" t="s">
        <v>165</v>
      </c>
      <c r="C18" s="75">
        <f>C13+C17+C11+C9+C10</f>
        <v>16362500</v>
      </c>
      <c r="D18" s="75">
        <f>SUM(D9:D17)</f>
        <v>21712500</v>
      </c>
      <c r="E18" s="75"/>
    </row>
    <row r="19" spans="1:5" x14ac:dyDescent="0.25">
      <c r="A19" s="54" t="s">
        <v>166</v>
      </c>
      <c r="B19" s="73" t="s">
        <v>167</v>
      </c>
      <c r="C19" s="72">
        <f>SUM('[1]2.'!O71)</f>
        <v>61742796</v>
      </c>
      <c r="D19" s="72">
        <f>C19</f>
        <v>61742796</v>
      </c>
      <c r="E19" s="72"/>
    </row>
    <row r="20" spans="1:5" x14ac:dyDescent="0.25">
      <c r="A20" s="54" t="s">
        <v>170</v>
      </c>
      <c r="B20" s="73" t="s">
        <v>171</v>
      </c>
      <c r="C20" s="72"/>
      <c r="D20" s="72"/>
      <c r="E20" s="72"/>
    </row>
    <row r="21" spans="1:5" x14ac:dyDescent="0.25">
      <c r="A21" s="54" t="s">
        <v>172</v>
      </c>
      <c r="B21" s="73" t="s">
        <v>173</v>
      </c>
      <c r="C21" s="72">
        <f>SUM('[1]2.'!O74)</f>
        <v>16662555</v>
      </c>
      <c r="D21" s="72">
        <f t="shared" ref="D21" si="1">C21</f>
        <v>16662555</v>
      </c>
      <c r="E21" s="72"/>
    </row>
    <row r="22" spans="1:5" ht="15.75" x14ac:dyDescent="0.25">
      <c r="A22" s="49" t="s">
        <v>174</v>
      </c>
      <c r="B22" s="74" t="s">
        <v>175</v>
      </c>
      <c r="C22" s="75">
        <f>SUM(C21,C19)</f>
        <v>78405351</v>
      </c>
      <c r="D22" s="75">
        <f>SUM(D21,D19)</f>
        <v>78405351</v>
      </c>
      <c r="E22" s="72"/>
    </row>
    <row r="23" spans="1:5" ht="15.75" x14ac:dyDescent="0.25">
      <c r="A23" s="49" t="s">
        <v>196</v>
      </c>
      <c r="B23" s="76" t="s">
        <v>197</v>
      </c>
      <c r="C23" s="77">
        <f>C18+C22</f>
        <v>94767851</v>
      </c>
      <c r="D23" s="77">
        <f>D18+D22</f>
        <v>100117851</v>
      </c>
      <c r="E23" s="77">
        <f>E18+E22</f>
        <v>0</v>
      </c>
    </row>
    <row r="24" spans="1:5" x14ac:dyDescent="0.25">
      <c r="A24" s="78"/>
      <c r="B24" s="78"/>
      <c r="C24" s="78"/>
      <c r="D24" s="78"/>
    </row>
  </sheetData>
  <mergeCells count="6">
    <mergeCell ref="A1:E1"/>
    <mergeCell ref="A2:F2"/>
    <mergeCell ref="A3:F3"/>
    <mergeCell ref="A6:A7"/>
    <mergeCell ref="B6:B7"/>
    <mergeCell ref="C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16FB-ACC1-4E69-8E81-B854EE77490A}">
  <dimension ref="A1:E28"/>
  <sheetViews>
    <sheetView workbookViewId="0">
      <selection sqref="A1:E1"/>
    </sheetView>
  </sheetViews>
  <sheetFormatPr defaultRowHeight="15" x14ac:dyDescent="0.25"/>
  <cols>
    <col min="1" max="1" width="6.140625" customWidth="1"/>
    <col min="2" max="2" width="29.28515625" customWidth="1"/>
    <col min="3" max="3" width="14.42578125" customWidth="1"/>
    <col min="4" max="4" width="29.28515625" customWidth="1"/>
    <col min="5" max="5" width="14.42578125" customWidth="1"/>
  </cols>
  <sheetData>
    <row r="1" spans="1:5" x14ac:dyDescent="0.25">
      <c r="A1" s="420" t="s">
        <v>726</v>
      </c>
      <c r="B1" s="420"/>
      <c r="C1" s="420"/>
      <c r="D1" s="420"/>
      <c r="E1" s="420"/>
    </row>
    <row r="2" spans="1:5" ht="31.5" customHeight="1" x14ac:dyDescent="0.25">
      <c r="A2" s="421" t="s">
        <v>198</v>
      </c>
      <c r="B2" s="421"/>
      <c r="C2" s="421"/>
      <c r="D2" s="421"/>
      <c r="E2" s="421"/>
    </row>
    <row r="3" spans="1:5" ht="15.75" thickBot="1" x14ac:dyDescent="0.3">
      <c r="A3" s="79"/>
      <c r="B3" s="80"/>
      <c r="C3" s="79"/>
      <c r="D3" s="4"/>
      <c r="E3" s="81"/>
    </row>
    <row r="4" spans="1:5" ht="15.75" thickBot="1" x14ac:dyDescent="0.3">
      <c r="A4" s="422" t="s">
        <v>199</v>
      </c>
      <c r="B4" s="82" t="s">
        <v>200</v>
      </c>
      <c r="C4" s="83"/>
      <c r="D4" s="82" t="s">
        <v>201</v>
      </c>
      <c r="E4" s="84"/>
    </row>
    <row r="5" spans="1:5" ht="45.75" thickBot="1" x14ac:dyDescent="0.3">
      <c r="A5" s="423"/>
      <c r="B5" s="85" t="s">
        <v>191</v>
      </c>
      <c r="C5" s="86" t="s">
        <v>202</v>
      </c>
      <c r="D5" s="85" t="s">
        <v>191</v>
      </c>
      <c r="E5" s="86" t="s">
        <v>202</v>
      </c>
    </row>
    <row r="6" spans="1:5" ht="15.75" thickBot="1" x14ac:dyDescent="0.3">
      <c r="A6" s="87">
        <v>1</v>
      </c>
      <c r="B6" s="85">
        <v>2</v>
      </c>
      <c r="C6" s="86" t="s">
        <v>203</v>
      </c>
      <c r="D6" s="85" t="s">
        <v>204</v>
      </c>
      <c r="E6" s="88" t="s">
        <v>205</v>
      </c>
    </row>
    <row r="7" spans="1:5" ht="30" x14ac:dyDescent="0.25">
      <c r="A7" s="89" t="s">
        <v>206</v>
      </c>
      <c r="B7" s="90" t="s">
        <v>207</v>
      </c>
      <c r="C7" s="91">
        <f>'[2]3.'!$M$20-'[2]3.'!$M$19</f>
        <v>293498498</v>
      </c>
      <c r="D7" s="90" t="s">
        <v>208</v>
      </c>
      <c r="E7" s="92">
        <f>SUM('[3]2.'!O25)</f>
        <v>209343375</v>
      </c>
    </row>
    <row r="8" spans="1:5" ht="45" x14ac:dyDescent="0.25">
      <c r="A8" s="93" t="s">
        <v>209</v>
      </c>
      <c r="B8" s="94" t="s">
        <v>210</v>
      </c>
      <c r="C8" s="95">
        <f>SUM('[3]3.'!L19)</f>
        <v>25580160</v>
      </c>
      <c r="D8" s="94" t="s">
        <v>211</v>
      </c>
      <c r="E8" s="96">
        <f>SUM('[3]2.'!O26)</f>
        <v>33335250</v>
      </c>
    </row>
    <row r="9" spans="1:5" x14ac:dyDescent="0.25">
      <c r="A9" s="93" t="s">
        <v>203</v>
      </c>
      <c r="B9" s="94" t="s">
        <v>212</v>
      </c>
      <c r="C9" s="95"/>
      <c r="D9" s="94" t="s">
        <v>128</v>
      </c>
      <c r="E9" s="96">
        <v>137655165</v>
      </c>
    </row>
    <row r="10" spans="1:5" x14ac:dyDescent="0.25">
      <c r="A10" s="93" t="s">
        <v>204</v>
      </c>
      <c r="B10" s="94" t="s">
        <v>213</v>
      </c>
      <c r="C10" s="95">
        <f>SUM('[3]3.'!L34)</f>
        <v>52550000</v>
      </c>
      <c r="D10" s="94" t="s">
        <v>214</v>
      </c>
      <c r="E10" s="96">
        <f>SUM('[3]2.'!O52)</f>
        <v>9930000</v>
      </c>
    </row>
    <row r="11" spans="1:5" ht="30" x14ac:dyDescent="0.25">
      <c r="A11" s="93" t="s">
        <v>205</v>
      </c>
      <c r="B11" s="97" t="s">
        <v>215</v>
      </c>
      <c r="C11" s="95"/>
      <c r="D11" s="94" t="s">
        <v>216</v>
      </c>
      <c r="E11" s="96">
        <v>8054002</v>
      </c>
    </row>
    <row r="12" spans="1:5" x14ac:dyDescent="0.25">
      <c r="A12" s="93" t="s">
        <v>217</v>
      </c>
      <c r="B12" s="94" t="s">
        <v>218</v>
      </c>
      <c r="C12" s="98"/>
      <c r="D12" s="94" t="s">
        <v>12</v>
      </c>
      <c r="E12" s="96">
        <v>94251224</v>
      </c>
    </row>
    <row r="13" spans="1:5" x14ac:dyDescent="0.25">
      <c r="A13" s="93" t="s">
        <v>219</v>
      </c>
      <c r="B13" s="94" t="s">
        <v>220</v>
      </c>
      <c r="C13" s="95">
        <f>9535000+600000+21000000+8210000+5103339</f>
        <v>44448339</v>
      </c>
      <c r="D13" s="99"/>
      <c r="E13" s="96"/>
    </row>
    <row r="14" spans="1:5" x14ac:dyDescent="0.25">
      <c r="A14" s="93" t="s">
        <v>221</v>
      </c>
      <c r="B14" s="99"/>
      <c r="C14" s="95"/>
      <c r="D14" s="99"/>
      <c r="E14" s="96"/>
    </row>
    <row r="15" spans="1:5" ht="15.75" thickBot="1" x14ac:dyDescent="0.3">
      <c r="A15" s="93" t="s">
        <v>222</v>
      </c>
      <c r="B15" s="100"/>
      <c r="C15" s="101"/>
      <c r="D15" s="99"/>
      <c r="E15" s="102"/>
    </row>
    <row r="16" spans="1:5" ht="45.75" thickBot="1" x14ac:dyDescent="0.3">
      <c r="A16" s="103" t="s">
        <v>223</v>
      </c>
      <c r="B16" s="104" t="s">
        <v>224</v>
      </c>
      <c r="C16" s="105">
        <f>SUM(C7:C15)</f>
        <v>416076997</v>
      </c>
      <c r="D16" s="104" t="s">
        <v>225</v>
      </c>
      <c r="E16" s="106">
        <f>SUM(E7:E15)</f>
        <v>492569016</v>
      </c>
    </row>
    <row r="17" spans="1:5" ht="30" x14ac:dyDescent="0.25">
      <c r="A17" s="107" t="s">
        <v>226</v>
      </c>
      <c r="B17" s="108" t="s">
        <v>227</v>
      </c>
      <c r="C17" s="109"/>
      <c r="D17" s="94" t="s">
        <v>228</v>
      </c>
      <c r="E17" s="110"/>
    </row>
    <row r="18" spans="1:5" ht="30" x14ac:dyDescent="0.25">
      <c r="A18" s="111" t="s">
        <v>229</v>
      </c>
      <c r="B18" s="94" t="s">
        <v>230</v>
      </c>
      <c r="C18" s="95">
        <v>76492019</v>
      </c>
      <c r="D18" s="94" t="s">
        <v>231</v>
      </c>
      <c r="E18" s="96"/>
    </row>
    <row r="19" spans="1:5" ht="30" x14ac:dyDescent="0.25">
      <c r="A19" s="111" t="s">
        <v>232</v>
      </c>
      <c r="B19" s="94" t="s">
        <v>233</v>
      </c>
      <c r="C19" s="95"/>
      <c r="D19" s="94" t="s">
        <v>234</v>
      </c>
      <c r="E19" s="96"/>
    </row>
    <row r="20" spans="1:5" ht="30" x14ac:dyDescent="0.25">
      <c r="A20" s="111" t="s">
        <v>235</v>
      </c>
      <c r="B20" s="94" t="s">
        <v>236</v>
      </c>
      <c r="C20" s="95"/>
      <c r="D20" s="94" t="s">
        <v>237</v>
      </c>
      <c r="E20" s="96"/>
    </row>
    <row r="21" spans="1:5" ht="30" x14ac:dyDescent="0.25">
      <c r="A21" s="111" t="s">
        <v>238</v>
      </c>
      <c r="B21" s="94" t="s">
        <v>239</v>
      </c>
      <c r="C21" s="95"/>
      <c r="D21" s="108" t="s">
        <v>240</v>
      </c>
      <c r="E21" s="96"/>
    </row>
    <row r="22" spans="1:5" ht="45" x14ac:dyDescent="0.25">
      <c r="A22" s="111" t="s">
        <v>241</v>
      </c>
      <c r="B22" s="94" t="s">
        <v>242</v>
      </c>
      <c r="C22" s="112">
        <f>+C23+C24</f>
        <v>0</v>
      </c>
      <c r="D22" s="94" t="s">
        <v>243</v>
      </c>
      <c r="E22" s="96"/>
    </row>
    <row r="23" spans="1:5" ht="30" x14ac:dyDescent="0.25">
      <c r="A23" s="107" t="s">
        <v>244</v>
      </c>
      <c r="B23" s="108" t="s">
        <v>245</v>
      </c>
      <c r="C23" s="113"/>
      <c r="D23" s="90" t="s">
        <v>246</v>
      </c>
      <c r="E23" s="110"/>
    </row>
    <row r="24" spans="1:5" ht="15.75" thickBot="1" x14ac:dyDescent="0.3">
      <c r="A24" s="111" t="s">
        <v>247</v>
      </c>
      <c r="B24" s="94" t="s">
        <v>248</v>
      </c>
      <c r="C24" s="95"/>
      <c r="D24" s="99"/>
      <c r="E24" s="96"/>
    </row>
    <row r="25" spans="1:5" ht="45.75" thickBot="1" x14ac:dyDescent="0.3">
      <c r="A25" s="103" t="s">
        <v>249</v>
      </c>
      <c r="B25" s="104" t="s">
        <v>250</v>
      </c>
      <c r="C25" s="105">
        <f>SUM(C17:C24)</f>
        <v>76492019</v>
      </c>
      <c r="D25" s="104" t="s">
        <v>251</v>
      </c>
      <c r="E25" s="106">
        <f>SUM(E17:E24)</f>
        <v>0</v>
      </c>
    </row>
    <row r="26" spans="1:5" ht="15.75" thickBot="1" x14ac:dyDescent="0.3">
      <c r="A26" s="103" t="s">
        <v>252</v>
      </c>
      <c r="B26" s="104" t="s">
        <v>253</v>
      </c>
      <c r="C26" s="114">
        <f>C16+C25</f>
        <v>492569016</v>
      </c>
      <c r="D26" s="104" t="s">
        <v>254</v>
      </c>
      <c r="E26" s="114">
        <f>+E16+E25</f>
        <v>492569016</v>
      </c>
    </row>
    <row r="27" spans="1:5" ht="15.75" thickBot="1" x14ac:dyDescent="0.3">
      <c r="A27" s="103" t="s">
        <v>255</v>
      </c>
      <c r="B27" s="104" t="s">
        <v>256</v>
      </c>
      <c r="C27" s="114"/>
      <c r="D27" s="104" t="s">
        <v>257</v>
      </c>
      <c r="E27" s="114" t="str">
        <f>IF(C16-E16&gt;0,C16-E16,"-")</f>
        <v>-</v>
      </c>
    </row>
    <row r="28" spans="1:5" ht="15.75" thickBot="1" x14ac:dyDescent="0.3">
      <c r="A28" s="103" t="s">
        <v>258</v>
      </c>
      <c r="B28" s="104" t="s">
        <v>259</v>
      </c>
      <c r="C28" s="114"/>
      <c r="D28" s="104" t="s">
        <v>260</v>
      </c>
      <c r="E28" s="114" t="str">
        <f>IF(C16+C17-E26&gt;0,C16+C17-E26,"-")</f>
        <v>-</v>
      </c>
    </row>
  </sheetData>
  <mergeCells count="3">
    <mergeCell ref="A1:E1"/>
    <mergeCell ref="A2:E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DDC1E-F72B-4386-BD99-95BE308C934F}">
  <dimension ref="A1:F29"/>
  <sheetViews>
    <sheetView workbookViewId="0">
      <selection sqref="A1:E1"/>
    </sheetView>
  </sheetViews>
  <sheetFormatPr defaultRowHeight="15" x14ac:dyDescent="0.25"/>
  <cols>
    <col min="2" max="2" width="29.28515625" customWidth="1"/>
    <col min="3" max="3" width="17.28515625" customWidth="1"/>
    <col min="4" max="4" width="29.28515625" customWidth="1"/>
    <col min="5" max="5" width="15.85546875" customWidth="1"/>
  </cols>
  <sheetData>
    <row r="1" spans="1:6" x14ac:dyDescent="0.25">
      <c r="A1" s="420" t="s">
        <v>727</v>
      </c>
      <c r="B1" s="420"/>
      <c r="C1" s="420"/>
      <c r="D1" s="420"/>
      <c r="E1" s="420"/>
    </row>
    <row r="2" spans="1:6" ht="15.75" thickBot="1" x14ac:dyDescent="0.3">
      <c r="A2" s="79"/>
      <c r="B2" s="421" t="s">
        <v>261</v>
      </c>
      <c r="C2" s="421"/>
      <c r="D2" s="421"/>
      <c r="E2" s="421"/>
    </row>
    <row r="3" spans="1:6" ht="15.75" thickBot="1" x14ac:dyDescent="0.3">
      <c r="A3" s="424" t="s">
        <v>199</v>
      </c>
      <c r="B3" s="82" t="s">
        <v>200</v>
      </c>
      <c r="C3" s="83"/>
      <c r="D3" s="82" t="s">
        <v>201</v>
      </c>
      <c r="E3" s="84"/>
    </row>
    <row r="4" spans="1:6" ht="45.75" thickBot="1" x14ac:dyDescent="0.3">
      <c r="A4" s="425"/>
      <c r="B4" s="85" t="s">
        <v>191</v>
      </c>
      <c r="C4" s="86" t="s">
        <v>202</v>
      </c>
      <c r="D4" s="85" t="s">
        <v>191</v>
      </c>
      <c r="E4" s="86" t="s">
        <v>202</v>
      </c>
    </row>
    <row r="5" spans="1:6" ht="15.75" thickBot="1" x14ac:dyDescent="0.3">
      <c r="A5" s="87">
        <v>1</v>
      </c>
      <c r="B5" s="85">
        <v>2</v>
      </c>
      <c r="C5" s="86">
        <v>3</v>
      </c>
      <c r="D5" s="85">
        <v>4</v>
      </c>
      <c r="E5" s="88">
        <v>5</v>
      </c>
    </row>
    <row r="6" spans="1:6" ht="45" x14ac:dyDescent="0.25">
      <c r="A6" s="89" t="s">
        <v>206</v>
      </c>
      <c r="B6" s="90" t="s">
        <v>262</v>
      </c>
      <c r="C6" s="91"/>
      <c r="D6" s="90" t="s">
        <v>263</v>
      </c>
      <c r="E6" s="92">
        <v>21712500</v>
      </c>
    </row>
    <row r="7" spans="1:6" ht="30" x14ac:dyDescent="0.25">
      <c r="A7" s="93" t="s">
        <v>209</v>
      </c>
      <c r="B7" s="94" t="s">
        <v>264</v>
      </c>
      <c r="C7" s="95"/>
      <c r="D7" s="94" t="s">
        <v>265</v>
      </c>
      <c r="E7" s="96"/>
    </row>
    <row r="8" spans="1:6" x14ac:dyDescent="0.25">
      <c r="A8" s="93" t="s">
        <v>203</v>
      </c>
      <c r="B8" s="94" t="s">
        <v>266</v>
      </c>
      <c r="C8" s="95">
        <f>('[3]3.'!L70+'[3]3.'!L38)</f>
        <v>9660754</v>
      </c>
      <c r="D8" s="94" t="s">
        <v>267</v>
      </c>
      <c r="E8" s="96">
        <f>SUM('[3]2.'!O75)</f>
        <v>78405351</v>
      </c>
    </row>
    <row r="9" spans="1:6" ht="30" x14ac:dyDescent="0.25">
      <c r="A9" s="93" t="s">
        <v>204</v>
      </c>
      <c r="B9" s="94" t="s">
        <v>268</v>
      </c>
      <c r="C9" s="95">
        <f>SUM('[3]3.'!L58)</f>
        <v>88107097</v>
      </c>
      <c r="D9" s="94" t="s">
        <v>269</v>
      </c>
      <c r="E9" s="96"/>
    </row>
    <row r="10" spans="1:6" ht="30" x14ac:dyDescent="0.25">
      <c r="A10" s="93" t="s">
        <v>205</v>
      </c>
      <c r="B10" s="94" t="s">
        <v>270</v>
      </c>
      <c r="C10" s="95"/>
      <c r="D10" s="94" t="s">
        <v>271</v>
      </c>
      <c r="E10" s="96">
        <f>SUM('[3]2.'!P77)/1000</f>
        <v>0</v>
      </c>
    </row>
    <row r="11" spans="1:6" ht="30" x14ac:dyDescent="0.25">
      <c r="A11" s="93" t="s">
        <v>217</v>
      </c>
      <c r="B11" s="94" t="s">
        <v>272</v>
      </c>
      <c r="C11" s="98">
        <v>2819572</v>
      </c>
      <c r="D11" s="99"/>
      <c r="E11" s="96"/>
    </row>
    <row r="12" spans="1:6" ht="15.75" thickBot="1" x14ac:dyDescent="0.3">
      <c r="A12" s="115" t="s">
        <v>219</v>
      </c>
      <c r="B12" s="116"/>
      <c r="C12" s="117"/>
      <c r="D12" s="108" t="s">
        <v>12</v>
      </c>
      <c r="E12" s="110"/>
    </row>
    <row r="13" spans="1:6" ht="30.75" thickBot="1" x14ac:dyDescent="0.3">
      <c r="A13" s="103" t="s">
        <v>221</v>
      </c>
      <c r="B13" s="104" t="s">
        <v>273</v>
      </c>
      <c r="C13" s="105">
        <f>SUM(C11:C12,C9,C8,C6)</f>
        <v>100587423</v>
      </c>
      <c r="D13" s="104" t="s">
        <v>274</v>
      </c>
      <c r="E13" s="105">
        <f>SUM(E11:E12,E9,E8,E6)</f>
        <v>100117851</v>
      </c>
      <c r="F13" s="118"/>
    </row>
    <row r="14" spans="1:6" ht="30" x14ac:dyDescent="0.25">
      <c r="A14" s="89" t="s">
        <v>222</v>
      </c>
      <c r="B14" s="119" t="s">
        <v>275</v>
      </c>
      <c r="C14" s="120">
        <f>SUM(C15:C19)</f>
        <v>13815933</v>
      </c>
      <c r="D14" s="94" t="s">
        <v>228</v>
      </c>
      <c r="E14" s="92"/>
    </row>
    <row r="15" spans="1:6" ht="30" x14ac:dyDescent="0.25">
      <c r="A15" s="93" t="s">
        <v>223</v>
      </c>
      <c r="B15" s="121" t="s">
        <v>276</v>
      </c>
      <c r="C15" s="95">
        <v>13815933</v>
      </c>
      <c r="D15" s="94" t="s">
        <v>277</v>
      </c>
      <c r="E15" s="96"/>
    </row>
    <row r="16" spans="1:6" ht="30" x14ac:dyDescent="0.25">
      <c r="A16" s="89" t="s">
        <v>226</v>
      </c>
      <c r="B16" s="121" t="s">
        <v>278</v>
      </c>
      <c r="C16" s="95"/>
      <c r="D16" s="94" t="s">
        <v>234</v>
      </c>
      <c r="E16" s="96"/>
    </row>
    <row r="17" spans="1:5" ht="30" x14ac:dyDescent="0.25">
      <c r="A17" s="93" t="s">
        <v>229</v>
      </c>
      <c r="B17" s="121" t="s">
        <v>279</v>
      </c>
      <c r="C17" s="95"/>
      <c r="D17" s="94" t="s">
        <v>237</v>
      </c>
      <c r="E17" s="96">
        <v>3000000</v>
      </c>
    </row>
    <row r="18" spans="1:5" x14ac:dyDescent="0.25">
      <c r="A18" s="89" t="s">
        <v>232</v>
      </c>
      <c r="B18" s="121" t="s">
        <v>280</v>
      </c>
      <c r="C18" s="95"/>
      <c r="D18" s="108" t="s">
        <v>240</v>
      </c>
      <c r="E18" s="96"/>
    </row>
    <row r="19" spans="1:5" ht="45" x14ac:dyDescent="0.25">
      <c r="A19" s="93" t="s">
        <v>235</v>
      </c>
      <c r="B19" s="122" t="s">
        <v>281</v>
      </c>
      <c r="C19" s="95"/>
      <c r="D19" s="94" t="s">
        <v>282</v>
      </c>
      <c r="E19" s="96"/>
    </row>
    <row r="20" spans="1:5" ht="45" x14ac:dyDescent="0.25">
      <c r="A20" s="89" t="s">
        <v>238</v>
      </c>
      <c r="B20" s="123" t="s">
        <v>283</v>
      </c>
      <c r="C20" s="112">
        <f>C21+C22+C23+C24+C25</f>
        <v>0</v>
      </c>
      <c r="D20" s="90" t="s">
        <v>246</v>
      </c>
      <c r="E20" s="96"/>
    </row>
    <row r="21" spans="1:5" ht="30" x14ac:dyDescent="0.25">
      <c r="A21" s="93" t="s">
        <v>241</v>
      </c>
      <c r="B21" s="122" t="s">
        <v>284</v>
      </c>
      <c r="C21" s="95"/>
      <c r="D21" s="90" t="s">
        <v>285</v>
      </c>
      <c r="E21" s="96"/>
    </row>
    <row r="22" spans="1:5" ht="30" x14ac:dyDescent="0.25">
      <c r="A22" s="89" t="s">
        <v>244</v>
      </c>
      <c r="B22" s="122" t="s">
        <v>286</v>
      </c>
      <c r="C22" s="95"/>
      <c r="D22" s="124" t="s">
        <v>287</v>
      </c>
      <c r="E22" s="96">
        <v>11285505</v>
      </c>
    </row>
    <row r="23" spans="1:5" ht="30" x14ac:dyDescent="0.25">
      <c r="A23" s="93" t="s">
        <v>247</v>
      </c>
      <c r="B23" s="121" t="s">
        <v>288</v>
      </c>
      <c r="C23" s="95"/>
      <c r="D23" s="124"/>
      <c r="E23" s="96"/>
    </row>
    <row r="24" spans="1:5" x14ac:dyDescent="0.25">
      <c r="A24" s="89" t="s">
        <v>249</v>
      </c>
      <c r="B24" s="125" t="s">
        <v>289</v>
      </c>
      <c r="C24" s="95"/>
      <c r="D24" s="99"/>
      <c r="E24" s="96"/>
    </row>
    <row r="25" spans="1:5" ht="30.75" thickBot="1" x14ac:dyDescent="0.3">
      <c r="A25" s="93" t="s">
        <v>252</v>
      </c>
      <c r="B25" s="126" t="s">
        <v>290</v>
      </c>
      <c r="C25" s="95"/>
      <c r="D25" s="124"/>
      <c r="E25" s="96"/>
    </row>
    <row r="26" spans="1:5" ht="60.75" thickBot="1" x14ac:dyDescent="0.3">
      <c r="A26" s="103" t="s">
        <v>255</v>
      </c>
      <c r="B26" s="104" t="s">
        <v>291</v>
      </c>
      <c r="C26" s="105">
        <f>C14+C20</f>
        <v>13815933</v>
      </c>
      <c r="D26" s="104" t="s">
        <v>292</v>
      </c>
      <c r="E26" s="106">
        <f>SUM(E14:E25)</f>
        <v>14285505</v>
      </c>
    </row>
    <row r="27" spans="1:5" ht="15.75" thickBot="1" x14ac:dyDescent="0.3">
      <c r="A27" s="103" t="s">
        <v>258</v>
      </c>
      <c r="B27" s="104" t="s">
        <v>293</v>
      </c>
      <c r="C27" s="114">
        <f>C13+C26</f>
        <v>114403356</v>
      </c>
      <c r="D27" s="104" t="s">
        <v>294</v>
      </c>
      <c r="E27" s="114">
        <f>E13+E26</f>
        <v>114403356</v>
      </c>
    </row>
    <row r="28" spans="1:5" ht="15.75" thickBot="1" x14ac:dyDescent="0.3">
      <c r="A28" s="103" t="s">
        <v>295</v>
      </c>
      <c r="B28" s="104" t="s">
        <v>256</v>
      </c>
      <c r="C28" s="114"/>
      <c r="D28" s="104" t="s">
        <v>257</v>
      </c>
      <c r="E28" s="114"/>
    </row>
    <row r="29" spans="1:5" ht="15.75" thickBot="1" x14ac:dyDescent="0.3">
      <c r="A29" s="103" t="s">
        <v>296</v>
      </c>
      <c r="B29" s="104" t="s">
        <v>259</v>
      </c>
      <c r="C29" s="114"/>
      <c r="D29" s="104" t="s">
        <v>260</v>
      </c>
      <c r="E29" s="114"/>
    </row>
  </sheetData>
  <mergeCells count="3">
    <mergeCell ref="A1:E1"/>
    <mergeCell ref="B2:E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46F2-EF9D-42CC-85CF-AC96D7B27FDC}">
  <dimension ref="A1:G33"/>
  <sheetViews>
    <sheetView workbookViewId="0">
      <selection sqref="A1:G1"/>
    </sheetView>
  </sheetViews>
  <sheetFormatPr defaultRowHeight="15" x14ac:dyDescent="0.25"/>
  <cols>
    <col min="2" max="2" width="11.7109375" style="128" customWidth="1"/>
    <col min="3" max="3" width="24.7109375" customWidth="1"/>
    <col min="4" max="4" width="11.85546875" customWidth="1"/>
  </cols>
  <sheetData>
    <row r="1" spans="1:7" x14ac:dyDescent="0.25">
      <c r="A1" s="420" t="s">
        <v>728</v>
      </c>
      <c r="B1" s="420"/>
      <c r="C1" s="420"/>
      <c r="D1" s="420"/>
      <c r="E1" s="420"/>
      <c r="F1" s="420"/>
      <c r="G1" s="420"/>
    </row>
    <row r="2" spans="1:7" x14ac:dyDescent="0.25">
      <c r="A2" s="127" t="s">
        <v>297</v>
      </c>
    </row>
    <row r="3" spans="1:7" x14ac:dyDescent="0.25">
      <c r="A3" s="127" t="s">
        <v>298</v>
      </c>
    </row>
    <row r="4" spans="1:7" x14ac:dyDescent="0.25">
      <c r="A4" s="127"/>
    </row>
    <row r="5" spans="1:7" x14ac:dyDescent="0.25">
      <c r="A5" s="426" t="s">
        <v>299</v>
      </c>
      <c r="B5" s="426"/>
      <c r="C5" s="426"/>
      <c r="D5" s="426"/>
      <c r="E5" s="426"/>
      <c r="F5" s="129"/>
      <c r="G5" s="129"/>
    </row>
    <row r="6" spans="1:7" x14ac:dyDescent="0.25">
      <c r="B6" s="130"/>
      <c r="C6" s="131"/>
      <c r="D6" s="131"/>
    </row>
    <row r="8" spans="1:7" ht="15.75" thickBot="1" x14ac:dyDescent="0.3">
      <c r="C8" s="132"/>
      <c r="D8" s="133"/>
    </row>
    <row r="9" spans="1:7" x14ac:dyDescent="0.25">
      <c r="B9" s="134" t="s">
        <v>300</v>
      </c>
      <c r="C9" s="135" t="s">
        <v>191</v>
      </c>
      <c r="D9" s="136" t="s">
        <v>301</v>
      </c>
    </row>
    <row r="10" spans="1:7" x14ac:dyDescent="0.25">
      <c r="B10" s="137" t="s">
        <v>302</v>
      </c>
      <c r="C10" s="138" t="s">
        <v>303</v>
      </c>
      <c r="D10" s="139">
        <v>1</v>
      </c>
    </row>
    <row r="11" spans="1:7" x14ac:dyDescent="0.25">
      <c r="B11" s="140" t="s">
        <v>304</v>
      </c>
      <c r="C11" s="141" t="s">
        <v>305</v>
      </c>
      <c r="D11" s="142">
        <v>2.5</v>
      </c>
    </row>
    <row r="12" spans="1:7" x14ac:dyDescent="0.25">
      <c r="B12" s="143"/>
      <c r="C12" s="144" t="s">
        <v>306</v>
      </c>
      <c r="D12" s="145">
        <f>SUM(D10:D11)</f>
        <v>3.5</v>
      </c>
    </row>
    <row r="13" spans="1:7" x14ac:dyDescent="0.25">
      <c r="B13" s="140" t="s">
        <v>302</v>
      </c>
      <c r="C13" s="141" t="s">
        <v>307</v>
      </c>
      <c r="D13" s="146">
        <v>14.25</v>
      </c>
    </row>
    <row r="14" spans="1:7" x14ac:dyDescent="0.25">
      <c r="B14" s="140" t="s">
        <v>308</v>
      </c>
      <c r="C14" s="141" t="s">
        <v>309</v>
      </c>
      <c r="D14" s="146">
        <v>1.5</v>
      </c>
    </row>
    <row r="15" spans="1:7" x14ac:dyDescent="0.25">
      <c r="B15" s="143"/>
      <c r="C15" s="144" t="s">
        <v>310</v>
      </c>
      <c r="D15" s="147">
        <f>SUM(D13:D14)</f>
        <v>15.75</v>
      </c>
    </row>
    <row r="16" spans="1:7" x14ac:dyDescent="0.25">
      <c r="B16" s="140" t="s">
        <v>311</v>
      </c>
      <c r="C16" s="148" t="s">
        <v>312</v>
      </c>
      <c r="D16" s="146">
        <v>1</v>
      </c>
    </row>
    <row r="17" spans="2:4" x14ac:dyDescent="0.25">
      <c r="B17" s="140" t="s">
        <v>313</v>
      </c>
      <c r="C17" s="148" t="s">
        <v>314</v>
      </c>
      <c r="D17" s="146">
        <v>1</v>
      </c>
    </row>
    <row r="18" spans="2:4" x14ac:dyDescent="0.25">
      <c r="B18" s="140" t="s">
        <v>315</v>
      </c>
      <c r="C18" s="148" t="s">
        <v>316</v>
      </c>
      <c r="D18" s="146">
        <v>5</v>
      </c>
    </row>
    <row r="19" spans="2:4" x14ac:dyDescent="0.25">
      <c r="B19" s="140" t="s">
        <v>317</v>
      </c>
      <c r="C19" s="148" t="s">
        <v>318</v>
      </c>
      <c r="D19" s="146">
        <v>2</v>
      </c>
    </row>
    <row r="20" spans="2:4" x14ac:dyDescent="0.25">
      <c r="B20" s="140" t="s">
        <v>319</v>
      </c>
      <c r="C20" s="148" t="s">
        <v>320</v>
      </c>
      <c r="D20" s="146">
        <v>1</v>
      </c>
    </row>
    <row r="21" spans="2:4" x14ac:dyDescent="0.25">
      <c r="B21" s="140" t="s">
        <v>321</v>
      </c>
      <c r="C21" s="148" t="s">
        <v>322</v>
      </c>
      <c r="D21" s="146">
        <v>1</v>
      </c>
    </row>
    <row r="22" spans="2:4" x14ac:dyDescent="0.25">
      <c r="B22" s="140" t="s">
        <v>323</v>
      </c>
      <c r="C22" s="148" t="s">
        <v>324</v>
      </c>
      <c r="D22" s="146">
        <v>0.5</v>
      </c>
    </row>
    <row r="23" spans="2:4" x14ac:dyDescent="0.25">
      <c r="B23" s="140" t="s">
        <v>325</v>
      </c>
      <c r="C23" s="148" t="s">
        <v>326</v>
      </c>
      <c r="D23" s="146">
        <v>0.5</v>
      </c>
    </row>
    <row r="24" spans="2:4" x14ac:dyDescent="0.25">
      <c r="B24" s="143"/>
      <c r="C24" s="144" t="s">
        <v>327</v>
      </c>
      <c r="D24" s="147">
        <f>SUM(D16:D23)</f>
        <v>12</v>
      </c>
    </row>
    <row r="25" spans="2:4" x14ac:dyDescent="0.25">
      <c r="B25" s="140" t="s">
        <v>328</v>
      </c>
      <c r="C25" s="141" t="s">
        <v>329</v>
      </c>
      <c r="D25" s="146">
        <v>17</v>
      </c>
    </row>
    <row r="26" spans="2:4" x14ac:dyDescent="0.25">
      <c r="B26" s="143"/>
      <c r="C26" s="144" t="s">
        <v>330</v>
      </c>
      <c r="D26" s="147">
        <f>D25</f>
        <v>17</v>
      </c>
    </row>
    <row r="27" spans="2:4" ht="15.75" thickBot="1" x14ac:dyDescent="0.3">
      <c r="B27" s="149"/>
      <c r="C27" s="150" t="s">
        <v>331</v>
      </c>
      <c r="D27" s="151">
        <f>D12+D15+D24+D26</f>
        <v>48.25</v>
      </c>
    </row>
    <row r="33" spans="2:2" x14ac:dyDescent="0.25">
      <c r="B33" s="152"/>
    </row>
  </sheetData>
  <mergeCells count="2">
    <mergeCell ref="A1:G1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DBD10-FA94-4E02-AB6B-100FC8DD1AA5}">
  <dimension ref="A1:D17"/>
  <sheetViews>
    <sheetView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7.140625" customWidth="1"/>
    <col min="4" max="4" width="17.7109375" customWidth="1"/>
  </cols>
  <sheetData>
    <row r="1" spans="1:4" x14ac:dyDescent="0.25">
      <c r="A1" s="420" t="s">
        <v>729</v>
      </c>
      <c r="B1" s="420"/>
      <c r="C1" s="420"/>
      <c r="D1" s="420"/>
    </row>
    <row r="2" spans="1:4" ht="15.75" x14ac:dyDescent="0.3">
      <c r="A2" s="427" t="str">
        <f>'[3]1.'!A1</f>
        <v>Ják Község  Önkormányzata 2021. évi költségvetése</v>
      </c>
      <c r="B2" s="428"/>
      <c r="C2" s="428"/>
      <c r="D2" s="428"/>
    </row>
    <row r="3" spans="1:4" ht="15.75" x14ac:dyDescent="0.3">
      <c r="A3" s="429" t="s">
        <v>332</v>
      </c>
      <c r="B3" s="428"/>
      <c r="C3" s="428"/>
      <c r="D3" s="428"/>
    </row>
    <row r="4" spans="1:4" ht="23.25" x14ac:dyDescent="0.35">
      <c r="A4" s="153"/>
      <c r="B4" s="154"/>
      <c r="C4" s="155"/>
    </row>
    <row r="5" spans="1:4" ht="15.75" thickBot="1" x14ac:dyDescent="0.3">
      <c r="C5" s="132"/>
      <c r="D5" s="155"/>
    </row>
    <row r="6" spans="1:4" ht="15" customHeight="1" x14ac:dyDescent="0.25">
      <c r="A6" s="430" t="s">
        <v>31</v>
      </c>
      <c r="B6" s="432" t="s">
        <v>32</v>
      </c>
      <c r="C6" s="433" t="s">
        <v>192</v>
      </c>
      <c r="D6" s="434"/>
    </row>
    <row r="7" spans="1:4" x14ac:dyDescent="0.25">
      <c r="A7" s="431"/>
      <c r="B7" s="431"/>
      <c r="C7" s="156" t="s">
        <v>37</v>
      </c>
      <c r="D7" s="156" t="s">
        <v>38</v>
      </c>
    </row>
    <row r="8" spans="1:4" x14ac:dyDescent="0.25">
      <c r="A8" s="157"/>
      <c r="B8" s="157"/>
      <c r="C8" s="157"/>
      <c r="D8" s="157"/>
    </row>
    <row r="9" spans="1:4" x14ac:dyDescent="0.25">
      <c r="A9" s="157"/>
      <c r="B9" s="157"/>
      <c r="C9" s="157"/>
      <c r="D9" s="157"/>
    </row>
    <row r="10" spans="1:4" x14ac:dyDescent="0.25">
      <c r="A10" s="157"/>
      <c r="B10" s="157"/>
      <c r="C10" s="157"/>
      <c r="D10" s="157"/>
    </row>
    <row r="11" spans="1:4" x14ac:dyDescent="0.25">
      <c r="A11" s="157"/>
      <c r="B11" s="157"/>
      <c r="C11" s="157"/>
      <c r="D11" s="157"/>
    </row>
    <row r="12" spans="1:4" x14ac:dyDescent="0.25">
      <c r="A12" s="158" t="s">
        <v>333</v>
      </c>
      <c r="B12" s="159" t="s">
        <v>146</v>
      </c>
      <c r="C12" s="160">
        <v>5000000</v>
      </c>
      <c r="D12" s="160">
        <f>C12+66431652</f>
        <v>71431652</v>
      </c>
    </row>
    <row r="13" spans="1:4" x14ac:dyDescent="0.25">
      <c r="A13" s="161"/>
      <c r="B13" s="162"/>
      <c r="C13" s="157"/>
      <c r="D13" s="157"/>
    </row>
    <row r="14" spans="1:4" x14ac:dyDescent="0.25">
      <c r="A14" s="161"/>
      <c r="B14" s="162"/>
      <c r="C14" s="157"/>
      <c r="D14" s="157"/>
    </row>
    <row r="15" spans="1:4" x14ac:dyDescent="0.25">
      <c r="A15" s="161"/>
      <c r="B15" s="162"/>
      <c r="C15" s="157"/>
      <c r="D15" s="157"/>
    </row>
    <row r="16" spans="1:4" x14ac:dyDescent="0.25">
      <c r="A16" s="161"/>
      <c r="B16" s="162"/>
      <c r="C16" s="157"/>
      <c r="D16" s="157"/>
    </row>
    <row r="17" spans="1:4" x14ac:dyDescent="0.25">
      <c r="A17" s="158" t="s">
        <v>334</v>
      </c>
      <c r="B17" s="159" t="s">
        <v>146</v>
      </c>
      <c r="C17" s="160">
        <v>20000000</v>
      </c>
      <c r="D17" s="160">
        <f>20000000+2819572</f>
        <v>22819572</v>
      </c>
    </row>
  </sheetData>
  <mergeCells count="6">
    <mergeCell ref="A1:D1"/>
    <mergeCell ref="A2:D2"/>
    <mergeCell ref="A3:D3"/>
    <mergeCell ref="A6:A7"/>
    <mergeCell ref="B6:B7"/>
    <mergeCell ref="C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44BF-6BF7-4DA4-B995-76DE98E5F91E}">
  <dimension ref="A1:Q29"/>
  <sheetViews>
    <sheetView workbookViewId="0">
      <selection sqref="A1:O1"/>
    </sheetView>
  </sheetViews>
  <sheetFormatPr defaultRowHeight="15" x14ac:dyDescent="0.25"/>
  <cols>
    <col min="1" max="1" width="5.5703125" customWidth="1"/>
    <col min="2" max="2" width="20.85546875" style="195" customWidth="1"/>
    <col min="14" max="14" width="9.7109375" bestFit="1" customWidth="1"/>
    <col min="16" max="16" width="11.7109375" style="2" hidden="1" customWidth="1"/>
    <col min="17" max="17" width="11.28515625" hidden="1" customWidth="1"/>
  </cols>
  <sheetData>
    <row r="1" spans="1:17" x14ac:dyDescent="0.25">
      <c r="A1" s="435" t="s">
        <v>730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7" ht="15.75" x14ac:dyDescent="0.25">
      <c r="B2" s="163" t="str">
        <f>'[3]1.'!A1</f>
        <v>Ják Község  Önkormányzata 2021. évi költségvetése</v>
      </c>
    </row>
    <row r="4" spans="1:17" ht="15.75" x14ac:dyDescent="0.25">
      <c r="A4" s="436" t="s">
        <v>335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</row>
    <row r="5" spans="1:17" ht="16.5" thickBot="1" x14ac:dyDescent="0.3">
      <c r="A5" s="164"/>
      <c r="B5" s="165"/>
      <c r="C5" s="166"/>
      <c r="D5" s="166"/>
      <c r="E5" s="166"/>
      <c r="F5" s="166"/>
      <c r="G5" s="166"/>
      <c r="H5" s="166"/>
      <c r="I5" s="166"/>
      <c r="J5" s="166"/>
      <c r="K5" s="132"/>
      <c r="L5" s="166"/>
      <c r="M5" s="166"/>
      <c r="N5" s="166"/>
      <c r="O5" s="167"/>
    </row>
    <row r="6" spans="1:17" ht="24.75" thickBot="1" x14ac:dyDescent="0.3">
      <c r="A6" s="168" t="s">
        <v>336</v>
      </c>
      <c r="B6" s="169" t="s">
        <v>191</v>
      </c>
      <c r="C6" s="170" t="s">
        <v>337</v>
      </c>
      <c r="D6" s="170" t="s">
        <v>338</v>
      </c>
      <c r="E6" s="170" t="s">
        <v>339</v>
      </c>
      <c r="F6" s="170" t="s">
        <v>340</v>
      </c>
      <c r="G6" s="170" t="s">
        <v>341</v>
      </c>
      <c r="H6" s="170" t="s">
        <v>342</v>
      </c>
      <c r="I6" s="170" t="s">
        <v>343</v>
      </c>
      <c r="J6" s="170" t="s">
        <v>344</v>
      </c>
      <c r="K6" s="170" t="s">
        <v>345</v>
      </c>
      <c r="L6" s="170" t="s">
        <v>346</v>
      </c>
      <c r="M6" s="170" t="s">
        <v>347</v>
      </c>
      <c r="N6" s="170" t="s">
        <v>348</v>
      </c>
      <c r="O6" s="171" t="s">
        <v>349</v>
      </c>
    </row>
    <row r="7" spans="1:17" ht="15.75" thickBot="1" x14ac:dyDescent="0.3">
      <c r="A7" s="172" t="s">
        <v>206</v>
      </c>
      <c r="B7" s="438" t="s">
        <v>200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40"/>
      <c r="O7" s="441"/>
    </row>
    <row r="8" spans="1:17" ht="22.5" x14ac:dyDescent="0.25">
      <c r="A8" s="173" t="s">
        <v>209</v>
      </c>
      <c r="B8" s="174" t="s">
        <v>207</v>
      </c>
      <c r="C8" s="175">
        <f>P8/12</f>
        <v>23511469.583333332</v>
      </c>
      <c r="D8" s="175">
        <f>C8</f>
        <v>23511469.583333332</v>
      </c>
      <c r="E8" s="175">
        <f t="shared" ref="E8:M9" si="0">D8</f>
        <v>23511469.583333332</v>
      </c>
      <c r="F8" s="175">
        <f t="shared" si="0"/>
        <v>23511469.583333332</v>
      </c>
      <c r="G8" s="175">
        <f t="shared" si="0"/>
        <v>23511469.583333332</v>
      </c>
      <c r="H8" s="175">
        <f t="shared" si="0"/>
        <v>23511469.583333332</v>
      </c>
      <c r="I8" s="175">
        <f t="shared" si="0"/>
        <v>23511469.583333332</v>
      </c>
      <c r="J8" s="175">
        <f t="shared" si="0"/>
        <v>23511469.583333332</v>
      </c>
      <c r="K8" s="175">
        <f t="shared" si="0"/>
        <v>23511469.583333332</v>
      </c>
      <c r="L8" s="175">
        <f t="shared" si="0"/>
        <v>23511469.583333332</v>
      </c>
      <c r="M8" s="175">
        <f t="shared" si="0"/>
        <v>23511469.583333332</v>
      </c>
      <c r="N8" s="176">
        <f>P8-C8-D8-E8-F8-G8-H8-I8-J8-K8-L8-M8</f>
        <v>23511469.583333295</v>
      </c>
      <c r="O8" s="177">
        <f t="shared" ref="O8:O27" si="1">SUM(C8:N8)</f>
        <v>282137635</v>
      </c>
      <c r="P8" s="2">
        <f>SUM('[3]3.'!L14)</f>
        <v>282137635</v>
      </c>
      <c r="Q8" s="2">
        <f>P8-O8</f>
        <v>0</v>
      </c>
    </row>
    <row r="9" spans="1:17" ht="22.5" x14ac:dyDescent="0.25">
      <c r="A9" s="178" t="s">
        <v>203</v>
      </c>
      <c r="B9" s="179" t="s">
        <v>350</v>
      </c>
      <c r="C9" s="175">
        <f>P9/12</f>
        <v>2131680</v>
      </c>
      <c r="D9" s="176">
        <f>C9</f>
        <v>2131680</v>
      </c>
      <c r="E9" s="176">
        <f t="shared" si="0"/>
        <v>2131680</v>
      </c>
      <c r="F9" s="176">
        <f t="shared" si="0"/>
        <v>2131680</v>
      </c>
      <c r="G9" s="176">
        <f t="shared" si="0"/>
        <v>2131680</v>
      </c>
      <c r="H9" s="176">
        <f t="shared" si="0"/>
        <v>2131680</v>
      </c>
      <c r="I9" s="176">
        <f t="shared" si="0"/>
        <v>2131680</v>
      </c>
      <c r="J9" s="176">
        <f t="shared" si="0"/>
        <v>2131680</v>
      </c>
      <c r="K9" s="176">
        <f t="shared" si="0"/>
        <v>2131680</v>
      </c>
      <c r="L9" s="176">
        <f t="shared" si="0"/>
        <v>2131680</v>
      </c>
      <c r="M9" s="176">
        <f>L9</f>
        <v>2131680</v>
      </c>
      <c r="N9" s="176">
        <f t="shared" ref="N9:N16" si="2">P9-C9-D9-E9-F9-G9-H9-I9-J9-K9-L9-M9</f>
        <v>2131680</v>
      </c>
      <c r="O9" s="180">
        <f t="shared" si="1"/>
        <v>25580160</v>
      </c>
      <c r="P9" s="2">
        <f>SUM('[3]3.'!L19)</f>
        <v>25580160</v>
      </c>
      <c r="Q9" s="2">
        <f t="shared" ref="Q9:Q29" si="3">P9-O9</f>
        <v>0</v>
      </c>
    </row>
    <row r="10" spans="1:17" ht="22.5" x14ac:dyDescent="0.25">
      <c r="A10" s="178" t="s">
        <v>204</v>
      </c>
      <c r="B10" s="181" t="s">
        <v>351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76">
        <f t="shared" si="2"/>
        <v>0</v>
      </c>
      <c r="O10" s="183">
        <f t="shared" si="1"/>
        <v>0</v>
      </c>
      <c r="P10" s="2">
        <f>SUM('[3]3.'!M53)</f>
        <v>0</v>
      </c>
      <c r="Q10" s="2">
        <f t="shared" si="3"/>
        <v>0</v>
      </c>
    </row>
    <row r="11" spans="1:17" x14ac:dyDescent="0.25">
      <c r="A11" s="178" t="s">
        <v>205</v>
      </c>
      <c r="B11" s="179" t="s">
        <v>213</v>
      </c>
      <c r="C11" s="176">
        <v>500000</v>
      </c>
      <c r="D11" s="176">
        <v>500000</v>
      </c>
      <c r="E11" s="176">
        <v>12640000</v>
      </c>
      <c r="F11" s="176">
        <v>4800000</v>
      </c>
      <c r="G11" s="176">
        <v>3200000</v>
      </c>
      <c r="H11" s="176">
        <v>2000000</v>
      </c>
      <c r="I11" s="176">
        <v>2000000</v>
      </c>
      <c r="J11" s="176">
        <v>2000000</v>
      </c>
      <c r="K11" s="176">
        <v>12600000</v>
      </c>
      <c r="L11" s="176">
        <v>4200000</v>
      </c>
      <c r="M11" s="176">
        <v>3200000</v>
      </c>
      <c r="N11" s="176">
        <f t="shared" si="2"/>
        <v>4910000</v>
      </c>
      <c r="O11" s="180">
        <f t="shared" si="1"/>
        <v>52550000</v>
      </c>
      <c r="P11" s="2">
        <f>SUM('[3]3.'!L34)</f>
        <v>52550000</v>
      </c>
      <c r="Q11" s="2">
        <f t="shared" si="3"/>
        <v>0</v>
      </c>
    </row>
    <row r="12" spans="1:17" x14ac:dyDescent="0.25">
      <c r="A12" s="178" t="s">
        <v>217</v>
      </c>
      <c r="B12" s="179" t="s">
        <v>352</v>
      </c>
      <c r="C12" s="176">
        <f>P12/12</f>
        <v>4367350.916666667</v>
      </c>
      <c r="D12" s="176">
        <f>C12</f>
        <v>4367350.916666667</v>
      </c>
      <c r="E12" s="176">
        <f t="shared" ref="E12:M12" si="4">D12</f>
        <v>4367350.916666667</v>
      </c>
      <c r="F12" s="176">
        <f t="shared" si="4"/>
        <v>4367350.916666667</v>
      </c>
      <c r="G12" s="176">
        <f t="shared" si="4"/>
        <v>4367350.916666667</v>
      </c>
      <c r="H12" s="176">
        <f t="shared" si="4"/>
        <v>4367350.916666667</v>
      </c>
      <c r="I12" s="176">
        <f t="shared" si="4"/>
        <v>4367350.916666667</v>
      </c>
      <c r="J12" s="176">
        <f t="shared" si="4"/>
        <v>4367350.916666667</v>
      </c>
      <c r="K12" s="176">
        <f t="shared" si="4"/>
        <v>4367350.916666667</v>
      </c>
      <c r="L12" s="176">
        <f t="shared" si="4"/>
        <v>4367350.916666667</v>
      </c>
      <c r="M12" s="176">
        <f t="shared" si="4"/>
        <v>4367350.916666667</v>
      </c>
      <c r="N12" s="176">
        <f t="shared" si="2"/>
        <v>4367350.9166666688</v>
      </c>
      <c r="O12" s="180">
        <f t="shared" si="1"/>
        <v>52408211</v>
      </c>
      <c r="P12" s="2">
        <f>SUM('[3]3.'!L47)</f>
        <v>52408211</v>
      </c>
      <c r="Q12" s="2">
        <f t="shared" si="3"/>
        <v>0</v>
      </c>
    </row>
    <row r="13" spans="1:17" x14ac:dyDescent="0.25">
      <c r="A13" s="178" t="s">
        <v>219</v>
      </c>
      <c r="B13" s="179" t="s">
        <v>266</v>
      </c>
      <c r="C13" s="176">
        <f>P13/12-2567321</f>
        <v>4774937.083333333</v>
      </c>
      <c r="D13" s="176">
        <v>3274937</v>
      </c>
      <c r="E13" s="176"/>
      <c r="F13" s="176">
        <v>9640000</v>
      </c>
      <c r="G13" s="176">
        <v>9440000</v>
      </c>
      <c r="H13" s="176">
        <v>10640000</v>
      </c>
      <c r="I13" s="176">
        <v>10640000</v>
      </c>
      <c r="J13" s="176">
        <v>10640000</v>
      </c>
      <c r="K13" s="176"/>
      <c r="L13" s="176">
        <v>10400000</v>
      </c>
      <c r="M13" s="176">
        <v>10200000</v>
      </c>
      <c r="N13" s="176">
        <f t="shared" si="2"/>
        <v>8457222.9166666716</v>
      </c>
      <c r="O13" s="180">
        <f t="shared" si="1"/>
        <v>88107097</v>
      </c>
      <c r="P13" s="2">
        <f>'[3]1.'!B19</f>
        <v>88107097</v>
      </c>
      <c r="Q13" s="2">
        <f t="shared" si="3"/>
        <v>0</v>
      </c>
    </row>
    <row r="14" spans="1:17" ht="22.5" x14ac:dyDescent="0.25">
      <c r="A14" s="178" t="s">
        <v>221</v>
      </c>
      <c r="B14" s="179" t="s">
        <v>215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>
        <f t="shared" si="2"/>
        <v>0</v>
      </c>
      <c r="O14" s="180">
        <f t="shared" si="1"/>
        <v>0</v>
      </c>
      <c r="P14" s="2">
        <f>SUM('[3]3.'!M19)</f>
        <v>0</v>
      </c>
      <c r="Q14" s="2">
        <f t="shared" si="3"/>
        <v>0</v>
      </c>
    </row>
    <row r="15" spans="1:17" ht="22.5" x14ac:dyDescent="0.25">
      <c r="A15" s="178" t="s">
        <v>222</v>
      </c>
      <c r="B15" s="179" t="s">
        <v>353</v>
      </c>
      <c r="C15" s="176">
        <f>P15/12</f>
        <v>91740.166666666672</v>
      </c>
      <c r="D15" s="176">
        <f>C15</f>
        <v>91740.166666666672</v>
      </c>
      <c r="E15" s="176">
        <f t="shared" ref="E15:M16" si="5">D15</f>
        <v>91740.166666666672</v>
      </c>
      <c r="F15" s="176">
        <f t="shared" si="5"/>
        <v>91740.166666666672</v>
      </c>
      <c r="G15" s="176">
        <f t="shared" si="5"/>
        <v>91740.166666666672</v>
      </c>
      <c r="H15" s="176">
        <f t="shared" si="5"/>
        <v>91740.166666666672</v>
      </c>
      <c r="I15" s="176">
        <f t="shared" si="5"/>
        <v>91740.166666666672</v>
      </c>
      <c r="J15" s="176">
        <f t="shared" si="5"/>
        <v>91740.166666666672</v>
      </c>
      <c r="K15" s="176">
        <f t="shared" si="5"/>
        <v>91740.166666666672</v>
      </c>
      <c r="L15" s="176">
        <f t="shared" si="5"/>
        <v>91740.166666666672</v>
      </c>
      <c r="M15" s="176">
        <f t="shared" si="5"/>
        <v>91740.166666666672</v>
      </c>
      <c r="N15" s="176">
        <f t="shared" si="2"/>
        <v>91740.166666666817</v>
      </c>
      <c r="O15" s="180">
        <f t="shared" si="1"/>
        <v>1100882</v>
      </c>
      <c r="P15" s="2">
        <f>'[3]1.'!B24</f>
        <v>1100882</v>
      </c>
      <c r="Q15" s="2">
        <f t="shared" si="3"/>
        <v>0</v>
      </c>
    </row>
    <row r="16" spans="1:17" ht="15.75" thickBot="1" x14ac:dyDescent="0.3">
      <c r="A16" s="178" t="s">
        <v>223</v>
      </c>
      <c r="B16" s="179" t="s">
        <v>354</v>
      </c>
      <c r="C16" s="176">
        <f>P16/12</f>
        <v>1314369.3333333333</v>
      </c>
      <c r="D16" s="176">
        <f>C16</f>
        <v>1314369.3333333333</v>
      </c>
      <c r="E16" s="176">
        <f t="shared" si="5"/>
        <v>1314369.3333333333</v>
      </c>
      <c r="F16" s="176">
        <f t="shared" si="5"/>
        <v>1314369.3333333333</v>
      </c>
      <c r="G16" s="176">
        <f t="shared" si="5"/>
        <v>1314369.3333333333</v>
      </c>
      <c r="H16" s="176">
        <f t="shared" si="5"/>
        <v>1314369.3333333333</v>
      </c>
      <c r="I16" s="176">
        <f t="shared" si="5"/>
        <v>1314369.3333333333</v>
      </c>
      <c r="J16" s="176">
        <f t="shared" si="5"/>
        <v>1314369.3333333333</v>
      </c>
      <c r="K16" s="176">
        <f t="shared" si="5"/>
        <v>1314369.3333333333</v>
      </c>
      <c r="L16" s="176">
        <f t="shared" si="5"/>
        <v>1314369.3333333333</v>
      </c>
      <c r="M16" s="176">
        <f t="shared" si="5"/>
        <v>1314369.3333333333</v>
      </c>
      <c r="N16" s="184">
        <f t="shared" si="2"/>
        <v>1314369.3333333319</v>
      </c>
      <c r="O16" s="185">
        <f t="shared" si="1"/>
        <v>15772432</v>
      </c>
      <c r="P16" s="2">
        <f>SUM('[3]3.'!L85)</f>
        <v>15772432</v>
      </c>
      <c r="Q16" s="2">
        <f t="shared" si="3"/>
        <v>0</v>
      </c>
    </row>
    <row r="17" spans="1:17" ht="15.75" thickBot="1" x14ac:dyDescent="0.3">
      <c r="A17" s="172" t="s">
        <v>226</v>
      </c>
      <c r="B17" s="186" t="s">
        <v>355</v>
      </c>
      <c r="C17" s="187">
        <f t="shared" ref="C17:N17" si="6">SUM(C8:C16)</f>
        <v>36691547.083333336</v>
      </c>
      <c r="D17" s="187">
        <f t="shared" si="6"/>
        <v>35191547</v>
      </c>
      <c r="E17" s="187">
        <f t="shared" si="6"/>
        <v>44056609.999999993</v>
      </c>
      <c r="F17" s="187">
        <f t="shared" si="6"/>
        <v>45856610</v>
      </c>
      <c r="G17" s="187">
        <f t="shared" si="6"/>
        <v>44056610</v>
      </c>
      <c r="H17" s="187">
        <f t="shared" si="6"/>
        <v>44056610</v>
      </c>
      <c r="I17" s="187">
        <f t="shared" si="6"/>
        <v>44056610</v>
      </c>
      <c r="J17" s="187">
        <f t="shared" si="6"/>
        <v>44056610</v>
      </c>
      <c r="K17" s="187">
        <f t="shared" si="6"/>
        <v>44016609.999999993</v>
      </c>
      <c r="L17" s="187">
        <f t="shared" si="6"/>
        <v>46016610</v>
      </c>
      <c r="M17" s="187">
        <f t="shared" si="6"/>
        <v>44816610</v>
      </c>
      <c r="N17" s="187">
        <f t="shared" si="6"/>
        <v>44783832.916666627</v>
      </c>
      <c r="O17" s="188">
        <f>SUM(O8:O16)</f>
        <v>517656417</v>
      </c>
      <c r="P17" s="189">
        <f>SUM(P8:P16)</f>
        <v>517656417</v>
      </c>
      <c r="Q17" s="2">
        <f t="shared" si="3"/>
        <v>0</v>
      </c>
    </row>
    <row r="18" spans="1:17" ht="15.75" thickBot="1" x14ac:dyDescent="0.3">
      <c r="A18" s="172" t="s">
        <v>229</v>
      </c>
      <c r="B18" s="438" t="s">
        <v>201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41"/>
      <c r="Q18" s="2">
        <f t="shared" si="3"/>
        <v>0</v>
      </c>
    </row>
    <row r="19" spans="1:17" x14ac:dyDescent="0.25">
      <c r="A19" s="190" t="s">
        <v>232</v>
      </c>
      <c r="B19" s="181" t="s">
        <v>208</v>
      </c>
      <c r="C19" s="182">
        <f>P19/12</f>
        <v>17445281.25</v>
      </c>
      <c r="D19" s="182">
        <f>C19</f>
        <v>17445281.25</v>
      </c>
      <c r="E19" s="182">
        <f t="shared" ref="E19:M21" si="7">D19</f>
        <v>17445281.25</v>
      </c>
      <c r="F19" s="182">
        <f t="shared" si="7"/>
        <v>17445281.25</v>
      </c>
      <c r="G19" s="182">
        <f t="shared" si="7"/>
        <v>17445281.25</v>
      </c>
      <c r="H19" s="182">
        <f t="shared" si="7"/>
        <v>17445281.25</v>
      </c>
      <c r="I19" s="182">
        <f t="shared" si="7"/>
        <v>17445281.25</v>
      </c>
      <c r="J19" s="182">
        <f t="shared" si="7"/>
        <v>17445281.25</v>
      </c>
      <c r="K19" s="182">
        <f t="shared" si="7"/>
        <v>17445281.25</v>
      </c>
      <c r="L19" s="182">
        <f t="shared" si="7"/>
        <v>17445281.25</v>
      </c>
      <c r="M19" s="182">
        <f t="shared" si="7"/>
        <v>17445281.25</v>
      </c>
      <c r="N19" s="184">
        <f>P19-C19-D19-E19-F19-G19-H19-I19-J19-K19-L19-M19+3</f>
        <v>17445284.25</v>
      </c>
      <c r="O19" s="183">
        <f>SUM(C19:N19)-3</f>
        <v>209343375</v>
      </c>
      <c r="P19" s="2">
        <f>SUM('[3]2.'!O25)</f>
        <v>209343375</v>
      </c>
      <c r="Q19" s="2">
        <f t="shared" si="3"/>
        <v>0</v>
      </c>
    </row>
    <row r="20" spans="1:17" ht="33.75" x14ac:dyDescent="0.25">
      <c r="A20" s="178" t="s">
        <v>235</v>
      </c>
      <c r="B20" s="179" t="s">
        <v>211</v>
      </c>
      <c r="C20" s="176">
        <f>P20/12</f>
        <v>2777937.5</v>
      </c>
      <c r="D20" s="176">
        <f>C20</f>
        <v>2777937.5</v>
      </c>
      <c r="E20" s="176">
        <f t="shared" si="7"/>
        <v>2777937.5</v>
      </c>
      <c r="F20" s="176">
        <f t="shared" si="7"/>
        <v>2777937.5</v>
      </c>
      <c r="G20" s="176">
        <f t="shared" si="7"/>
        <v>2777937.5</v>
      </c>
      <c r="H20" s="176">
        <f t="shared" si="7"/>
        <v>2777937.5</v>
      </c>
      <c r="I20" s="176">
        <f t="shared" si="7"/>
        <v>2777937.5</v>
      </c>
      <c r="J20" s="176">
        <f t="shared" si="7"/>
        <v>2777937.5</v>
      </c>
      <c r="K20" s="176">
        <f t="shared" si="7"/>
        <v>2777937.5</v>
      </c>
      <c r="L20" s="176">
        <f t="shared" si="7"/>
        <v>2777937.5</v>
      </c>
      <c r="M20" s="176">
        <f t="shared" si="7"/>
        <v>2777937.5</v>
      </c>
      <c r="N20" s="184">
        <f>P20-C20-D20-E20-F20-G20-H20-I20-J20-K20-L20-M20-6</f>
        <v>2777931.5</v>
      </c>
      <c r="O20" s="180">
        <f>SUM(C20:N20)+6</f>
        <v>33335250</v>
      </c>
      <c r="P20" s="2">
        <f>SUM('[3]2.'!O26)</f>
        <v>33335250</v>
      </c>
      <c r="Q20" s="2">
        <f t="shared" si="3"/>
        <v>0</v>
      </c>
    </row>
    <row r="21" spans="1:17" x14ac:dyDescent="0.25">
      <c r="A21" s="178" t="s">
        <v>238</v>
      </c>
      <c r="B21" s="179" t="s">
        <v>356</v>
      </c>
      <c r="C21" s="176">
        <f>P21/12-166667</f>
        <v>11023328.083333334</v>
      </c>
      <c r="D21" s="176">
        <f>C21</f>
        <v>11023328.083333334</v>
      </c>
      <c r="E21" s="176">
        <f t="shared" si="7"/>
        <v>11023328.083333334</v>
      </c>
      <c r="F21" s="176">
        <f t="shared" si="7"/>
        <v>11023328.083333334</v>
      </c>
      <c r="G21" s="176">
        <f t="shared" si="7"/>
        <v>11023328.083333334</v>
      </c>
      <c r="H21" s="176">
        <f t="shared" si="7"/>
        <v>11023328.083333334</v>
      </c>
      <c r="I21" s="176">
        <f t="shared" si="7"/>
        <v>11023328.083333334</v>
      </c>
      <c r="J21" s="176">
        <f t="shared" si="7"/>
        <v>11023328.083333334</v>
      </c>
      <c r="K21" s="176">
        <f t="shared" si="7"/>
        <v>11023328.083333334</v>
      </c>
      <c r="L21" s="176">
        <f t="shared" si="7"/>
        <v>11023328.083333334</v>
      </c>
      <c r="M21" s="176">
        <f t="shared" si="7"/>
        <v>11023328.083333334</v>
      </c>
      <c r="N21" s="184">
        <f>P21-C21-D21-E21-F21-G21-H21-I21-J21-K21-L21-M21+1</f>
        <v>13023333.083333353</v>
      </c>
      <c r="O21" s="180">
        <f>SUM(C21:N21)-1</f>
        <v>134279941</v>
      </c>
      <c r="P21" s="2">
        <f>SUM('[3]2.'!O51)</f>
        <v>134279941</v>
      </c>
      <c r="Q21" s="2">
        <f t="shared" si="3"/>
        <v>0</v>
      </c>
    </row>
    <row r="22" spans="1:17" x14ac:dyDescent="0.25">
      <c r="A22" s="178" t="s">
        <v>241</v>
      </c>
      <c r="B22" s="179" t="s">
        <v>214</v>
      </c>
      <c r="C22" s="176">
        <v>695000</v>
      </c>
      <c r="D22" s="176">
        <v>695000</v>
      </c>
      <c r="E22" s="176">
        <v>695000</v>
      </c>
      <c r="F22" s="176">
        <v>1495000</v>
      </c>
      <c r="G22" s="176">
        <v>695000</v>
      </c>
      <c r="H22" s="176">
        <v>695000</v>
      </c>
      <c r="I22" s="176">
        <v>695000</v>
      </c>
      <c r="J22" s="176">
        <v>695000</v>
      </c>
      <c r="K22" s="176">
        <v>695000</v>
      </c>
      <c r="L22" s="176">
        <v>695000</v>
      </c>
      <c r="M22" s="176">
        <v>1495000</v>
      </c>
      <c r="N22" s="184">
        <f t="shared" ref="N22:N27" si="8">P22-C22-D22-E22-F22-G22-H22-I22-J22-K22-L22-M22</f>
        <v>685000</v>
      </c>
      <c r="O22" s="180">
        <f t="shared" si="1"/>
        <v>9930000</v>
      </c>
      <c r="P22" s="2">
        <f>SUM('[3]2.'!O52)</f>
        <v>9930000</v>
      </c>
      <c r="Q22" s="2">
        <f t="shared" si="3"/>
        <v>0</v>
      </c>
    </row>
    <row r="23" spans="1:17" ht="22.5" x14ac:dyDescent="0.25">
      <c r="A23" s="178" t="s">
        <v>244</v>
      </c>
      <c r="B23" s="179" t="s">
        <v>357</v>
      </c>
      <c r="C23" s="176">
        <f>P23/12</f>
        <v>2750000</v>
      </c>
      <c r="D23" s="176">
        <f>C23</f>
        <v>2750000</v>
      </c>
      <c r="E23" s="176">
        <f t="shared" ref="E23:M23" si="9">D23</f>
        <v>2750000</v>
      </c>
      <c r="F23" s="176">
        <f t="shared" si="9"/>
        <v>2750000</v>
      </c>
      <c r="G23" s="176">
        <f t="shared" si="9"/>
        <v>2750000</v>
      </c>
      <c r="H23" s="176">
        <f t="shared" si="9"/>
        <v>2750000</v>
      </c>
      <c r="I23" s="176">
        <f t="shared" si="9"/>
        <v>2750000</v>
      </c>
      <c r="J23" s="176">
        <f t="shared" si="9"/>
        <v>2750000</v>
      </c>
      <c r="K23" s="176">
        <f t="shared" si="9"/>
        <v>2750000</v>
      </c>
      <c r="L23" s="176">
        <f t="shared" si="9"/>
        <v>2750000</v>
      </c>
      <c r="M23" s="176">
        <f t="shared" si="9"/>
        <v>2750000</v>
      </c>
      <c r="N23" s="184">
        <f t="shared" si="8"/>
        <v>2750000</v>
      </c>
      <c r="O23" s="180">
        <f t="shared" si="1"/>
        <v>33000000</v>
      </c>
      <c r="P23" s="2">
        <f>SUM('[3]2.'!O61)</f>
        <v>33000000</v>
      </c>
      <c r="Q23" s="2">
        <f t="shared" si="3"/>
        <v>0</v>
      </c>
    </row>
    <row r="24" spans="1:17" x14ac:dyDescent="0.25">
      <c r="A24" s="178" t="s">
        <v>247</v>
      </c>
      <c r="B24" s="179" t="s">
        <v>263</v>
      </c>
      <c r="C24" s="176">
        <v>2000000</v>
      </c>
      <c r="D24" s="176">
        <v>500000</v>
      </c>
      <c r="E24" s="176">
        <v>1300000</v>
      </c>
      <c r="F24" s="176">
        <v>1300000</v>
      </c>
      <c r="G24" s="176">
        <v>1300000</v>
      </c>
      <c r="H24" s="176">
        <v>1300000</v>
      </c>
      <c r="I24" s="176">
        <v>1300000</v>
      </c>
      <c r="J24" s="176">
        <v>1300000</v>
      </c>
      <c r="K24" s="176">
        <v>1300000</v>
      </c>
      <c r="L24" s="176">
        <v>1300000</v>
      </c>
      <c r="M24" s="176">
        <v>1300000</v>
      </c>
      <c r="N24" s="184">
        <f t="shared" si="8"/>
        <v>2162500</v>
      </c>
      <c r="O24" s="180">
        <f t="shared" si="1"/>
        <v>16362500</v>
      </c>
      <c r="P24" s="2">
        <f>SUM('[3]2.'!O70)</f>
        <v>16362500</v>
      </c>
      <c r="Q24" s="2">
        <f t="shared" si="3"/>
        <v>0</v>
      </c>
    </row>
    <row r="25" spans="1:17" x14ac:dyDescent="0.25">
      <c r="A25" s="178" t="s">
        <v>249</v>
      </c>
      <c r="B25" s="179" t="s">
        <v>267</v>
      </c>
      <c r="C25" s="176">
        <v>0</v>
      </c>
      <c r="D25" s="176">
        <v>0</v>
      </c>
      <c r="E25" s="176">
        <v>8065063</v>
      </c>
      <c r="F25" s="176">
        <f>E25</f>
        <v>8065063</v>
      </c>
      <c r="G25" s="176">
        <f t="shared" ref="G25:M25" si="10">F25</f>
        <v>8065063</v>
      </c>
      <c r="H25" s="176">
        <f t="shared" si="10"/>
        <v>8065063</v>
      </c>
      <c r="I25" s="176">
        <f t="shared" si="10"/>
        <v>8065063</v>
      </c>
      <c r="J25" s="176">
        <f t="shared" si="10"/>
        <v>8065063</v>
      </c>
      <c r="K25" s="176">
        <v>8025063</v>
      </c>
      <c r="L25" s="176">
        <f t="shared" si="10"/>
        <v>8025063</v>
      </c>
      <c r="M25" s="176">
        <f t="shared" si="10"/>
        <v>8025063</v>
      </c>
      <c r="N25" s="184">
        <f>P25-C25-D25-E25-F25-G25-H25-I25-J25-K25-L25-M25</f>
        <v>5939784</v>
      </c>
      <c r="O25" s="180">
        <f>SUM(C25:N25)</f>
        <v>78405351</v>
      </c>
      <c r="P25" s="2">
        <f>SUM('[3]2.'!O75)</f>
        <v>78405351</v>
      </c>
      <c r="Q25" s="2">
        <f t="shared" si="3"/>
        <v>0</v>
      </c>
    </row>
    <row r="26" spans="1:17" x14ac:dyDescent="0.25">
      <c r="A26" s="178" t="s">
        <v>252</v>
      </c>
      <c r="B26" s="179" t="s">
        <v>271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84">
        <f t="shared" si="8"/>
        <v>0</v>
      </c>
      <c r="O26" s="180">
        <f t="shared" si="1"/>
        <v>0</v>
      </c>
      <c r="P26" s="2">
        <f>SUM('[3]2.'!O77)</f>
        <v>0</v>
      </c>
      <c r="Q26" s="2">
        <f t="shared" si="3"/>
        <v>0</v>
      </c>
    </row>
    <row r="27" spans="1:17" ht="15.75" thickBot="1" x14ac:dyDescent="0.3">
      <c r="A27" s="178" t="s">
        <v>255</v>
      </c>
      <c r="B27" s="179" t="s">
        <v>358</v>
      </c>
      <c r="C27" s="176"/>
      <c r="D27" s="176"/>
      <c r="E27" s="176"/>
      <c r="F27" s="176">
        <v>1000000</v>
      </c>
      <c r="G27" s="176"/>
      <c r="H27" s="176"/>
      <c r="I27" s="176"/>
      <c r="J27" s="176"/>
      <c r="K27" s="176"/>
      <c r="L27" s="176">
        <v>2000000</v>
      </c>
      <c r="M27" s="176"/>
      <c r="N27" s="184">
        <f t="shared" si="8"/>
        <v>0</v>
      </c>
      <c r="O27" s="180">
        <f t="shared" si="1"/>
        <v>3000000</v>
      </c>
      <c r="P27" s="2">
        <f>SUM('[3]2.'!O83)</f>
        <v>3000000</v>
      </c>
      <c r="Q27" s="2">
        <f t="shared" si="3"/>
        <v>0</v>
      </c>
    </row>
    <row r="28" spans="1:17" ht="15.75" thickBot="1" x14ac:dyDescent="0.3">
      <c r="A28" s="191" t="s">
        <v>258</v>
      </c>
      <c r="B28" s="186" t="s">
        <v>359</v>
      </c>
      <c r="C28" s="187">
        <f t="shared" ref="C28:M28" si="11">SUM(C19:C27)</f>
        <v>36691546.833333336</v>
      </c>
      <c r="D28" s="187">
        <f t="shared" si="11"/>
        <v>35191546.833333336</v>
      </c>
      <c r="E28" s="187">
        <f t="shared" si="11"/>
        <v>44056609.833333336</v>
      </c>
      <c r="F28" s="187">
        <f t="shared" si="11"/>
        <v>45856609.833333336</v>
      </c>
      <c r="G28" s="187">
        <f t="shared" si="11"/>
        <v>44056609.833333336</v>
      </c>
      <c r="H28" s="187">
        <f t="shared" si="11"/>
        <v>44056609.833333336</v>
      </c>
      <c r="I28" s="187">
        <f t="shared" si="11"/>
        <v>44056609.833333336</v>
      </c>
      <c r="J28" s="187">
        <f t="shared" si="11"/>
        <v>44056609.833333336</v>
      </c>
      <c r="K28" s="187">
        <f t="shared" si="11"/>
        <v>44016609.833333336</v>
      </c>
      <c r="L28" s="187">
        <f t="shared" si="11"/>
        <v>46016609.833333336</v>
      </c>
      <c r="M28" s="187">
        <f t="shared" si="11"/>
        <v>44816609.833333336</v>
      </c>
      <c r="N28" s="187">
        <f>SUM(N19:N27)</f>
        <v>44783832.833333351</v>
      </c>
      <c r="O28" s="188">
        <f>SUM(O19:O27)</f>
        <v>517656417</v>
      </c>
      <c r="P28" s="3">
        <f>SUM(P19:P27)</f>
        <v>517656417</v>
      </c>
      <c r="Q28" s="2">
        <f t="shared" si="3"/>
        <v>0</v>
      </c>
    </row>
    <row r="29" spans="1:17" ht="15.75" thickBot="1" x14ac:dyDescent="0.3">
      <c r="A29" s="191" t="s">
        <v>295</v>
      </c>
      <c r="B29" s="192" t="s">
        <v>360</v>
      </c>
      <c r="C29" s="193">
        <f t="shared" ref="C29:O29" si="12">C17-C28</f>
        <v>0.25</v>
      </c>
      <c r="D29" s="193">
        <f t="shared" si="12"/>
        <v>0.1666666641831398</v>
      </c>
      <c r="E29" s="193">
        <f t="shared" si="12"/>
        <v>0.1666666567325592</v>
      </c>
      <c r="F29" s="193">
        <f t="shared" si="12"/>
        <v>0.1666666641831398</v>
      </c>
      <c r="G29" s="193">
        <f t="shared" si="12"/>
        <v>0.1666666641831398</v>
      </c>
      <c r="H29" s="193">
        <f t="shared" si="12"/>
        <v>0.1666666641831398</v>
      </c>
      <c r="I29" s="193">
        <f t="shared" si="12"/>
        <v>0.1666666641831398</v>
      </c>
      <c r="J29" s="193">
        <f t="shared" si="12"/>
        <v>0.1666666641831398</v>
      </c>
      <c r="K29" s="193">
        <f t="shared" si="12"/>
        <v>0.1666666567325592</v>
      </c>
      <c r="L29" s="193">
        <f t="shared" si="12"/>
        <v>0.1666666641831398</v>
      </c>
      <c r="M29" s="193">
        <f t="shared" si="12"/>
        <v>0.1666666641831398</v>
      </c>
      <c r="N29" s="193">
        <f t="shared" si="12"/>
        <v>8.3333276212215424E-2</v>
      </c>
      <c r="O29" s="194">
        <f t="shared" si="12"/>
        <v>0</v>
      </c>
      <c r="P29" s="2">
        <f>SUM(P17-P28)</f>
        <v>0</v>
      </c>
      <c r="Q29" s="2">
        <f t="shared" si="3"/>
        <v>0</v>
      </c>
    </row>
  </sheetData>
  <mergeCells count="4">
    <mergeCell ref="A1:O1"/>
    <mergeCell ref="A4:O4"/>
    <mergeCell ref="B7:O7"/>
    <mergeCell ref="B18:O18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</vt:i4>
      </vt:variant>
    </vt:vector>
  </HeadingPairs>
  <TitlesOfParts>
    <vt:vector size="21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'3.'!Nyomtatási_terület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2021-08-10T12:13:05Z</cp:lastPrinted>
  <dcterms:created xsi:type="dcterms:W3CDTF">2021-06-09T09:24:31Z</dcterms:created>
  <dcterms:modified xsi:type="dcterms:W3CDTF">2021-08-12T08:29:56Z</dcterms:modified>
</cp:coreProperties>
</file>