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13_ncr:1_{276B298A-3958-448F-B7D1-B9D4BACB50D7}" xr6:coauthVersionLast="46" xr6:coauthVersionMax="46" xr10:uidLastSave="{00000000-0000-0000-0000-000000000000}"/>
  <bookViews>
    <workbookView xWindow="-120" yWindow="-120" windowWidth="19440" windowHeight="15000" tabRatio="903" xr2:uid="{00000000-000D-0000-FFFF-FFFF00000000}"/>
  </bookViews>
  <sheets>
    <sheet name="3. melléklet  " sheetId="86" r:id="rId1"/>
  </sheets>
  <definedNames>
    <definedName name="_xlnm.Print_Titles" localSheetId="0">'3. melléklet  '!$A:$A</definedName>
    <definedName name="_xlnm.Print_Area" localSheetId="0">'3. melléklet  '!$A$1:$CY$57</definedName>
  </definedNames>
  <calcPr calcId="181029"/>
</workbook>
</file>

<file path=xl/calcChain.xml><?xml version="1.0" encoding="utf-8"?>
<calcChain xmlns="http://schemas.openxmlformats.org/spreadsheetml/2006/main">
  <c r="CC57" i="86" l="1"/>
  <c r="BT57" i="86"/>
  <c r="BS57" i="86"/>
  <c r="BR57" i="86"/>
  <c r="BQ57" i="86"/>
  <c r="BM57" i="86"/>
  <c r="BI57" i="86"/>
  <c r="BB57" i="86"/>
  <c r="BA57" i="86"/>
  <c r="AV57" i="86"/>
  <c r="AR57" i="86"/>
  <c r="AN57" i="86"/>
  <c r="AJ57" i="86"/>
  <c r="AG57" i="86"/>
  <c r="AU57" i="86" s="1"/>
  <c r="AC57" i="86"/>
  <c r="AQ57" i="86" s="1"/>
  <c r="Y57" i="86"/>
  <c r="AM57" i="86" s="1"/>
  <c r="AO57" i="86" s="1"/>
  <c r="U57" i="86"/>
  <c r="AI57" i="86" s="1"/>
  <c r="Q57" i="86"/>
  <c r="M57" i="86"/>
  <c r="I57" i="86"/>
  <c r="E57" i="86"/>
  <c r="CB56" i="86"/>
  <c r="CC56" i="86" s="1"/>
  <c r="BT56" i="86"/>
  <c r="BS56" i="86"/>
  <c r="BR56" i="86"/>
  <c r="BQ56" i="86"/>
  <c r="BM56" i="86"/>
  <c r="BI56" i="86"/>
  <c r="BD56" i="86"/>
  <c r="BC56" i="86"/>
  <c r="BB56" i="86"/>
  <c r="BA56" i="86"/>
  <c r="AW56" i="86"/>
  <c r="AS56" i="86"/>
  <c r="AO56" i="86"/>
  <c r="AK56" i="86"/>
  <c r="AG56" i="86"/>
  <c r="AC56" i="86"/>
  <c r="Y56" i="86"/>
  <c r="U56" i="86"/>
  <c r="Q56" i="86"/>
  <c r="M56" i="86"/>
  <c r="I56" i="86"/>
  <c r="E56" i="86"/>
  <c r="CB55" i="86"/>
  <c r="CC55" i="86" s="1"/>
  <c r="BT55" i="86"/>
  <c r="BS55" i="86"/>
  <c r="BU55" i="86" s="1"/>
  <c r="BR55" i="86"/>
  <c r="BQ55" i="86"/>
  <c r="BM55" i="86"/>
  <c r="BI55" i="86"/>
  <c r="BD55" i="86"/>
  <c r="BC55" i="86"/>
  <c r="BB55" i="86"/>
  <c r="BA55" i="86"/>
  <c r="AW55" i="86"/>
  <c r="AS55" i="86"/>
  <c r="AO55" i="86"/>
  <c r="AK55" i="86"/>
  <c r="AG55" i="86"/>
  <c r="AC55" i="86"/>
  <c r="Y55" i="86"/>
  <c r="U55" i="86"/>
  <c r="Q55" i="86"/>
  <c r="M55" i="86"/>
  <c r="I55" i="86"/>
  <c r="E55" i="86"/>
  <c r="CA54" i="86"/>
  <c r="BZ54" i="86"/>
  <c r="BP54" i="86"/>
  <c r="BO54" i="86"/>
  <c r="BQ54" i="86" s="1"/>
  <c r="BN54" i="86"/>
  <c r="BL54" i="86"/>
  <c r="BK54" i="86"/>
  <c r="BJ54" i="86"/>
  <c r="BH54" i="86"/>
  <c r="BG54" i="86"/>
  <c r="BI54" i="86" s="1"/>
  <c r="BF54" i="86"/>
  <c r="AZ54" i="86"/>
  <c r="AY54" i="86"/>
  <c r="AX54" i="86"/>
  <c r="AV54" i="86"/>
  <c r="AU54" i="86"/>
  <c r="AT54" i="86"/>
  <c r="AR54" i="86"/>
  <c r="AQ54" i="86"/>
  <c r="AP54" i="86"/>
  <c r="AN54" i="86"/>
  <c r="AM54" i="86"/>
  <c r="AL54" i="86"/>
  <c r="AJ54" i="86"/>
  <c r="AI54" i="86"/>
  <c r="AH54" i="86"/>
  <c r="AF54" i="86"/>
  <c r="AE54" i="86"/>
  <c r="AD54" i="86"/>
  <c r="AB54" i="86"/>
  <c r="AA54" i="86"/>
  <c r="Z54" i="86"/>
  <c r="X54" i="86"/>
  <c r="W54" i="86"/>
  <c r="V54" i="86"/>
  <c r="T54" i="86"/>
  <c r="S54" i="86"/>
  <c r="R54" i="86"/>
  <c r="P54" i="86"/>
  <c r="O54" i="86"/>
  <c r="N54" i="86"/>
  <c r="L54" i="86"/>
  <c r="K54" i="86"/>
  <c r="J54" i="86"/>
  <c r="H54" i="86"/>
  <c r="G54" i="86"/>
  <c r="F54" i="86"/>
  <c r="D54" i="86"/>
  <c r="C54" i="86"/>
  <c r="B54" i="86"/>
  <c r="CY53" i="86"/>
  <c r="CU51" i="86"/>
  <c r="CQ51" i="86"/>
  <c r="CN51" i="86"/>
  <c r="CM51" i="86"/>
  <c r="BV51" i="86"/>
  <c r="BT51" i="86"/>
  <c r="BS51" i="86"/>
  <c r="BR51" i="86"/>
  <c r="BQ51" i="86"/>
  <c r="BM51" i="86"/>
  <c r="BI51" i="86"/>
  <c r="BD51" i="86"/>
  <c r="BC51" i="86"/>
  <c r="BE51" i="86" s="1"/>
  <c r="BB51" i="86"/>
  <c r="BA51" i="86"/>
  <c r="AW51" i="86"/>
  <c r="AS51" i="86"/>
  <c r="AO51" i="86"/>
  <c r="AK51" i="86"/>
  <c r="AG51" i="86"/>
  <c r="AC51" i="86"/>
  <c r="Y51" i="86"/>
  <c r="U51" i="86"/>
  <c r="Q51" i="86"/>
  <c r="M51" i="86"/>
  <c r="I51" i="86"/>
  <c r="E51" i="86"/>
  <c r="CU48" i="86"/>
  <c r="CR48" i="86"/>
  <c r="CQ48" i="86"/>
  <c r="CS48" i="86" s="1"/>
  <c r="CM48" i="86"/>
  <c r="CN48" i="86" s="1"/>
  <c r="CO48" i="86" s="1"/>
  <c r="CC48" i="86"/>
  <c r="BT48" i="86"/>
  <c r="BS48" i="86"/>
  <c r="BR48" i="86"/>
  <c r="BQ48" i="86"/>
  <c r="BM48" i="86"/>
  <c r="BI48" i="86"/>
  <c r="BD48" i="86"/>
  <c r="BE48" i="86" s="1"/>
  <c r="BC48" i="86"/>
  <c r="BB48" i="86"/>
  <c r="BA48" i="86"/>
  <c r="AW48" i="86"/>
  <c r="AS48" i="86"/>
  <c r="AO48" i="86"/>
  <c r="AK48" i="86"/>
  <c r="AG48" i="86"/>
  <c r="AC48" i="86"/>
  <c r="Y48" i="86"/>
  <c r="U48" i="86"/>
  <c r="Q48" i="86"/>
  <c r="M48" i="86"/>
  <c r="I48" i="86"/>
  <c r="E48" i="86"/>
  <c r="CV47" i="86"/>
  <c r="CU47" i="86"/>
  <c r="CW47" i="86" s="1"/>
  <c r="CS47" i="86"/>
  <c r="CQ47" i="86"/>
  <c r="CN47" i="86"/>
  <c r="CO47" i="86" s="1"/>
  <c r="CM47" i="86"/>
  <c r="CC47" i="86"/>
  <c r="BT47" i="86"/>
  <c r="BS47" i="86"/>
  <c r="BR47" i="86"/>
  <c r="BQ47" i="86"/>
  <c r="BM47" i="86"/>
  <c r="BI47" i="86"/>
  <c r="BD47" i="86"/>
  <c r="BC47" i="86"/>
  <c r="BB47" i="86"/>
  <c r="BA47" i="86"/>
  <c r="AW47" i="86"/>
  <c r="AS47" i="86"/>
  <c r="AO47" i="86"/>
  <c r="AK47" i="86"/>
  <c r="AG47" i="86"/>
  <c r="AC47" i="86"/>
  <c r="Y47" i="86"/>
  <c r="U47" i="86"/>
  <c r="Q47" i="86"/>
  <c r="M47" i="86"/>
  <c r="I47" i="86"/>
  <c r="E47" i="86"/>
  <c r="CU46" i="86"/>
  <c r="CW46" i="86" s="1"/>
  <c r="CQ46" i="86"/>
  <c r="CM46" i="86"/>
  <c r="CC46" i="86"/>
  <c r="BT46" i="86"/>
  <c r="BS46" i="86"/>
  <c r="BU46" i="86" s="1"/>
  <c r="BR46" i="86"/>
  <c r="BQ46" i="86"/>
  <c r="BM46" i="86"/>
  <c r="BI46" i="86"/>
  <c r="BD46" i="86"/>
  <c r="BC46" i="86"/>
  <c r="BB46" i="86"/>
  <c r="BA46" i="86"/>
  <c r="AW46" i="86"/>
  <c r="AS46" i="86"/>
  <c r="AO46" i="86"/>
  <c r="AK46" i="86"/>
  <c r="AG46" i="86"/>
  <c r="AC46" i="86"/>
  <c r="Y46" i="86"/>
  <c r="U46" i="86"/>
  <c r="Q46" i="86"/>
  <c r="M46" i="86"/>
  <c r="I46" i="86"/>
  <c r="E46" i="86"/>
  <c r="CT45" i="86"/>
  <c r="CU45" i="86" s="1"/>
  <c r="CW45" i="86" s="1"/>
  <c r="CP45" i="86"/>
  <c r="CP49" i="86" s="1"/>
  <c r="CP50" i="86" s="1"/>
  <c r="CP52" i="86" s="1"/>
  <c r="CL45" i="86"/>
  <c r="CL49" i="86" s="1"/>
  <c r="CB45" i="86"/>
  <c r="CA45" i="86"/>
  <c r="CA49" i="86" s="1"/>
  <c r="BZ45" i="86"/>
  <c r="BZ49" i="86" s="1"/>
  <c r="BP45" i="86"/>
  <c r="BO45" i="86"/>
  <c r="BO49" i="86" s="1"/>
  <c r="BN45" i="86"/>
  <c r="BN49" i="86" s="1"/>
  <c r="BL45" i="86"/>
  <c r="BK45" i="86"/>
  <c r="BK49" i="86" s="1"/>
  <c r="BJ45" i="86"/>
  <c r="BJ49" i="86" s="1"/>
  <c r="BH45" i="86"/>
  <c r="BG45" i="86"/>
  <c r="BG49" i="86" s="1"/>
  <c r="BS49" i="86" s="1"/>
  <c r="BF45" i="86"/>
  <c r="AZ45" i="86"/>
  <c r="AY45" i="86"/>
  <c r="AY49" i="86" s="1"/>
  <c r="AX45" i="86"/>
  <c r="AX49" i="86" s="1"/>
  <c r="AV45" i="86"/>
  <c r="AU45" i="86"/>
  <c r="AU49" i="86" s="1"/>
  <c r="AT45" i="86"/>
  <c r="AT49" i="86" s="1"/>
  <c r="AR45" i="86"/>
  <c r="AQ45" i="86"/>
  <c r="AQ49" i="86" s="1"/>
  <c r="AP45" i="86"/>
  <c r="AP49" i="86" s="1"/>
  <c r="AN45" i="86"/>
  <c r="AM45" i="86"/>
  <c r="AL45" i="86"/>
  <c r="AL49" i="86" s="1"/>
  <c r="AJ45" i="86"/>
  <c r="AI45" i="86"/>
  <c r="AH45" i="86"/>
  <c r="AH49" i="86" s="1"/>
  <c r="AD45" i="86"/>
  <c r="AB45" i="86"/>
  <c r="AA45" i="86"/>
  <c r="AA49" i="86" s="1"/>
  <c r="Z45" i="86"/>
  <c r="Z49" i="86" s="1"/>
  <c r="V45" i="86"/>
  <c r="V49" i="86" s="1"/>
  <c r="T45" i="86"/>
  <c r="S45" i="86"/>
  <c r="S49" i="86" s="1"/>
  <c r="R45" i="86"/>
  <c r="R49" i="86" s="1"/>
  <c r="P45" i="86"/>
  <c r="O45" i="86"/>
  <c r="O49" i="86" s="1"/>
  <c r="N45" i="86"/>
  <c r="N49" i="86" s="1"/>
  <c r="L45" i="86"/>
  <c r="K45" i="86"/>
  <c r="K49" i="86" s="1"/>
  <c r="J45" i="86"/>
  <c r="J49" i="86" s="1"/>
  <c r="H45" i="86"/>
  <c r="G45" i="86"/>
  <c r="G49" i="86" s="1"/>
  <c r="F45" i="86"/>
  <c r="F49" i="86" s="1"/>
  <c r="D45" i="86"/>
  <c r="C45" i="86"/>
  <c r="C49" i="86" s="1"/>
  <c r="B45" i="86"/>
  <c r="B49" i="86" s="1"/>
  <c r="CU44" i="86"/>
  <c r="CW44" i="86" s="1"/>
  <c r="CQ44" i="86"/>
  <c r="CM44" i="86"/>
  <c r="CN44" i="86" s="1"/>
  <c r="CO44" i="86" s="1"/>
  <c r="CI44" i="86"/>
  <c r="CC44" i="86"/>
  <c r="BT44" i="86"/>
  <c r="BS44" i="86"/>
  <c r="BR44" i="86"/>
  <c r="BQ44" i="86"/>
  <c r="BM44" i="86"/>
  <c r="BI44" i="86"/>
  <c r="BD44" i="86"/>
  <c r="BB44" i="86"/>
  <c r="BV44" i="86" s="1"/>
  <c r="CD44" i="86" s="1"/>
  <c r="CH44" i="86" s="1"/>
  <c r="BA44" i="86"/>
  <c r="AW44" i="86"/>
  <c r="AS44" i="86"/>
  <c r="AM44" i="86"/>
  <c r="AO44" i="86" s="1"/>
  <c r="AI44" i="86"/>
  <c r="AK44" i="86" s="1"/>
  <c r="AG44" i="86"/>
  <c r="AC44" i="86"/>
  <c r="Y44" i="86"/>
  <c r="U44" i="86"/>
  <c r="Q44" i="86"/>
  <c r="M44" i="86"/>
  <c r="I44" i="86"/>
  <c r="E44" i="86"/>
  <c r="CW43" i="86"/>
  <c r="CW49" i="86" s="1"/>
  <c r="CU43" i="86"/>
  <c r="CR43" i="86"/>
  <c r="CQ43" i="86"/>
  <c r="CM43" i="86"/>
  <c r="CI43" i="86"/>
  <c r="CC43" i="86"/>
  <c r="BT43" i="86"/>
  <c r="BS43" i="86"/>
  <c r="BR43" i="86"/>
  <c r="BQ43" i="86"/>
  <c r="BM43" i="86"/>
  <c r="BI43" i="86"/>
  <c r="BD43" i="86"/>
  <c r="BB43" i="86"/>
  <c r="BA43" i="86"/>
  <c r="AW43" i="86"/>
  <c r="AS43" i="86"/>
  <c r="AM43" i="86"/>
  <c r="AI43" i="86"/>
  <c r="AG43" i="86"/>
  <c r="AC43" i="86"/>
  <c r="Y43" i="86"/>
  <c r="U43" i="86"/>
  <c r="Q43" i="86"/>
  <c r="M43" i="86"/>
  <c r="I43" i="86"/>
  <c r="E43" i="86"/>
  <c r="O42" i="86"/>
  <c r="CU41" i="86"/>
  <c r="CQ41" i="86"/>
  <c r="CM41" i="86"/>
  <c r="CN41" i="86" s="1"/>
  <c r="CO41" i="86" s="1"/>
  <c r="CC41" i="86"/>
  <c r="BX41" i="86"/>
  <c r="BT41" i="86"/>
  <c r="BS41" i="86"/>
  <c r="BR41" i="86"/>
  <c r="BQ41" i="86"/>
  <c r="BM41" i="86"/>
  <c r="BI41" i="86"/>
  <c r="BD41" i="86"/>
  <c r="BC41" i="86"/>
  <c r="BE41" i="86" s="1"/>
  <c r="BB41" i="86"/>
  <c r="BA41" i="86"/>
  <c r="AW41" i="86"/>
  <c r="AS41" i="86"/>
  <c r="AO41" i="86"/>
  <c r="AK41" i="86"/>
  <c r="AG41" i="86"/>
  <c r="AC41" i="86"/>
  <c r="Y41" i="86"/>
  <c r="U41" i="86"/>
  <c r="Q41" i="86"/>
  <c r="M41" i="86"/>
  <c r="I41" i="86"/>
  <c r="E41" i="86"/>
  <c r="CU40" i="86"/>
  <c r="CR40" i="86"/>
  <c r="CQ40" i="86"/>
  <c r="CS40" i="86" s="1"/>
  <c r="CM40" i="86"/>
  <c r="CC40" i="86"/>
  <c r="BT40" i="86"/>
  <c r="BS40" i="86"/>
  <c r="BR40" i="86"/>
  <c r="BQ40" i="86"/>
  <c r="BM40" i="86"/>
  <c r="BI40" i="86"/>
  <c r="BD40" i="86"/>
  <c r="BE40" i="86" s="1"/>
  <c r="BC40" i="86"/>
  <c r="BB40" i="86"/>
  <c r="BA40" i="86"/>
  <c r="AW40" i="86"/>
  <c r="AS40" i="86"/>
  <c r="AO40" i="86"/>
  <c r="AK40" i="86"/>
  <c r="AG40" i="86"/>
  <c r="AC40" i="86"/>
  <c r="Y40" i="86"/>
  <c r="U40" i="86"/>
  <c r="Q40" i="86"/>
  <c r="M40" i="86"/>
  <c r="I40" i="86"/>
  <c r="E40" i="86"/>
  <c r="CV39" i="86"/>
  <c r="CU39" i="86"/>
  <c r="CW39" i="86" s="1"/>
  <c r="CS39" i="86"/>
  <c r="CQ39" i="86"/>
  <c r="CR39" i="86" s="1"/>
  <c r="CN39" i="86"/>
  <c r="CO39" i="86" s="1"/>
  <c r="CM39" i="86"/>
  <c r="CI39" i="86"/>
  <c r="CC39" i="86"/>
  <c r="BT39" i="86"/>
  <c r="BS39" i="86"/>
  <c r="BR39" i="86"/>
  <c r="BQ39" i="86"/>
  <c r="BM39" i="86"/>
  <c r="BI39" i="86"/>
  <c r="BD39" i="86"/>
  <c r="BC39" i="86"/>
  <c r="BB39" i="86"/>
  <c r="BA39" i="86"/>
  <c r="AW39" i="86"/>
  <c r="AS39" i="86"/>
  <c r="AO39" i="86"/>
  <c r="AK39" i="86"/>
  <c r="AG39" i="86"/>
  <c r="AC39" i="86"/>
  <c r="Y39" i="86"/>
  <c r="U39" i="86"/>
  <c r="Q39" i="86"/>
  <c r="M39" i="86"/>
  <c r="I39" i="86"/>
  <c r="E39" i="86"/>
  <c r="CV38" i="86"/>
  <c r="CU38" i="86"/>
  <c r="CW38" i="86" s="1"/>
  <c r="CQ38" i="86"/>
  <c r="CM38" i="86"/>
  <c r="CN38" i="86" s="1"/>
  <c r="CO38" i="86" s="1"/>
  <c r="CI38" i="86"/>
  <c r="CC38" i="86"/>
  <c r="BT38" i="86"/>
  <c r="BS38" i="86"/>
  <c r="BR38" i="86"/>
  <c r="BQ38" i="86"/>
  <c r="BM38" i="86"/>
  <c r="BI38" i="86"/>
  <c r="BD38" i="86"/>
  <c r="BC38" i="86"/>
  <c r="BB38" i="86"/>
  <c r="BA38" i="86"/>
  <c r="AW38" i="86"/>
  <c r="AS38" i="86"/>
  <c r="AO38" i="86"/>
  <c r="AK38" i="86"/>
  <c r="AG38" i="86"/>
  <c r="AC38" i="86"/>
  <c r="Y38" i="86"/>
  <c r="U38" i="86"/>
  <c r="Q38" i="86"/>
  <c r="M38" i="86"/>
  <c r="I38" i="86"/>
  <c r="E38" i="86"/>
  <c r="CT37" i="86"/>
  <c r="CT42" i="86" s="1"/>
  <c r="CP37" i="86"/>
  <c r="CP42" i="86" s="1"/>
  <c r="CL37" i="86"/>
  <c r="CL42" i="86" s="1"/>
  <c r="CB37" i="86"/>
  <c r="CA37" i="86"/>
  <c r="CA42" i="86" s="1"/>
  <c r="BZ37" i="86"/>
  <c r="BZ42" i="86" s="1"/>
  <c r="BP37" i="86"/>
  <c r="BO37" i="86"/>
  <c r="BO42" i="86" s="1"/>
  <c r="BN37" i="86"/>
  <c r="BN42" i="86" s="1"/>
  <c r="BL37" i="86"/>
  <c r="BK37" i="86"/>
  <c r="BK42" i="86" s="1"/>
  <c r="BJ37" i="86"/>
  <c r="BJ42" i="86" s="1"/>
  <c r="BH37" i="86"/>
  <c r="BG37" i="86"/>
  <c r="BF37" i="86"/>
  <c r="BF42" i="86" s="1"/>
  <c r="AZ37" i="86"/>
  <c r="AY37" i="86"/>
  <c r="AY42" i="86" s="1"/>
  <c r="AX37" i="86"/>
  <c r="AX42" i="86" s="1"/>
  <c r="AV37" i="86"/>
  <c r="AU37" i="86"/>
  <c r="AU42" i="86" s="1"/>
  <c r="AT37" i="86"/>
  <c r="AT42" i="86" s="1"/>
  <c r="AR37" i="86"/>
  <c r="AQ37" i="86"/>
  <c r="AP37" i="86"/>
  <c r="AP42" i="86" s="1"/>
  <c r="AN37" i="86"/>
  <c r="AM37" i="86"/>
  <c r="AL37" i="86"/>
  <c r="AL42" i="86" s="1"/>
  <c r="AJ37" i="86"/>
  <c r="AI37" i="86"/>
  <c r="AH37" i="86"/>
  <c r="AH42" i="86" s="1"/>
  <c r="AF37" i="86"/>
  <c r="AE37" i="86"/>
  <c r="AE42" i="86" s="1"/>
  <c r="AD37" i="86"/>
  <c r="AD42" i="86" s="1"/>
  <c r="AB37" i="86"/>
  <c r="AA37" i="86"/>
  <c r="AA42" i="86" s="1"/>
  <c r="Z37" i="86"/>
  <c r="Z42" i="86" s="1"/>
  <c r="X37" i="86"/>
  <c r="W37" i="86"/>
  <c r="V37" i="86"/>
  <c r="V42" i="86" s="1"/>
  <c r="T37" i="86"/>
  <c r="S37" i="86"/>
  <c r="S42" i="86" s="1"/>
  <c r="R37" i="86"/>
  <c r="R42" i="86" s="1"/>
  <c r="P37" i="86"/>
  <c r="O37" i="86"/>
  <c r="N37" i="86"/>
  <c r="N42" i="86" s="1"/>
  <c r="L37" i="86"/>
  <c r="K37" i="86"/>
  <c r="K42" i="86" s="1"/>
  <c r="J37" i="86"/>
  <c r="J42" i="86" s="1"/>
  <c r="H37" i="86"/>
  <c r="G37" i="86"/>
  <c r="G42" i="86" s="1"/>
  <c r="F37" i="86"/>
  <c r="F42" i="86" s="1"/>
  <c r="D37" i="86"/>
  <c r="C37" i="86"/>
  <c r="C42" i="86" s="1"/>
  <c r="B37" i="86"/>
  <c r="B42" i="86" s="1"/>
  <c r="CU36" i="86"/>
  <c r="CQ36" i="86"/>
  <c r="CM36" i="86"/>
  <c r="CC36" i="86"/>
  <c r="BT36" i="86"/>
  <c r="BS36" i="86"/>
  <c r="BR36" i="86"/>
  <c r="BQ36" i="86"/>
  <c r="BM36" i="86"/>
  <c r="BI36" i="86"/>
  <c r="BD36" i="86"/>
  <c r="BC36" i="86"/>
  <c r="BB36" i="86"/>
  <c r="BA36" i="86"/>
  <c r="AW36" i="86"/>
  <c r="AS36" i="86"/>
  <c r="AO36" i="86"/>
  <c r="AK36" i="86"/>
  <c r="AG36" i="86"/>
  <c r="AC36" i="86"/>
  <c r="Y36" i="86"/>
  <c r="U36" i="86"/>
  <c r="Q36" i="86"/>
  <c r="M36" i="86"/>
  <c r="I36" i="86"/>
  <c r="E36" i="86"/>
  <c r="CU35" i="86"/>
  <c r="CQ35" i="86"/>
  <c r="CM35" i="86"/>
  <c r="CN35" i="86" s="1"/>
  <c r="CO35" i="86" s="1"/>
  <c r="CI35" i="86"/>
  <c r="CC35" i="86"/>
  <c r="BS35" i="86"/>
  <c r="BR35" i="86"/>
  <c r="BQ35" i="86"/>
  <c r="BM35" i="86"/>
  <c r="BH35" i="86"/>
  <c r="BB35" i="86"/>
  <c r="BA35" i="86"/>
  <c r="AW35" i="86"/>
  <c r="AQ35" i="86"/>
  <c r="AS35" i="86" s="1"/>
  <c r="AO35" i="86"/>
  <c r="AI35" i="86"/>
  <c r="AG35" i="86"/>
  <c r="AC35" i="86"/>
  <c r="X35" i="86"/>
  <c r="U35" i="86"/>
  <c r="Q35" i="86"/>
  <c r="M35" i="86"/>
  <c r="I35" i="86"/>
  <c r="E35" i="86"/>
  <c r="CU34" i="86"/>
  <c r="CQ34" i="86"/>
  <c r="CM34" i="86"/>
  <c r="CN34" i="86" s="1"/>
  <c r="CO34" i="86" s="1"/>
  <c r="CI34" i="86"/>
  <c r="CC34" i="86"/>
  <c r="BT34" i="86"/>
  <c r="BS34" i="86"/>
  <c r="BR34" i="86"/>
  <c r="BQ34" i="86"/>
  <c r="BM34" i="86"/>
  <c r="BI34" i="86"/>
  <c r="BD34" i="86"/>
  <c r="BE34" i="86" s="1"/>
  <c r="BC34" i="86"/>
  <c r="BB34" i="86"/>
  <c r="BA34" i="86"/>
  <c r="AW34" i="86"/>
  <c r="AS34" i="86"/>
  <c r="AO34" i="86"/>
  <c r="AK34" i="86"/>
  <c r="AG34" i="86"/>
  <c r="AC34" i="86"/>
  <c r="Y34" i="86"/>
  <c r="U34" i="86"/>
  <c r="Q34" i="86"/>
  <c r="M34" i="86"/>
  <c r="I34" i="86"/>
  <c r="E34" i="86"/>
  <c r="CU33" i="86"/>
  <c r="CQ33" i="86"/>
  <c r="CY33" i="86" s="1"/>
  <c r="CM33" i="86"/>
  <c r="CN33" i="86" s="1"/>
  <c r="CI33" i="86"/>
  <c r="CC33" i="86"/>
  <c r="BT33" i="86"/>
  <c r="BS33" i="86"/>
  <c r="BR33" i="86"/>
  <c r="BQ33" i="86"/>
  <c r="BM33" i="86"/>
  <c r="BI33" i="86"/>
  <c r="BD33" i="86"/>
  <c r="BB33" i="86"/>
  <c r="BA33" i="86"/>
  <c r="AW33" i="86"/>
  <c r="AQ33" i="86"/>
  <c r="AM33" i="86"/>
  <c r="AI33" i="86"/>
  <c r="AK33" i="86" s="1"/>
  <c r="AG33" i="86"/>
  <c r="AC33" i="86"/>
  <c r="Y33" i="86"/>
  <c r="U33" i="86"/>
  <c r="Q33" i="86"/>
  <c r="M33" i="86"/>
  <c r="I33" i="86"/>
  <c r="E33" i="86"/>
  <c r="CY31" i="86"/>
  <c r="CY30" i="86"/>
  <c r="CU27" i="86"/>
  <c r="CW27" i="86" s="1"/>
  <c r="CQ27" i="86"/>
  <c r="CM27" i="86"/>
  <c r="CN27" i="86" s="1"/>
  <c r="CO27" i="86" s="1"/>
  <c r="CC27" i="86"/>
  <c r="BT27" i="86"/>
  <c r="BS27" i="86"/>
  <c r="BR27" i="86"/>
  <c r="BQ27" i="86"/>
  <c r="BM27" i="86"/>
  <c r="BI27" i="86"/>
  <c r="BD27" i="86"/>
  <c r="BC27" i="86"/>
  <c r="BB27" i="86"/>
  <c r="BA27" i="86"/>
  <c r="AW27" i="86"/>
  <c r="AS27" i="86"/>
  <c r="AO27" i="86"/>
  <c r="AK27" i="86"/>
  <c r="AG27" i="86"/>
  <c r="AC27" i="86"/>
  <c r="Y27" i="86"/>
  <c r="U27" i="86"/>
  <c r="Q27" i="86"/>
  <c r="M27" i="86"/>
  <c r="I27" i="86"/>
  <c r="E27" i="86"/>
  <c r="CU26" i="86"/>
  <c r="CQ26" i="86"/>
  <c r="CR26" i="86" s="1"/>
  <c r="CN26" i="86"/>
  <c r="CO26" i="86" s="1"/>
  <c r="CM26" i="86"/>
  <c r="CB26" i="86"/>
  <c r="BT26" i="86"/>
  <c r="BS26" i="86"/>
  <c r="BR26" i="86"/>
  <c r="BQ26" i="86"/>
  <c r="BM26" i="86"/>
  <c r="BI26" i="86"/>
  <c r="BD26" i="86"/>
  <c r="BC26" i="86"/>
  <c r="BE26" i="86" s="1"/>
  <c r="BB26" i="86"/>
  <c r="BA26" i="86"/>
  <c r="AW26" i="86"/>
  <c r="AS26" i="86"/>
  <c r="AO26" i="86"/>
  <c r="AK26" i="86"/>
  <c r="AG26" i="86"/>
  <c r="AC26" i="86"/>
  <c r="Y26" i="86"/>
  <c r="U26" i="86"/>
  <c r="Q26" i="86"/>
  <c r="M26" i="86"/>
  <c r="I26" i="86"/>
  <c r="E26" i="86"/>
  <c r="CU25" i="86"/>
  <c r="CW25" i="86" s="1"/>
  <c r="CR25" i="86"/>
  <c r="CQ25" i="86"/>
  <c r="CS25" i="86" s="1"/>
  <c r="CM25" i="86"/>
  <c r="CN25" i="86" s="1"/>
  <c r="CO25" i="86" s="1"/>
  <c r="CB25" i="86"/>
  <c r="BT25" i="86"/>
  <c r="BS25" i="86"/>
  <c r="BR25" i="86"/>
  <c r="BQ25" i="86"/>
  <c r="BM25" i="86"/>
  <c r="BI25" i="86"/>
  <c r="BC25" i="86"/>
  <c r="BB25" i="86"/>
  <c r="BA25" i="86"/>
  <c r="AW25" i="86"/>
  <c r="AS25" i="86"/>
  <c r="AO25" i="86"/>
  <c r="AK25" i="86"/>
  <c r="AG25" i="86"/>
  <c r="AC25" i="86"/>
  <c r="X25" i="86"/>
  <c r="U25" i="86"/>
  <c r="Q25" i="86"/>
  <c r="M25" i="86"/>
  <c r="I25" i="86"/>
  <c r="E25" i="86"/>
  <c r="CU24" i="86"/>
  <c r="CQ24" i="86"/>
  <c r="CM24" i="86"/>
  <c r="CN24" i="86" s="1"/>
  <c r="CO24" i="86" s="1"/>
  <c r="CB24" i="86"/>
  <c r="BS24" i="86"/>
  <c r="BR24" i="86"/>
  <c r="BP24" i="86"/>
  <c r="BL24" i="86"/>
  <c r="BM24" i="86" s="1"/>
  <c r="BH24" i="86"/>
  <c r="BB24" i="86"/>
  <c r="BA24" i="86"/>
  <c r="AW24" i="86"/>
  <c r="AQ24" i="86"/>
  <c r="AS24" i="86" s="1"/>
  <c r="AO24" i="86"/>
  <c r="AK24" i="86"/>
  <c r="AG24" i="86"/>
  <c r="AC24" i="86"/>
  <c r="X24" i="86"/>
  <c r="BD24" i="86" s="1"/>
  <c r="W24" i="86"/>
  <c r="W23" i="86" s="1"/>
  <c r="S24" i="86"/>
  <c r="Q24" i="86"/>
  <c r="M24" i="86"/>
  <c r="I24" i="86"/>
  <c r="E24" i="86"/>
  <c r="CU23" i="86"/>
  <c r="CW23" i="86" s="1"/>
  <c r="CQ23" i="86"/>
  <c r="CM23" i="86"/>
  <c r="CN23" i="86" s="1"/>
  <c r="CO23" i="86" s="1"/>
  <c r="BZ23" i="86"/>
  <c r="BO23" i="86"/>
  <c r="BN23" i="86"/>
  <c r="BK23" i="86"/>
  <c r="BJ23" i="86"/>
  <c r="BG23" i="86"/>
  <c r="BF23" i="86"/>
  <c r="AZ23" i="86"/>
  <c r="AY23" i="86"/>
  <c r="AX23" i="86"/>
  <c r="AV23" i="86"/>
  <c r="AU23" i="86"/>
  <c r="AT23" i="86"/>
  <c r="AR23" i="86"/>
  <c r="AP23" i="86"/>
  <c r="AN23" i="86"/>
  <c r="AO23" i="86" s="1"/>
  <c r="AM23" i="86"/>
  <c r="AL23" i="86"/>
  <c r="AJ23" i="86"/>
  <c r="AI23" i="86"/>
  <c r="AH23" i="86"/>
  <c r="AF23" i="86"/>
  <c r="AG23" i="86" s="1"/>
  <c r="AE23" i="86"/>
  <c r="AD23" i="86"/>
  <c r="BB23" i="86" s="1"/>
  <c r="AB23" i="86"/>
  <c r="AA23" i="86"/>
  <c r="Z23" i="86"/>
  <c r="X23" i="86"/>
  <c r="V23" i="86"/>
  <c r="T23" i="86"/>
  <c r="R23" i="86"/>
  <c r="P23" i="86"/>
  <c r="Q23" i="86" s="1"/>
  <c r="O23" i="86"/>
  <c r="N23" i="86"/>
  <c r="L23" i="86"/>
  <c r="K23" i="86"/>
  <c r="J23" i="86"/>
  <c r="H23" i="86"/>
  <c r="I23" i="86" s="1"/>
  <c r="G23" i="86"/>
  <c r="F23" i="86"/>
  <c r="D23" i="86"/>
  <c r="C23" i="86"/>
  <c r="B23" i="86"/>
  <c r="CW22" i="86"/>
  <c r="CU22" i="86"/>
  <c r="CR22" i="86"/>
  <c r="CQ22" i="86"/>
  <c r="CS22" i="86" s="1"/>
  <c r="CO22" i="86"/>
  <c r="CM22" i="86"/>
  <c r="CN22" i="86" s="1"/>
  <c r="CB22" i="86"/>
  <c r="CC22" i="86" s="1"/>
  <c r="BT22" i="86"/>
  <c r="BS22" i="86"/>
  <c r="BR22" i="86"/>
  <c r="BQ22" i="86"/>
  <c r="BM22" i="86"/>
  <c r="BI22" i="86"/>
  <c r="BD22" i="86"/>
  <c r="BC22" i="86"/>
  <c r="BB22" i="86"/>
  <c r="BA22" i="86"/>
  <c r="AW22" i="86"/>
  <c r="AS22" i="86"/>
  <c r="AO22" i="86"/>
  <c r="AK22" i="86"/>
  <c r="AG22" i="86"/>
  <c r="AC22" i="86"/>
  <c r="Y22" i="86"/>
  <c r="U22" i="86"/>
  <c r="Q22" i="86"/>
  <c r="M22" i="86"/>
  <c r="I22" i="86"/>
  <c r="E22" i="86"/>
  <c r="CU21" i="86"/>
  <c r="CW21" i="86" s="1"/>
  <c r="CQ21" i="86"/>
  <c r="CM21" i="86"/>
  <c r="CB21" i="86"/>
  <c r="BT21" i="86"/>
  <c r="BS21" i="86"/>
  <c r="BR21" i="86"/>
  <c r="BV21" i="86" s="1"/>
  <c r="BQ21" i="86"/>
  <c r="BM21" i="86"/>
  <c r="BI21" i="86"/>
  <c r="BD21" i="86"/>
  <c r="BC21" i="86"/>
  <c r="BB21" i="86"/>
  <c r="BA21" i="86"/>
  <c r="AW21" i="86"/>
  <c r="AS21" i="86"/>
  <c r="AO21" i="86"/>
  <c r="AK21" i="86"/>
  <c r="AG21" i="86"/>
  <c r="AC21" i="86"/>
  <c r="Y21" i="86"/>
  <c r="U21" i="86"/>
  <c r="Q21" i="86"/>
  <c r="M21" i="86"/>
  <c r="I21" i="86"/>
  <c r="D21" i="86"/>
  <c r="E21" i="86" s="1"/>
  <c r="CT20" i="86"/>
  <c r="CT28" i="86" s="1"/>
  <c r="CQ20" i="86"/>
  <c r="CQ28" i="86" s="1"/>
  <c r="CP20" i="86"/>
  <c r="CP28" i="86" s="1"/>
  <c r="CL20" i="86"/>
  <c r="CL28" i="86" s="1"/>
  <c r="CA20" i="86"/>
  <c r="BZ20" i="86"/>
  <c r="BZ28" i="86" s="1"/>
  <c r="BP20" i="86"/>
  <c r="BO20" i="86"/>
  <c r="BO28" i="86" s="1"/>
  <c r="BN20" i="86"/>
  <c r="BN28" i="86" s="1"/>
  <c r="BL20" i="86"/>
  <c r="BM20" i="86" s="1"/>
  <c r="BK20" i="86"/>
  <c r="BK28" i="86" s="1"/>
  <c r="BJ20" i="86"/>
  <c r="BJ28" i="86" s="1"/>
  <c r="BH20" i="86"/>
  <c r="BG20" i="86"/>
  <c r="BG28" i="86" s="1"/>
  <c r="BF20" i="86"/>
  <c r="AZ20" i="86"/>
  <c r="BA20" i="86" s="1"/>
  <c r="AY20" i="86"/>
  <c r="AY28" i="86" s="1"/>
  <c r="AX20" i="86"/>
  <c r="AX28" i="86" s="1"/>
  <c r="AV20" i="86"/>
  <c r="AU20" i="86"/>
  <c r="AU28" i="86" s="1"/>
  <c r="AT20" i="86"/>
  <c r="AT28" i="86" s="1"/>
  <c r="AR20" i="86"/>
  <c r="AS20" i="86" s="1"/>
  <c r="AQ20" i="86"/>
  <c r="AP20" i="86"/>
  <c r="AP28" i="86" s="1"/>
  <c r="AN20" i="86"/>
  <c r="AM20" i="86"/>
  <c r="AM28" i="86" s="1"/>
  <c r="AL20" i="86"/>
  <c r="AJ20" i="86"/>
  <c r="AK20" i="86" s="1"/>
  <c r="AI20" i="86"/>
  <c r="AH20" i="86"/>
  <c r="AH28" i="86" s="1"/>
  <c r="AF20" i="86"/>
  <c r="AE20" i="86"/>
  <c r="AE28" i="86" s="1"/>
  <c r="AD20" i="86"/>
  <c r="AB20" i="86"/>
  <c r="AC20" i="86" s="1"/>
  <c r="AA20" i="86"/>
  <c r="Z20" i="86"/>
  <c r="Z28" i="86" s="1"/>
  <c r="X20" i="86"/>
  <c r="W20" i="86"/>
  <c r="W28" i="86" s="1"/>
  <c r="V20" i="86"/>
  <c r="V28" i="86" s="1"/>
  <c r="T20" i="86"/>
  <c r="U20" i="86" s="1"/>
  <c r="S20" i="86"/>
  <c r="R20" i="86"/>
  <c r="R28" i="86" s="1"/>
  <c r="P20" i="86"/>
  <c r="O20" i="86"/>
  <c r="O28" i="86" s="1"/>
  <c r="N20" i="86"/>
  <c r="L20" i="86"/>
  <c r="M20" i="86" s="1"/>
  <c r="K20" i="86"/>
  <c r="J20" i="86"/>
  <c r="J28" i="86" s="1"/>
  <c r="H20" i="86"/>
  <c r="G20" i="86"/>
  <c r="G28" i="86" s="1"/>
  <c r="F20" i="86"/>
  <c r="D20" i="86"/>
  <c r="E20" i="86" s="1"/>
  <c r="C20" i="86"/>
  <c r="B20" i="86"/>
  <c r="B28" i="86" s="1"/>
  <c r="BH18" i="86"/>
  <c r="CW17" i="86"/>
  <c r="CU17" i="86"/>
  <c r="CR17" i="86"/>
  <c r="CQ17" i="86"/>
  <c r="CS17" i="86" s="1"/>
  <c r="CO17" i="86"/>
  <c r="CM17" i="86"/>
  <c r="CN17" i="86" s="1"/>
  <c r="CN15" i="86" s="1"/>
  <c r="CC17" i="86"/>
  <c r="BT17" i="86"/>
  <c r="BS17" i="86"/>
  <c r="BR17" i="86"/>
  <c r="BQ17" i="86"/>
  <c r="BM17" i="86"/>
  <c r="BI17" i="86"/>
  <c r="BD17" i="86"/>
  <c r="BC17" i="86"/>
  <c r="BB17" i="86"/>
  <c r="BA17" i="86"/>
  <c r="AW17" i="86"/>
  <c r="AS17" i="86"/>
  <c r="AO17" i="86"/>
  <c r="AK17" i="86"/>
  <c r="AG17" i="86"/>
  <c r="AC17" i="86"/>
  <c r="Y17" i="86"/>
  <c r="U17" i="86"/>
  <c r="Q17" i="86"/>
  <c r="M17" i="86"/>
  <c r="I17" i="86"/>
  <c r="E17" i="86"/>
  <c r="CU16" i="86"/>
  <c r="CW16" i="86" s="1"/>
  <c r="CQ16" i="86"/>
  <c r="CR16" i="86" s="1"/>
  <c r="CO16" i="86"/>
  <c r="CC16" i="86"/>
  <c r="BT16" i="86"/>
  <c r="BU16" i="86" s="1"/>
  <c r="BS16" i="86"/>
  <c r="BR16" i="86"/>
  <c r="BQ16" i="86"/>
  <c r="BM16" i="86"/>
  <c r="BI16" i="86"/>
  <c r="BD16" i="86"/>
  <c r="BC16" i="86"/>
  <c r="BB16" i="86"/>
  <c r="BA16" i="86"/>
  <c r="AW16" i="86"/>
  <c r="AS16" i="86"/>
  <c r="AO16" i="86"/>
  <c r="AK16" i="86"/>
  <c r="AG16" i="86"/>
  <c r="AC16" i="86"/>
  <c r="Y16" i="86"/>
  <c r="U16" i="86"/>
  <c r="Q16" i="86"/>
  <c r="M16" i="86"/>
  <c r="I16" i="86"/>
  <c r="E16" i="86"/>
  <c r="CW15" i="86"/>
  <c r="CT15" i="86"/>
  <c r="CT18" i="86" s="1"/>
  <c r="CP15" i="86"/>
  <c r="CP18" i="86" s="1"/>
  <c r="CM15" i="86"/>
  <c r="CL15" i="86"/>
  <c r="CL18" i="86" s="1"/>
  <c r="CB15" i="86"/>
  <c r="CB18" i="86" s="1"/>
  <c r="CA15" i="86"/>
  <c r="CA18" i="86" s="1"/>
  <c r="BZ15" i="86"/>
  <c r="BZ18" i="86" s="1"/>
  <c r="BP15" i="86"/>
  <c r="BP18" i="86" s="1"/>
  <c r="BO15" i="86"/>
  <c r="BO18" i="86" s="1"/>
  <c r="BN15" i="86"/>
  <c r="BN18" i="86" s="1"/>
  <c r="BL15" i="86"/>
  <c r="BL18" i="86" s="1"/>
  <c r="BK15" i="86"/>
  <c r="BK18" i="86" s="1"/>
  <c r="BJ15" i="86"/>
  <c r="BJ18" i="86" s="1"/>
  <c r="BH15" i="86"/>
  <c r="BG15" i="86"/>
  <c r="BG18" i="86" s="1"/>
  <c r="BF15" i="86"/>
  <c r="AZ15" i="86"/>
  <c r="AZ18" i="86" s="1"/>
  <c r="AY15" i="86"/>
  <c r="AY18" i="86" s="1"/>
  <c r="AX15" i="86"/>
  <c r="AX18" i="86" s="1"/>
  <c r="AV15" i="86"/>
  <c r="AV18" i="86" s="1"/>
  <c r="AU15" i="86"/>
  <c r="AU18" i="86" s="1"/>
  <c r="AT15" i="86"/>
  <c r="AT18" i="86" s="1"/>
  <c r="AR15" i="86"/>
  <c r="AR18" i="86" s="1"/>
  <c r="AQ15" i="86"/>
  <c r="AQ18" i="86" s="1"/>
  <c r="AP15" i="86"/>
  <c r="AP18" i="86" s="1"/>
  <c r="AN15" i="86"/>
  <c r="AN18" i="86" s="1"/>
  <c r="AM15" i="86"/>
  <c r="AM18" i="86" s="1"/>
  <c r="AL15" i="86"/>
  <c r="AL18" i="86" s="1"/>
  <c r="AJ15" i="86"/>
  <c r="AJ18" i="86" s="1"/>
  <c r="AI15" i="86"/>
  <c r="AI18" i="86" s="1"/>
  <c r="AH15" i="86"/>
  <c r="AH18" i="86" s="1"/>
  <c r="AF15" i="86"/>
  <c r="AF18" i="86" s="1"/>
  <c r="AE15" i="86"/>
  <c r="AE18" i="86" s="1"/>
  <c r="AD15" i="86"/>
  <c r="AD18" i="86" s="1"/>
  <c r="AB15" i="86"/>
  <c r="AB18" i="86" s="1"/>
  <c r="AA15" i="86"/>
  <c r="AA18" i="86" s="1"/>
  <c r="Z15" i="86"/>
  <c r="Z18" i="86" s="1"/>
  <c r="X15" i="86"/>
  <c r="W15" i="86"/>
  <c r="W18" i="86" s="1"/>
  <c r="V15" i="86"/>
  <c r="T15" i="86"/>
  <c r="T18" i="86" s="1"/>
  <c r="S15" i="86"/>
  <c r="S18" i="86" s="1"/>
  <c r="R15" i="86"/>
  <c r="R18" i="86" s="1"/>
  <c r="P15" i="86"/>
  <c r="P18" i="86" s="1"/>
  <c r="O15" i="86"/>
  <c r="O18" i="86" s="1"/>
  <c r="N15" i="86"/>
  <c r="N18" i="86" s="1"/>
  <c r="L15" i="86"/>
  <c r="L18" i="86" s="1"/>
  <c r="K15" i="86"/>
  <c r="K18" i="86" s="1"/>
  <c r="J15" i="86"/>
  <c r="J18" i="86" s="1"/>
  <c r="H15" i="86"/>
  <c r="H18" i="86" s="1"/>
  <c r="G15" i="86"/>
  <c r="G18" i="86" s="1"/>
  <c r="F15" i="86"/>
  <c r="F18" i="86" s="1"/>
  <c r="D15" i="86"/>
  <c r="D18" i="86" s="1"/>
  <c r="C15" i="86"/>
  <c r="C18" i="86" s="1"/>
  <c r="B15" i="86"/>
  <c r="B18" i="86" s="1"/>
  <c r="CU14" i="86"/>
  <c r="CW14" i="86" s="1"/>
  <c r="CQ14" i="86"/>
  <c r="CR14" i="86" s="1"/>
  <c r="CO14" i="86"/>
  <c r="CC14" i="86"/>
  <c r="BT14" i="86"/>
  <c r="BS14" i="86"/>
  <c r="BR14" i="86"/>
  <c r="BQ14" i="86"/>
  <c r="BM14" i="86"/>
  <c r="BI14" i="86"/>
  <c r="BD14" i="86"/>
  <c r="BC14" i="86"/>
  <c r="BB14" i="86"/>
  <c r="BA14" i="86"/>
  <c r="AW14" i="86"/>
  <c r="AS14" i="86"/>
  <c r="AO14" i="86"/>
  <c r="AK14" i="86"/>
  <c r="AG14" i="86"/>
  <c r="AC14" i="86"/>
  <c r="Y14" i="86"/>
  <c r="U14" i="86"/>
  <c r="Q14" i="86"/>
  <c r="M14" i="86"/>
  <c r="I14" i="86"/>
  <c r="E14" i="86"/>
  <c r="CU13" i="86"/>
  <c r="CW13" i="86" s="1"/>
  <c r="CQ13" i="86"/>
  <c r="CS13" i="86" s="1"/>
  <c r="CM13" i="86"/>
  <c r="CN13" i="86" s="1"/>
  <c r="CO13" i="86" s="1"/>
  <c r="CC13" i="86"/>
  <c r="BT13" i="86"/>
  <c r="BS13" i="86"/>
  <c r="BU13" i="86" s="1"/>
  <c r="BR13" i="86"/>
  <c r="BQ13" i="86"/>
  <c r="BM13" i="86"/>
  <c r="BI13" i="86"/>
  <c r="BD13" i="86"/>
  <c r="BC13" i="86"/>
  <c r="BB13" i="86"/>
  <c r="BA13" i="86"/>
  <c r="AW13" i="86"/>
  <c r="AS13" i="86"/>
  <c r="AO13" i="86"/>
  <c r="AK13" i="86"/>
  <c r="AG13" i="86"/>
  <c r="AC13" i="86"/>
  <c r="Y13" i="86"/>
  <c r="U13" i="86"/>
  <c r="Q13" i="86"/>
  <c r="M13" i="86"/>
  <c r="I13" i="86"/>
  <c r="E13" i="86"/>
  <c r="CU12" i="86"/>
  <c r="CW12" i="86" s="1"/>
  <c r="CQ12" i="86"/>
  <c r="CR12" i="86" s="1"/>
  <c r="CM12" i="86"/>
  <c r="CN12" i="86" s="1"/>
  <c r="CO12" i="86" s="1"/>
  <c r="CC12" i="86"/>
  <c r="BT12" i="86"/>
  <c r="BS12" i="86"/>
  <c r="BR12" i="86"/>
  <c r="BV12" i="86" s="1"/>
  <c r="CD12" i="86" s="1"/>
  <c r="CH12" i="86" s="1"/>
  <c r="BQ12" i="86"/>
  <c r="BM12" i="86"/>
  <c r="BI12" i="86"/>
  <c r="BD12" i="86"/>
  <c r="BC12" i="86"/>
  <c r="BB12" i="86"/>
  <c r="BA12" i="86"/>
  <c r="AW12" i="86"/>
  <c r="AS12" i="86"/>
  <c r="AO12" i="86"/>
  <c r="AK12" i="86"/>
  <c r="AG12" i="86"/>
  <c r="AC12" i="86"/>
  <c r="Y12" i="86"/>
  <c r="U12" i="86"/>
  <c r="Q12" i="86"/>
  <c r="M12" i="86"/>
  <c r="I12" i="86"/>
  <c r="E12" i="86"/>
  <c r="CU10" i="86"/>
  <c r="CQ10" i="86"/>
  <c r="CS10" i="86" s="1"/>
  <c r="CM10" i="86"/>
  <c r="CN10" i="86" s="1"/>
  <c r="CO10" i="86" s="1"/>
  <c r="CC10" i="86"/>
  <c r="BT10" i="86"/>
  <c r="BS10" i="86"/>
  <c r="BR10" i="86"/>
  <c r="BQ10" i="86"/>
  <c r="BM10" i="86"/>
  <c r="BI10" i="86"/>
  <c r="BD10" i="86"/>
  <c r="BC10" i="86"/>
  <c r="BB10" i="86"/>
  <c r="BA10" i="86"/>
  <c r="AW10" i="86"/>
  <c r="AS10" i="86"/>
  <c r="AO10" i="86"/>
  <c r="AK10" i="86"/>
  <c r="AG10" i="86"/>
  <c r="AC10" i="86"/>
  <c r="Y10" i="86"/>
  <c r="T10" i="86"/>
  <c r="Q10" i="86"/>
  <c r="S10" i="86" s="1"/>
  <c r="M10" i="86"/>
  <c r="I10" i="86"/>
  <c r="E10" i="86"/>
  <c r="CU9" i="86"/>
  <c r="CW9" i="86" s="1"/>
  <c r="CQ9" i="86"/>
  <c r="CR9" i="86" s="1"/>
  <c r="CM9" i="86"/>
  <c r="CN9" i="86" s="1"/>
  <c r="CO9" i="86" s="1"/>
  <c r="CC9" i="86"/>
  <c r="BT9" i="86"/>
  <c r="BS9" i="86"/>
  <c r="BR9" i="86"/>
  <c r="BQ9" i="86"/>
  <c r="BM9" i="86"/>
  <c r="BI9" i="86"/>
  <c r="BD9" i="86"/>
  <c r="BC9" i="86"/>
  <c r="BB9" i="86"/>
  <c r="BA9" i="86"/>
  <c r="AW9" i="86"/>
  <c r="AS9" i="86"/>
  <c r="AO9" i="86"/>
  <c r="AK9" i="86"/>
  <c r="AG9" i="86"/>
  <c r="AC9" i="86"/>
  <c r="Y9" i="86"/>
  <c r="U9" i="86"/>
  <c r="Q9" i="86"/>
  <c r="M9" i="86"/>
  <c r="I9" i="86"/>
  <c r="E9" i="86"/>
  <c r="CU8" i="86"/>
  <c r="CV8" i="86" s="1"/>
  <c r="CQ8" i="86"/>
  <c r="CS8" i="86" s="1"/>
  <c r="CO8" i="86"/>
  <c r="CC8" i="86"/>
  <c r="BT8" i="86"/>
  <c r="BS8" i="86"/>
  <c r="BR8" i="86"/>
  <c r="BQ8" i="86"/>
  <c r="BM8" i="86"/>
  <c r="BI8" i="86"/>
  <c r="BD8" i="86"/>
  <c r="BC8" i="86"/>
  <c r="BB8" i="86"/>
  <c r="BA8" i="86"/>
  <c r="AW8" i="86"/>
  <c r="AS8" i="86"/>
  <c r="AO8" i="86"/>
  <c r="AK8" i="86"/>
  <c r="AG8" i="86"/>
  <c r="AC8" i="86"/>
  <c r="Y8" i="86"/>
  <c r="U8" i="86"/>
  <c r="Q8" i="86"/>
  <c r="M8" i="86"/>
  <c r="I8" i="86"/>
  <c r="E8" i="86"/>
  <c r="CU7" i="86"/>
  <c r="CW7" i="86" s="1"/>
  <c r="CQ7" i="86"/>
  <c r="CR7" i="86" s="1"/>
  <c r="CL7" i="86"/>
  <c r="CM7" i="86" s="1"/>
  <c r="CB7" i="86"/>
  <c r="BT7" i="86"/>
  <c r="BU7" i="86" s="1"/>
  <c r="BS7" i="86"/>
  <c r="BR7" i="86"/>
  <c r="BQ7" i="86"/>
  <c r="BM7" i="86"/>
  <c r="BI7" i="86"/>
  <c r="BD7" i="86"/>
  <c r="BC7" i="86"/>
  <c r="BB7" i="86"/>
  <c r="BA7" i="86"/>
  <c r="AW7" i="86"/>
  <c r="AS7" i="86"/>
  <c r="AO7" i="86"/>
  <c r="AK7" i="86"/>
  <c r="AG7" i="86"/>
  <c r="AC7" i="86"/>
  <c r="Y7" i="86"/>
  <c r="U7" i="86"/>
  <c r="Q7" i="86"/>
  <c r="M7" i="86"/>
  <c r="I7" i="86"/>
  <c r="E7" i="86"/>
  <c r="CU6" i="86"/>
  <c r="CQ6" i="86"/>
  <c r="CS6" i="86" s="1"/>
  <c r="CM6" i="86"/>
  <c r="CN6" i="86" s="1"/>
  <c r="CC6" i="86"/>
  <c r="BT6" i="86"/>
  <c r="BS6" i="86"/>
  <c r="BR6" i="86"/>
  <c r="BQ6" i="86"/>
  <c r="BM6" i="86"/>
  <c r="BI6" i="86"/>
  <c r="BD6" i="86"/>
  <c r="BC6" i="86"/>
  <c r="BB6" i="86"/>
  <c r="BA6" i="86"/>
  <c r="AW6" i="86"/>
  <c r="AS6" i="86"/>
  <c r="AO6" i="86"/>
  <c r="AK6" i="86"/>
  <c r="AG6" i="86"/>
  <c r="AC6" i="86"/>
  <c r="Y6" i="86"/>
  <c r="U6" i="86"/>
  <c r="Q6" i="86"/>
  <c r="M6" i="86"/>
  <c r="I6" i="86"/>
  <c r="E6" i="86"/>
  <c r="CT5" i="86"/>
  <c r="CT11" i="86" s="1"/>
  <c r="CP5" i="86"/>
  <c r="CP11" i="86" s="1"/>
  <c r="CB5" i="86"/>
  <c r="CB11" i="86" s="1"/>
  <c r="CC11" i="86" s="1"/>
  <c r="CA5" i="86"/>
  <c r="CA11" i="86" s="1"/>
  <c r="BZ5" i="86"/>
  <c r="BZ11" i="86" s="1"/>
  <c r="BP5" i="86"/>
  <c r="BP11" i="86" s="1"/>
  <c r="BO5" i="86"/>
  <c r="BO11" i="86" s="1"/>
  <c r="BN5" i="86"/>
  <c r="BN11" i="86" s="1"/>
  <c r="BL5" i="86"/>
  <c r="BL11" i="86" s="1"/>
  <c r="BM11" i="86" s="1"/>
  <c r="BK5" i="86"/>
  <c r="BK11" i="86" s="1"/>
  <c r="BJ5" i="86"/>
  <c r="BJ11" i="86" s="1"/>
  <c r="BH5" i="86"/>
  <c r="BH11" i="86" s="1"/>
  <c r="BG5" i="86"/>
  <c r="BS5" i="86" s="1"/>
  <c r="BF5" i="86"/>
  <c r="BF11" i="86" s="1"/>
  <c r="AZ5" i="86"/>
  <c r="AZ11" i="86" s="1"/>
  <c r="BA11" i="86" s="1"/>
  <c r="AY5" i="86"/>
  <c r="AY11" i="86" s="1"/>
  <c r="AX5" i="86"/>
  <c r="AX11" i="86" s="1"/>
  <c r="AV5" i="86"/>
  <c r="AU5" i="86"/>
  <c r="AU11" i="86" s="1"/>
  <c r="AT5" i="86"/>
  <c r="AT11" i="86" s="1"/>
  <c r="AR5" i="86"/>
  <c r="AS5" i="86" s="1"/>
  <c r="AQ5" i="86"/>
  <c r="AQ11" i="86" s="1"/>
  <c r="AP5" i="86"/>
  <c r="AP11" i="86" s="1"/>
  <c r="AN5" i="86"/>
  <c r="AM5" i="86"/>
  <c r="AM11" i="86" s="1"/>
  <c r="AL5" i="86"/>
  <c r="AL11" i="86" s="1"/>
  <c r="AJ5" i="86"/>
  <c r="AK5" i="86" s="1"/>
  <c r="AI5" i="86"/>
  <c r="AI11" i="86" s="1"/>
  <c r="AH5" i="86"/>
  <c r="AH11" i="86" s="1"/>
  <c r="AF5" i="86"/>
  <c r="AE5" i="86"/>
  <c r="AE11" i="86" s="1"/>
  <c r="AD5" i="86"/>
  <c r="AD11" i="86" s="1"/>
  <c r="AB5" i="86"/>
  <c r="AC5" i="86" s="1"/>
  <c r="AA5" i="86"/>
  <c r="AA11" i="86" s="1"/>
  <c r="Z5" i="86"/>
  <c r="Z11" i="86" s="1"/>
  <c r="X5" i="86"/>
  <c r="W5" i="86"/>
  <c r="W11" i="86" s="1"/>
  <c r="BC11" i="86" s="1"/>
  <c r="V5" i="86"/>
  <c r="V11" i="86" s="1"/>
  <c r="T5" i="86"/>
  <c r="U5" i="86" s="1"/>
  <c r="S5" i="86"/>
  <c r="R5" i="86"/>
  <c r="R11" i="86" s="1"/>
  <c r="P5" i="86"/>
  <c r="O5" i="86"/>
  <c r="O11" i="86" s="1"/>
  <c r="N5" i="86"/>
  <c r="N11" i="86" s="1"/>
  <c r="L5" i="86"/>
  <c r="M5" i="86" s="1"/>
  <c r="K5" i="86"/>
  <c r="K11" i="86" s="1"/>
  <c r="J5" i="86"/>
  <c r="J11" i="86" s="1"/>
  <c r="H5" i="86"/>
  <c r="G5" i="86"/>
  <c r="G11" i="86" s="1"/>
  <c r="F5" i="86"/>
  <c r="F11" i="86" s="1"/>
  <c r="D5" i="86"/>
  <c r="E5" i="86" s="1"/>
  <c r="C5" i="86"/>
  <c r="C11" i="86" s="1"/>
  <c r="B5" i="86"/>
  <c r="B11" i="86" s="1"/>
  <c r="BV16" i="86" l="1"/>
  <c r="CD16" i="86" s="1"/>
  <c r="CS21" i="86"/>
  <c r="CS20" i="86" s="1"/>
  <c r="CR21" i="86"/>
  <c r="CR20" i="86" s="1"/>
  <c r="CC24" i="86"/>
  <c r="CB23" i="86"/>
  <c r="CR24" i="86"/>
  <c r="CS24" i="86"/>
  <c r="CW35" i="86"/>
  <c r="CV35" i="86"/>
  <c r="CW41" i="86"/>
  <c r="CV41" i="86"/>
  <c r="BE9" i="86"/>
  <c r="BU9" i="86"/>
  <c r="BW10" i="86"/>
  <c r="CE10" i="86" s="1"/>
  <c r="CI10" i="86" s="1"/>
  <c r="BE10" i="86"/>
  <c r="BU10" i="86"/>
  <c r="CR10" i="86"/>
  <c r="BE12" i="86"/>
  <c r="BU14" i="86"/>
  <c r="CS14" i="86"/>
  <c r="CV14" i="86"/>
  <c r="BB15" i="86"/>
  <c r="BD15" i="86"/>
  <c r="CU15" i="86"/>
  <c r="CU18" i="86" s="1"/>
  <c r="CR15" i="86"/>
  <c r="CV16" i="86"/>
  <c r="CV15" i="86" s="1"/>
  <c r="CV18" i="86" s="1"/>
  <c r="BE17" i="86"/>
  <c r="C28" i="86"/>
  <c r="C29" i="86" s="1"/>
  <c r="F28" i="86"/>
  <c r="K28" i="86"/>
  <c r="K29" i="86" s="1"/>
  <c r="N28" i="86"/>
  <c r="AA28" i="86"/>
  <c r="AA29" i="86" s="1"/>
  <c r="AD28" i="86"/>
  <c r="AI28" i="86"/>
  <c r="AI29" i="86" s="1"/>
  <c r="AL28" i="86"/>
  <c r="BE21" i="86"/>
  <c r="CW20" i="86"/>
  <c r="CW28" i="86" s="1"/>
  <c r="BL23" i="86"/>
  <c r="BM23" i="86" s="1"/>
  <c r="BT24" i="86"/>
  <c r="BI24" i="86"/>
  <c r="BH23" i="86"/>
  <c r="BI23" i="86" s="1"/>
  <c r="BQ24" i="86"/>
  <c r="BP23" i="86"/>
  <c r="BQ23" i="86" s="1"/>
  <c r="CW24" i="86"/>
  <c r="CV24" i="86"/>
  <c r="BH42" i="86"/>
  <c r="BI35" i="86"/>
  <c r="CR35" i="86"/>
  <c r="CS35" i="86"/>
  <c r="CS36" i="86"/>
  <c r="CR36" i="86"/>
  <c r="CS44" i="86"/>
  <c r="CR44" i="86"/>
  <c r="CS46" i="86"/>
  <c r="CR46" i="86"/>
  <c r="BU22" i="86"/>
  <c r="AW23" i="86"/>
  <c r="BR23" i="86"/>
  <c r="BV25" i="86"/>
  <c r="CD25" i="86" s="1"/>
  <c r="BU27" i="86"/>
  <c r="BE36" i="86"/>
  <c r="BC37" i="86"/>
  <c r="BD37" i="86"/>
  <c r="BU39" i="86"/>
  <c r="CY41" i="86"/>
  <c r="BV43" i="86"/>
  <c r="CD43" i="86" s="1"/>
  <c r="CH43" i="86" s="1"/>
  <c r="BU43" i="86"/>
  <c r="F50" i="86"/>
  <c r="F52" i="86" s="1"/>
  <c r="N50" i="86"/>
  <c r="N52" i="86" s="1"/>
  <c r="BU47" i="86"/>
  <c r="M54" i="86"/>
  <c r="U54" i="86"/>
  <c r="BB54" i="86"/>
  <c r="BD54" i="86"/>
  <c r="AC54" i="86"/>
  <c r="AK54" i="86"/>
  <c r="AS54" i="86"/>
  <c r="BA54" i="86"/>
  <c r="BW6" i="86"/>
  <c r="BW5" i="86" s="1"/>
  <c r="BW11" i="86" s="1"/>
  <c r="CY6" i="86"/>
  <c r="BV7" i="86"/>
  <c r="CD7" i="86" s="1"/>
  <c r="CH7" i="86" s="1"/>
  <c r="BW8" i="86"/>
  <c r="CE8" i="86" s="1"/>
  <c r="CI8" i="86" s="1"/>
  <c r="BV9" i="86"/>
  <c r="CD9" i="86" s="1"/>
  <c r="CH9" i="86" s="1"/>
  <c r="BV10" i="86"/>
  <c r="CD10" i="86" s="1"/>
  <c r="CH10" i="86" s="1"/>
  <c r="BW12" i="86"/>
  <c r="CE12" i="86" s="1"/>
  <c r="CI12" i="86" s="1"/>
  <c r="BV14" i="86"/>
  <c r="CD14" i="86" s="1"/>
  <c r="CH14" i="86" s="1"/>
  <c r="BC15" i="86"/>
  <c r="BE15" i="86" s="1"/>
  <c r="BS15" i="86"/>
  <c r="CM18" i="86"/>
  <c r="X18" i="86"/>
  <c r="BT20" i="86"/>
  <c r="BW21" i="86"/>
  <c r="BV22" i="86"/>
  <c r="CD22" i="86" s="1"/>
  <c r="CH22" i="86" s="1"/>
  <c r="BW27" i="86"/>
  <c r="CE27" i="86" s="1"/>
  <c r="CI27" i="86" s="1"/>
  <c r="CR34" i="86"/>
  <c r="CS34" i="86"/>
  <c r="BW46" i="86"/>
  <c r="CE46" i="86" s="1"/>
  <c r="CI46" i="86" s="1"/>
  <c r="BV47" i="86"/>
  <c r="CD47" i="86" s="1"/>
  <c r="CH47" i="86" s="1"/>
  <c r="BW51" i="86"/>
  <c r="CW51" i="86"/>
  <c r="CV51" i="86"/>
  <c r="BW55" i="86"/>
  <c r="CE55" i="86" s="1"/>
  <c r="I5" i="86"/>
  <c r="Q5" i="86"/>
  <c r="S11" i="86"/>
  <c r="S19" i="86" s="1"/>
  <c r="Y5" i="86"/>
  <c r="AG5" i="86"/>
  <c r="AO5" i="86"/>
  <c r="AW5" i="86"/>
  <c r="BR11" i="86"/>
  <c r="BT11" i="86"/>
  <c r="CL5" i="86"/>
  <c r="CL11" i="86" s="1"/>
  <c r="CQ5" i="86"/>
  <c r="CQ11" i="86" s="1"/>
  <c r="CU5" i="86"/>
  <c r="CU11" i="86" s="1"/>
  <c r="BE6" i="86"/>
  <c r="BV6" i="86"/>
  <c r="BX6" i="86"/>
  <c r="BY6" i="86" s="1"/>
  <c r="CR6" i="86"/>
  <c r="CR5" i="86" s="1"/>
  <c r="BE7" i="86"/>
  <c r="BW7" i="86"/>
  <c r="CV7" i="86"/>
  <c r="BE8" i="86"/>
  <c r="BV8" i="86"/>
  <c r="CD8" i="86" s="1"/>
  <c r="CH8" i="86" s="1"/>
  <c r="BX8" i="86"/>
  <c r="CY8" i="86"/>
  <c r="BW9" i="86"/>
  <c r="CE9" i="86" s="1"/>
  <c r="CI9" i="86" s="1"/>
  <c r="BX10" i="86"/>
  <c r="CF10" i="86" s="1"/>
  <c r="CY10" i="86"/>
  <c r="BU12" i="86"/>
  <c r="CS12" i="86"/>
  <c r="CV12" i="86"/>
  <c r="BE13" i="86"/>
  <c r="CR13" i="86"/>
  <c r="BE14" i="86"/>
  <c r="BR15" i="86"/>
  <c r="BT15" i="86"/>
  <c r="BU15" i="86" s="1"/>
  <c r="CO15" i="86"/>
  <c r="CQ15" i="86"/>
  <c r="BE16" i="86"/>
  <c r="BW16" i="86"/>
  <c r="BU17" i="86"/>
  <c r="BW17" i="86"/>
  <c r="CE17" i="86" s="1"/>
  <c r="CI17" i="86" s="1"/>
  <c r="V18" i="86"/>
  <c r="V19" i="86" s="1"/>
  <c r="V29" i="86" s="1"/>
  <c r="BF18" i="86"/>
  <c r="BU21" i="86"/>
  <c r="BE22" i="86"/>
  <c r="BW22" i="86"/>
  <c r="CE22" i="86" s="1"/>
  <c r="CI22" i="86" s="1"/>
  <c r="Y23" i="86"/>
  <c r="AQ23" i="86"/>
  <c r="BC23" i="86" s="1"/>
  <c r="CS23" i="86"/>
  <c r="CR23" i="86"/>
  <c r="CW26" i="86"/>
  <c r="CV26" i="86"/>
  <c r="CS27" i="86"/>
  <c r="CS28" i="86" s="1"/>
  <c r="CR27" i="86"/>
  <c r="CW33" i="86"/>
  <c r="CV33" i="86"/>
  <c r="CW34" i="86"/>
  <c r="CV34" i="86"/>
  <c r="BE37" i="86"/>
  <c r="BS37" i="86"/>
  <c r="BG42" i="86"/>
  <c r="BG50" i="86" s="1"/>
  <c r="BW38" i="86"/>
  <c r="BW39" i="86"/>
  <c r="W42" i="86"/>
  <c r="C50" i="86"/>
  <c r="C52" i="86" s="1"/>
  <c r="K50" i="86"/>
  <c r="K52" i="86" s="1"/>
  <c r="S50" i="86"/>
  <c r="S52" i="86" s="1"/>
  <c r="AD49" i="86"/>
  <c r="AD50" i="86" s="1"/>
  <c r="AD52" i="86" s="1"/>
  <c r="AF45" i="86"/>
  <c r="AG45" i="86" s="1"/>
  <c r="E54" i="86"/>
  <c r="BE54" i="86"/>
  <c r="BC54" i="86"/>
  <c r="BS54" i="86"/>
  <c r="BW54" i="86" s="1"/>
  <c r="CE54" i="86" s="1"/>
  <c r="BW56" i="86"/>
  <c r="CE56" i="86" s="1"/>
  <c r="E23" i="86"/>
  <c r="M23" i="86"/>
  <c r="AC23" i="86"/>
  <c r="AK23" i="86"/>
  <c r="AS23" i="86"/>
  <c r="BA23" i="86"/>
  <c r="BS23" i="86"/>
  <c r="BV24" i="86"/>
  <c r="CD24" i="86" s="1"/>
  <c r="BU25" i="86"/>
  <c r="BV26" i="86"/>
  <c r="CD26" i="86" s="1"/>
  <c r="CH26" i="86" s="1"/>
  <c r="BU26" i="86"/>
  <c r="BE27" i="86"/>
  <c r="BU34" i="86"/>
  <c r="BW34" i="86"/>
  <c r="BV35" i="86"/>
  <c r="CD35" i="86" s="1"/>
  <c r="CH35" i="86" s="1"/>
  <c r="BW36" i="86"/>
  <c r="CE36" i="86" s="1"/>
  <c r="CI36" i="86" s="1"/>
  <c r="Y37" i="86"/>
  <c r="BI37" i="86"/>
  <c r="BE38" i="86"/>
  <c r="CY38" i="86"/>
  <c r="BE39" i="86"/>
  <c r="BW40" i="86"/>
  <c r="CE40" i="86" s="1"/>
  <c r="BV41" i="86"/>
  <c r="CD41" i="86" s="1"/>
  <c r="CH41" i="86" s="1"/>
  <c r="BU41" i="86"/>
  <c r="BU44" i="86"/>
  <c r="AL50" i="86"/>
  <c r="AL52" i="86" s="1"/>
  <c r="AT50" i="86"/>
  <c r="AT52" i="86" s="1"/>
  <c r="AY50" i="86"/>
  <c r="AY52" i="86" s="1"/>
  <c r="BR45" i="86"/>
  <c r="BV45" i="86" s="1"/>
  <c r="BK50" i="86"/>
  <c r="BK52" i="86" s="1"/>
  <c r="BN50" i="86"/>
  <c r="BN52" i="86" s="1"/>
  <c r="CA50" i="86"/>
  <c r="CA52" i="86" s="1"/>
  <c r="CL50" i="86"/>
  <c r="CL52" i="86" s="1"/>
  <c r="BE46" i="86"/>
  <c r="BE47" i="86"/>
  <c r="BW47" i="86"/>
  <c r="CE47" i="86" s="1"/>
  <c r="CI47" i="86" s="1"/>
  <c r="BW48" i="86"/>
  <c r="CE48" i="86" s="1"/>
  <c r="CI48" i="86" s="1"/>
  <c r="BU51" i="86"/>
  <c r="I54" i="86"/>
  <c r="Q54" i="86"/>
  <c r="Y54" i="86"/>
  <c r="AG54" i="86"/>
  <c r="AO54" i="86"/>
  <c r="AW54" i="86"/>
  <c r="BR54" i="86"/>
  <c r="BV54" i="86" s="1"/>
  <c r="CD54" i="86" s="1"/>
  <c r="BT54" i="86"/>
  <c r="BM54" i="86"/>
  <c r="BE55" i="86"/>
  <c r="BE56" i="86"/>
  <c r="BB11" i="86"/>
  <c r="BQ11" i="86"/>
  <c r="CD6" i="86"/>
  <c r="CF6" i="86"/>
  <c r="CO6" i="86"/>
  <c r="CF8" i="86"/>
  <c r="BY8" i="86"/>
  <c r="CE6" i="86"/>
  <c r="CM5" i="86"/>
  <c r="CN7" i="86"/>
  <c r="CO7" i="86" s="1"/>
  <c r="BB5" i="86"/>
  <c r="BD5" i="86"/>
  <c r="BR5" i="86"/>
  <c r="BT5" i="86"/>
  <c r="BU5" i="86" s="1"/>
  <c r="BU6" i="86"/>
  <c r="CW6" i="86"/>
  <c r="CW5" i="86" s="1"/>
  <c r="BX7" i="86"/>
  <c r="CS7" i="86"/>
  <c r="CS5" i="86" s="1"/>
  <c r="CY7" i="86"/>
  <c r="BU8" i="86"/>
  <c r="CR8" i="86"/>
  <c r="CW8" i="86"/>
  <c r="BX9" i="86"/>
  <c r="CS9" i="86"/>
  <c r="CV9" i="86"/>
  <c r="CY9" i="86"/>
  <c r="CW10" i="86"/>
  <c r="D11" i="86"/>
  <c r="E11" i="86" s="1"/>
  <c r="H11" i="86"/>
  <c r="I11" i="86" s="1"/>
  <c r="L11" i="86"/>
  <c r="M11" i="86" s="1"/>
  <c r="P11" i="86"/>
  <c r="Q11" i="86" s="1"/>
  <c r="T11" i="86"/>
  <c r="X11" i="86"/>
  <c r="AB11" i="86"/>
  <c r="AC11" i="86" s="1"/>
  <c r="AF11" i="86"/>
  <c r="AG11" i="86" s="1"/>
  <c r="AJ11" i="86"/>
  <c r="AK11" i="86" s="1"/>
  <c r="AN11" i="86"/>
  <c r="AO11" i="86" s="1"/>
  <c r="AR11" i="86"/>
  <c r="AS11" i="86" s="1"/>
  <c r="AV11" i="86"/>
  <c r="AW11" i="86" s="1"/>
  <c r="BG11" i="86"/>
  <c r="BS11" i="86" s="1"/>
  <c r="BX12" i="86"/>
  <c r="CY12" i="86"/>
  <c r="BV13" i="86"/>
  <c r="CD13" i="86" s="1"/>
  <c r="CH13" i="86" s="1"/>
  <c r="BX13" i="86"/>
  <c r="BW13" i="86"/>
  <c r="CE13" i="86" s="1"/>
  <c r="CI13" i="86" s="1"/>
  <c r="BW14" i="86"/>
  <c r="CE14" i="86" s="1"/>
  <c r="CI14" i="86" s="1"/>
  <c r="CY14" i="86"/>
  <c r="C19" i="86"/>
  <c r="E15" i="86"/>
  <c r="G19" i="86"/>
  <c r="G29" i="86" s="1"/>
  <c r="I15" i="86"/>
  <c r="K19" i="86"/>
  <c r="M15" i="86"/>
  <c r="O19" i="86"/>
  <c r="Q15" i="86"/>
  <c r="U15" i="86"/>
  <c r="BC18" i="86"/>
  <c r="W19" i="86"/>
  <c r="Y15" i="86"/>
  <c r="AA19" i="86"/>
  <c r="AC15" i="86"/>
  <c r="AE19" i="86"/>
  <c r="AE29" i="86" s="1"/>
  <c r="AG15" i="86"/>
  <c r="AI19" i="86"/>
  <c r="AK15" i="86"/>
  <c r="AM19" i="86"/>
  <c r="AO15" i="86"/>
  <c r="AQ19" i="86"/>
  <c r="AS15" i="86"/>
  <c r="AU19" i="86"/>
  <c r="AU29" i="86" s="1"/>
  <c r="AW15" i="86"/>
  <c r="AY19" i="86"/>
  <c r="BA15" i="86"/>
  <c r="BS18" i="86"/>
  <c r="BG19" i="86"/>
  <c r="BI15" i="86"/>
  <c r="BK19" i="86"/>
  <c r="BM15" i="86"/>
  <c r="BO19" i="86"/>
  <c r="BQ15" i="86"/>
  <c r="CA19" i="86"/>
  <c r="CC15" i="86"/>
  <c r="CY15" i="86"/>
  <c r="BX16" i="86"/>
  <c r="CS16" i="86"/>
  <c r="CS15" i="86" s="1"/>
  <c r="CS18" i="86" s="1"/>
  <c r="CN18" i="86"/>
  <c r="CY17" i="86"/>
  <c r="CV17" i="86"/>
  <c r="B19" i="86"/>
  <c r="B29" i="86" s="1"/>
  <c r="F19" i="86"/>
  <c r="J19" i="86"/>
  <c r="J29" i="86" s="1"/>
  <c r="N19" i="86"/>
  <c r="R19" i="86"/>
  <c r="R29" i="86" s="1"/>
  <c r="Z19" i="86"/>
  <c r="Z29" i="86" s="1"/>
  <c r="AD19" i="86"/>
  <c r="AH19" i="86"/>
  <c r="AH29" i="86" s="1"/>
  <c r="AL19" i="86"/>
  <c r="AP19" i="86"/>
  <c r="AP29" i="86" s="1"/>
  <c r="AT19" i="86"/>
  <c r="AX19" i="86"/>
  <c r="AX29" i="86" s="1"/>
  <c r="CP19" i="86"/>
  <c r="CP29" i="86" s="1"/>
  <c r="O29" i="86"/>
  <c r="AM29" i="86"/>
  <c r="BF28" i="86"/>
  <c r="BR20" i="86"/>
  <c r="BI20" i="86"/>
  <c r="BH28" i="86"/>
  <c r="BK29" i="86"/>
  <c r="BQ20" i="86"/>
  <c r="BP28" i="86"/>
  <c r="CE21" i="86"/>
  <c r="CD21" i="86"/>
  <c r="BV23" i="86"/>
  <c r="CD23" i="86" s="1"/>
  <c r="BA5" i="86"/>
  <c r="BC5" i="86"/>
  <c r="BI5" i="86"/>
  <c r="BM5" i="86"/>
  <c r="BQ5" i="86"/>
  <c r="CC5" i="86"/>
  <c r="CV6" i="86"/>
  <c r="CC7" i="86"/>
  <c r="U10" i="86"/>
  <c r="CV10" i="86"/>
  <c r="BI11" i="86"/>
  <c r="CY13" i="86"/>
  <c r="CV13" i="86"/>
  <c r="BX14" i="86"/>
  <c r="CQ18" i="86"/>
  <c r="CW18" i="86"/>
  <c r="CR18" i="86"/>
  <c r="CY16" i="86"/>
  <c r="BV17" i="86"/>
  <c r="CD17" i="86" s="1"/>
  <c r="CH17" i="86" s="1"/>
  <c r="BX17" i="86"/>
  <c r="D19" i="86"/>
  <c r="E19" i="86" s="1"/>
  <c r="E18" i="86"/>
  <c r="H19" i="86"/>
  <c r="I19" i="86" s="1"/>
  <c r="I18" i="86"/>
  <c r="L19" i="86"/>
  <c r="M19" i="86" s="1"/>
  <c r="M18" i="86"/>
  <c r="P19" i="86"/>
  <c r="Q19" i="86" s="1"/>
  <c r="Q18" i="86"/>
  <c r="T19" i="86"/>
  <c r="U18" i="86"/>
  <c r="X19" i="86"/>
  <c r="Y18" i="86"/>
  <c r="BD18" i="86"/>
  <c r="BE18" i="86" s="1"/>
  <c r="AC18" i="86"/>
  <c r="AF19" i="86"/>
  <c r="AG19" i="86" s="1"/>
  <c r="AG18" i="86"/>
  <c r="AK18" i="86"/>
  <c r="AO18" i="86"/>
  <c r="AS18" i="86"/>
  <c r="BF19" i="86"/>
  <c r="BJ19" i="86"/>
  <c r="BJ29" i="86" s="1"/>
  <c r="BN19" i="86"/>
  <c r="BN29" i="86" s="1"/>
  <c r="BR18" i="86"/>
  <c r="BZ19" i="86"/>
  <c r="BZ29" i="86" s="1"/>
  <c r="CL19" i="86"/>
  <c r="CT19" i="86"/>
  <c r="F29" i="86"/>
  <c r="I20" i="86"/>
  <c r="H28" i="86"/>
  <c r="N29" i="86"/>
  <c r="Q20" i="86"/>
  <c r="P28" i="86"/>
  <c r="BB28" i="86"/>
  <c r="Y20" i="86"/>
  <c r="X28" i="86"/>
  <c r="BD20" i="86"/>
  <c r="AD29" i="86"/>
  <c r="AG20" i="86"/>
  <c r="AF28" i="86"/>
  <c r="AL29" i="86"/>
  <c r="AO20" i="86"/>
  <c r="AN28" i="86"/>
  <c r="AT29" i="86"/>
  <c r="AW20" i="86"/>
  <c r="AV28" i="86"/>
  <c r="AY29" i="86"/>
  <c r="BB20" i="86"/>
  <c r="BO29" i="86"/>
  <c r="CL29" i="86"/>
  <c r="CT29" i="86"/>
  <c r="CC21" i="86"/>
  <c r="CB20" i="86"/>
  <c r="AW18" i="86"/>
  <c r="AZ19" i="86"/>
  <c r="BA18" i="86"/>
  <c r="BH19" i="86"/>
  <c r="BI18" i="86"/>
  <c r="BL19" i="86"/>
  <c r="BM18" i="86"/>
  <c r="BP19" i="86"/>
  <c r="BQ18" i="86"/>
  <c r="BT18" i="86"/>
  <c r="CB19" i="86"/>
  <c r="CC19" i="86" s="1"/>
  <c r="CC18" i="86"/>
  <c r="BS28" i="86"/>
  <c r="BX21" i="86"/>
  <c r="CN21" i="86"/>
  <c r="CM20" i="86"/>
  <c r="CM28" i="86" s="1"/>
  <c r="CY21" i="86"/>
  <c r="CV21" i="86"/>
  <c r="CU20" i="86"/>
  <c r="BX22" i="86"/>
  <c r="BY22" i="86" s="1"/>
  <c r="CY22" i="86"/>
  <c r="CV22" i="86"/>
  <c r="BD23" i="86"/>
  <c r="Y24" i="86"/>
  <c r="BC24" i="86"/>
  <c r="BE24" i="86" s="1"/>
  <c r="BX24" i="86"/>
  <c r="BU24" i="86"/>
  <c r="CY24" i="86"/>
  <c r="BD25" i="86"/>
  <c r="BE25" i="86" s="1"/>
  <c r="Y25" i="86"/>
  <c r="BX25" i="86"/>
  <c r="CF25" i="86" s="1"/>
  <c r="BW26" i="86"/>
  <c r="CS26" i="86"/>
  <c r="CY27" i="86"/>
  <c r="CV27" i="86"/>
  <c r="CR33" i="86"/>
  <c r="CS33" i="86"/>
  <c r="BU36" i="86"/>
  <c r="CY36" i="86"/>
  <c r="CV36" i="86"/>
  <c r="CW36" i="86"/>
  <c r="BL42" i="86"/>
  <c r="BM42" i="86" s="1"/>
  <c r="BM37" i="86"/>
  <c r="BR37" i="86"/>
  <c r="CB42" i="86"/>
  <c r="CC42" i="86" s="1"/>
  <c r="CC37" i="86"/>
  <c r="CR38" i="86"/>
  <c r="CQ37" i="86"/>
  <c r="CQ42" i="86" s="1"/>
  <c r="CS38" i="86"/>
  <c r="CN40" i="86"/>
  <c r="CM37" i="86"/>
  <c r="Z50" i="86"/>
  <c r="Z52" i="86" s="1"/>
  <c r="CY23" i="86"/>
  <c r="CV23" i="86"/>
  <c r="U24" i="86"/>
  <c r="S23" i="86"/>
  <c r="S28" i="86" s="1"/>
  <c r="BW24" i="86"/>
  <c r="BW25" i="86"/>
  <c r="CH25" i="86"/>
  <c r="CC25" i="86"/>
  <c r="CY25" i="86"/>
  <c r="CV25" i="86"/>
  <c r="BX26" i="86"/>
  <c r="BY26" i="86" s="1"/>
  <c r="CA26" i="86" s="1"/>
  <c r="CY26" i="86"/>
  <c r="BV27" i="86"/>
  <c r="CD27" i="86" s="1"/>
  <c r="CH27" i="86" s="1"/>
  <c r="BX27" i="86"/>
  <c r="D28" i="86"/>
  <c r="L28" i="86"/>
  <c r="T28" i="86"/>
  <c r="AB28" i="86"/>
  <c r="AJ28" i="86"/>
  <c r="AR28" i="86"/>
  <c r="AZ28" i="86"/>
  <c r="W29" i="86"/>
  <c r="BG29" i="86"/>
  <c r="AO33" i="86"/>
  <c r="AM42" i="86"/>
  <c r="BU33" i="86"/>
  <c r="BV34" i="86"/>
  <c r="CD34" i="86" s="1"/>
  <c r="CH34" i="86" s="1"/>
  <c r="BX34" i="86"/>
  <c r="AK35" i="86"/>
  <c r="BC35" i="86"/>
  <c r="BW35" i="86" s="1"/>
  <c r="CN36" i="86"/>
  <c r="CO36" i="86" s="1"/>
  <c r="CM42" i="86"/>
  <c r="D42" i="86"/>
  <c r="E42" i="86" s="1"/>
  <c r="E37" i="86"/>
  <c r="L42" i="86"/>
  <c r="M42" i="86" s="1"/>
  <c r="M37" i="86"/>
  <c r="T42" i="86"/>
  <c r="U42" i="86" s="1"/>
  <c r="U37" i="86"/>
  <c r="AB42" i="86"/>
  <c r="AC42" i="86" s="1"/>
  <c r="AC37" i="86"/>
  <c r="AJ42" i="86"/>
  <c r="AK37" i="86"/>
  <c r="AR42" i="86"/>
  <c r="AS37" i="86"/>
  <c r="AZ42" i="86"/>
  <c r="BA42" i="86" s="1"/>
  <c r="BA37" i="86"/>
  <c r="BU38" i="86"/>
  <c r="BV39" i="86"/>
  <c r="CD39" i="86" s="1"/>
  <c r="CH39" i="86" s="1"/>
  <c r="BX39" i="86"/>
  <c r="CI40" i="86"/>
  <c r="CI37" i="86" s="1"/>
  <c r="BU40" i="86"/>
  <c r="CY40" i="86"/>
  <c r="CV40" i="86"/>
  <c r="CU37" i="86"/>
  <c r="CY37" i="86" s="1"/>
  <c r="CW40" i="86"/>
  <c r="CW37" i="86" s="1"/>
  <c r="CF41" i="86"/>
  <c r="CR41" i="86"/>
  <c r="CS41" i="86"/>
  <c r="V50" i="86"/>
  <c r="BB49" i="86"/>
  <c r="BJ50" i="86"/>
  <c r="BJ52" i="86" s="1"/>
  <c r="BZ50" i="86"/>
  <c r="AM49" i="86"/>
  <c r="AO43" i="86"/>
  <c r="H49" i="86"/>
  <c r="I45" i="86"/>
  <c r="P49" i="86"/>
  <c r="Q45" i="86"/>
  <c r="AB49" i="86"/>
  <c r="AC45" i="86"/>
  <c r="AE45" i="86" s="1"/>
  <c r="AE49" i="86" s="1"/>
  <c r="AE50" i="86" s="1"/>
  <c r="AE52" i="86" s="1"/>
  <c r="AF49" i="86"/>
  <c r="AN49" i="86"/>
  <c r="AO45" i="86"/>
  <c r="AV49" i="86"/>
  <c r="AW45" i="86"/>
  <c r="BB45" i="86"/>
  <c r="BH49" i="86"/>
  <c r="BI45" i="86"/>
  <c r="BP49" i="86"/>
  <c r="BQ45" i="86"/>
  <c r="BT45" i="86"/>
  <c r="BV46" i="86"/>
  <c r="CD46" i="86" s="1"/>
  <c r="CH46" i="86" s="1"/>
  <c r="BX46" i="86"/>
  <c r="CI45" i="86"/>
  <c r="CI49" i="86" s="1"/>
  <c r="BU48" i="86"/>
  <c r="CY48" i="86"/>
  <c r="CV48" i="86"/>
  <c r="B50" i="86"/>
  <c r="B52" i="86" s="1"/>
  <c r="J50" i="86"/>
  <c r="J52" i="86" s="1"/>
  <c r="R50" i="86"/>
  <c r="R52" i="86" s="1"/>
  <c r="AH50" i="86"/>
  <c r="AH52" i="86" s="1"/>
  <c r="AP50" i="86"/>
  <c r="AP52" i="86" s="1"/>
  <c r="AX50" i="86"/>
  <c r="AX52" i="86" s="1"/>
  <c r="BF49" i="86"/>
  <c r="CT49" i="86"/>
  <c r="CT50" i="86" s="1"/>
  <c r="CT52" i="86" s="1"/>
  <c r="CR51" i="86"/>
  <c r="CS51" i="86"/>
  <c r="CY51" i="86"/>
  <c r="BV55" i="86"/>
  <c r="CD55" i="86" s="1"/>
  <c r="BX55" i="86"/>
  <c r="BU57" i="86"/>
  <c r="BC20" i="86"/>
  <c r="BS20" i="86"/>
  <c r="BC33" i="86"/>
  <c r="BW33" i="86" s="1"/>
  <c r="AS33" i="86"/>
  <c r="BE33" i="86"/>
  <c r="BV33" i="86"/>
  <c r="BX33" i="86"/>
  <c r="CO33" i="86"/>
  <c r="CY34" i="86"/>
  <c r="X42" i="86"/>
  <c r="BD35" i="86"/>
  <c r="BE35" i="86" s="1"/>
  <c r="Y35" i="86"/>
  <c r="BT42" i="86"/>
  <c r="CY35" i="86"/>
  <c r="BV36" i="86"/>
  <c r="CD36" i="86" s="1"/>
  <c r="CH36" i="86" s="1"/>
  <c r="BX36" i="86"/>
  <c r="H42" i="86"/>
  <c r="I42" i="86" s="1"/>
  <c r="I37" i="86"/>
  <c r="P42" i="86"/>
  <c r="Q42" i="86" s="1"/>
  <c r="Q37" i="86"/>
  <c r="BB42" i="86"/>
  <c r="AF42" i="86"/>
  <c r="AG42" i="86" s="1"/>
  <c r="AG37" i="86"/>
  <c r="AN42" i="86"/>
  <c r="AO37" i="86"/>
  <c r="AV42" i="86"/>
  <c r="AW42" i="86" s="1"/>
  <c r="AW37" i="86"/>
  <c r="BB37" i="86"/>
  <c r="BR42" i="86"/>
  <c r="BP42" i="86"/>
  <c r="BQ42" i="86" s="1"/>
  <c r="BQ37" i="86"/>
  <c r="BT37" i="86"/>
  <c r="BV38" i="86"/>
  <c r="BX38" i="86"/>
  <c r="CY39" i="86"/>
  <c r="BV40" i="86"/>
  <c r="CD40" i="86" s="1"/>
  <c r="CH40" i="86" s="1"/>
  <c r="BX40" i="86"/>
  <c r="BW41" i="86"/>
  <c r="CE41" i="86" s="1"/>
  <c r="CI41" i="86" s="1"/>
  <c r="AI42" i="86"/>
  <c r="AQ42" i="86"/>
  <c r="AI49" i="86"/>
  <c r="AI50" i="86" s="1"/>
  <c r="AI52" i="86" s="1"/>
  <c r="AK43" i="86"/>
  <c r="BC43" i="86"/>
  <c r="BE43" i="86" s="1"/>
  <c r="BX43" i="86"/>
  <c r="CN43" i="86"/>
  <c r="CU49" i="86"/>
  <c r="CY43" i="86"/>
  <c r="CV43" i="86"/>
  <c r="BC44" i="86"/>
  <c r="BE44" i="86" s="1"/>
  <c r="BX44" i="86"/>
  <c r="CY44" i="86"/>
  <c r="CV44" i="86"/>
  <c r="D49" i="86"/>
  <c r="E45" i="86"/>
  <c r="G50" i="86"/>
  <c r="G52" i="86" s="1"/>
  <c r="L49" i="86"/>
  <c r="M45" i="86"/>
  <c r="O50" i="86"/>
  <c r="O52" i="86" s="1"/>
  <c r="T49" i="86"/>
  <c r="U45" i="86"/>
  <c r="W45" i="86" s="1"/>
  <c r="X45" i="86"/>
  <c r="AA50" i="86"/>
  <c r="AA52" i="86" s="1"/>
  <c r="AJ49" i="86"/>
  <c r="AK45" i="86"/>
  <c r="AR49" i="86"/>
  <c r="AS45" i="86"/>
  <c r="AU50" i="86"/>
  <c r="AU52" i="86" s="1"/>
  <c r="AZ49" i="86"/>
  <c r="BA45" i="86"/>
  <c r="BL49" i="86"/>
  <c r="BM45" i="86"/>
  <c r="BO50" i="86"/>
  <c r="BO52" i="86" s="1"/>
  <c r="CB49" i="86"/>
  <c r="CC45" i="86"/>
  <c r="CV45" i="86"/>
  <c r="CN46" i="86"/>
  <c r="CM45" i="86"/>
  <c r="CM49" i="86" s="1"/>
  <c r="CM50" i="86" s="1"/>
  <c r="CM52" i="86" s="1"/>
  <c r="CY46" i="86"/>
  <c r="CV46" i="86"/>
  <c r="BX47" i="86"/>
  <c r="CR47" i="86"/>
  <c r="CR45" i="86" s="1"/>
  <c r="CR49" i="86" s="1"/>
  <c r="CQ45" i="86"/>
  <c r="CS45" i="86" s="1"/>
  <c r="CY47" i="86"/>
  <c r="BV48" i="86"/>
  <c r="CD48" i="86" s="1"/>
  <c r="CH48" i="86" s="1"/>
  <c r="BX48" i="86"/>
  <c r="CW48" i="86"/>
  <c r="CE51" i="86"/>
  <c r="BC57" i="86"/>
  <c r="BW57" i="86" s="1"/>
  <c r="CE57" i="86" s="1"/>
  <c r="AW57" i="86"/>
  <c r="BT35" i="86"/>
  <c r="CQ49" i="86"/>
  <c r="CS43" i="86"/>
  <c r="BS45" i="86"/>
  <c r="BW45" i="86" s="1"/>
  <c r="CE45" i="86" s="1"/>
  <c r="CE49" i="86" s="1"/>
  <c r="BX51" i="86"/>
  <c r="BU56" i="86"/>
  <c r="CO51" i="86"/>
  <c r="BV56" i="86"/>
  <c r="CD56" i="86" s="1"/>
  <c r="BX56" i="86"/>
  <c r="BY56" i="86" s="1"/>
  <c r="AK57" i="86"/>
  <c r="AS57" i="86"/>
  <c r="BD57" i="86"/>
  <c r="BV57" i="86"/>
  <c r="CD57" i="86" s="1"/>
  <c r="BX57" i="86"/>
  <c r="CB54" i="86"/>
  <c r="U19" i="86" l="1"/>
  <c r="CF56" i="86"/>
  <c r="CG56" i="86" s="1"/>
  <c r="CS49" i="86"/>
  <c r="BU20" i="86"/>
  <c r="CW42" i="86"/>
  <c r="CW50" i="86" s="1"/>
  <c r="CW52" i="86" s="1"/>
  <c r="CV37" i="86"/>
  <c r="BS29" i="86"/>
  <c r="BL28" i="86"/>
  <c r="BT23" i="86"/>
  <c r="BU23" i="86" s="1"/>
  <c r="CH24" i="86"/>
  <c r="BU18" i="86"/>
  <c r="BA19" i="86"/>
  <c r="AV19" i="86"/>
  <c r="AW19" i="86" s="1"/>
  <c r="AN19" i="86"/>
  <c r="AO19" i="86" s="1"/>
  <c r="CQ19" i="86"/>
  <c r="CQ29" i="86" s="1"/>
  <c r="CV5" i="86"/>
  <c r="BV20" i="86"/>
  <c r="BV28" i="86" s="1"/>
  <c r="BU11" i="86"/>
  <c r="U11" i="86"/>
  <c r="BY10" i="86"/>
  <c r="CV42" i="86"/>
  <c r="CR28" i="86"/>
  <c r="BV5" i="86"/>
  <c r="BV11" i="86" s="1"/>
  <c r="CD45" i="86"/>
  <c r="CD49" i="86" s="1"/>
  <c r="BV49" i="86"/>
  <c r="CI42" i="86"/>
  <c r="CS11" i="86"/>
  <c r="CS19" i="86" s="1"/>
  <c r="CS29" i="86" s="1"/>
  <c r="AQ28" i="86"/>
  <c r="BC42" i="86"/>
  <c r="BU37" i="86"/>
  <c r="AO42" i="86"/>
  <c r="BY55" i="86"/>
  <c r="AM50" i="86"/>
  <c r="AM52" i="86" s="1"/>
  <c r="S29" i="86"/>
  <c r="BX23" i="86"/>
  <c r="CF23" i="86" s="1"/>
  <c r="CG23" i="86" s="1"/>
  <c r="CF22" i="86"/>
  <c r="BE23" i="86"/>
  <c r="BQ19" i="86"/>
  <c r="BM19" i="86"/>
  <c r="AR19" i="86"/>
  <c r="AS19" i="86" s="1"/>
  <c r="AJ19" i="86"/>
  <c r="AK19" i="86" s="1"/>
  <c r="AB19" i="86"/>
  <c r="AC19" i="86" s="1"/>
  <c r="BW20" i="86"/>
  <c r="BW28" i="86" s="1"/>
  <c r="BW29" i="86" s="1"/>
  <c r="BB18" i="86"/>
  <c r="CR11" i="86"/>
  <c r="CR19" i="86" s="1"/>
  <c r="CR29" i="86" s="1"/>
  <c r="BY7" i="86"/>
  <c r="BU54" i="86"/>
  <c r="BX54" i="86"/>
  <c r="BY54" i="86" s="1"/>
  <c r="BS42" i="86"/>
  <c r="BU42" i="86" s="1"/>
  <c r="BI42" i="86"/>
  <c r="CE16" i="86"/>
  <c r="BW15" i="86"/>
  <c r="BW18" i="86" s="1"/>
  <c r="BW19" i="86" s="1"/>
  <c r="CJ23" i="86"/>
  <c r="CK23" i="86" s="1"/>
  <c r="BY51" i="86"/>
  <c r="CQ50" i="86"/>
  <c r="CQ52" i="86" s="1"/>
  <c r="CF57" i="86"/>
  <c r="CG57" i="86" s="1"/>
  <c r="BY57" i="86"/>
  <c r="BE57" i="86"/>
  <c r="BG52" i="86"/>
  <c r="BS52" i="86" s="1"/>
  <c r="BS50" i="86"/>
  <c r="CI50" i="86"/>
  <c r="CI52" i="86" s="1"/>
  <c r="CF47" i="86"/>
  <c r="BY47" i="86"/>
  <c r="CN45" i="86"/>
  <c r="CO45" i="86" s="1"/>
  <c r="CO46" i="86"/>
  <c r="CB50" i="86"/>
  <c r="CC50" i="86" s="1"/>
  <c r="CC49" i="86"/>
  <c r="AR50" i="86"/>
  <c r="AS49" i="86"/>
  <c r="AJ50" i="86"/>
  <c r="AK49" i="86"/>
  <c r="X49" i="86"/>
  <c r="Y45" i="86"/>
  <c r="BD45" i="86"/>
  <c r="T50" i="86"/>
  <c r="U49" i="86"/>
  <c r="D50" i="86"/>
  <c r="E49" i="86"/>
  <c r="CN49" i="86"/>
  <c r="CO43" i="86"/>
  <c r="CF43" i="86"/>
  <c r="CF38" i="86"/>
  <c r="BX37" i="86"/>
  <c r="BY38" i="86"/>
  <c r="CF36" i="86"/>
  <c r="BY36" i="86"/>
  <c r="BD42" i="86"/>
  <c r="BE42" i="86" s="1"/>
  <c r="Y42" i="86"/>
  <c r="CD33" i="86"/>
  <c r="CF55" i="86"/>
  <c r="CG55" i="86" s="1"/>
  <c r="BY46" i="86"/>
  <c r="CF46" i="86"/>
  <c r="CY45" i="86"/>
  <c r="BU45" i="86"/>
  <c r="BP50" i="86"/>
  <c r="BQ49" i="86"/>
  <c r="BH50" i="86"/>
  <c r="BI49" i="86"/>
  <c r="BT49" i="86"/>
  <c r="BU49" i="86" s="1"/>
  <c r="AQ50" i="86"/>
  <c r="AQ52" i="86" s="1"/>
  <c r="AN50" i="86"/>
  <c r="AO49" i="86"/>
  <c r="AF50" i="86"/>
  <c r="AG49" i="86"/>
  <c r="AB50" i="86"/>
  <c r="AC49" i="86"/>
  <c r="P50" i="86"/>
  <c r="Q49" i="86"/>
  <c r="H50" i="86"/>
  <c r="I49" i="86"/>
  <c r="BW43" i="86"/>
  <c r="BY43" i="86" s="1"/>
  <c r="BY41" i="86"/>
  <c r="BW37" i="86"/>
  <c r="BW42" i="86" s="1"/>
  <c r="AS42" i="86"/>
  <c r="AK42" i="86"/>
  <c r="AZ29" i="86"/>
  <c r="BA29" i="86" s="1"/>
  <c r="BA28" i="86"/>
  <c r="AK28" i="86"/>
  <c r="T29" i="86"/>
  <c r="U29" i="86" s="1"/>
  <c r="U28" i="86"/>
  <c r="D29" i="86"/>
  <c r="E29" i="86" s="1"/>
  <c r="E28" i="86"/>
  <c r="CF26" i="86"/>
  <c r="BW23" i="86"/>
  <c r="CS37" i="86"/>
  <c r="CR37" i="86"/>
  <c r="CR42" i="86" s="1"/>
  <c r="CR50" i="86" s="1"/>
  <c r="CR52" i="86" s="1"/>
  <c r="BY25" i="86"/>
  <c r="CF24" i="86"/>
  <c r="BY24" i="86"/>
  <c r="CV20" i="86"/>
  <c r="CV28" i="86" s="1"/>
  <c r="BY21" i="86"/>
  <c r="BX20" i="86"/>
  <c r="AV29" i="86"/>
  <c r="AW29" i="86" s="1"/>
  <c r="AW28" i="86"/>
  <c r="AN29" i="86"/>
  <c r="AO29" i="86" s="1"/>
  <c r="AO28" i="86"/>
  <c r="AF29" i="86"/>
  <c r="AG29" i="86" s="1"/>
  <c r="AG28" i="86"/>
  <c r="BE20" i="86"/>
  <c r="BB29" i="86"/>
  <c r="P29" i="86"/>
  <c r="Q29" i="86" s="1"/>
  <c r="Q28" i="86"/>
  <c r="H29" i="86"/>
  <c r="I29" i="86" s="1"/>
  <c r="I28" i="86"/>
  <c r="BR19" i="86"/>
  <c r="CF17" i="86"/>
  <c r="BY17" i="86"/>
  <c r="BV15" i="86"/>
  <c r="BV18" i="86" s="1"/>
  <c r="CV11" i="86"/>
  <c r="CV19" i="86" s="1"/>
  <c r="CH21" i="86"/>
  <c r="CH20" i="86" s="1"/>
  <c r="CD20" i="86"/>
  <c r="CD28" i="86" s="1"/>
  <c r="CI21" i="86"/>
  <c r="CI20" i="86" s="1"/>
  <c r="CI28" i="86" s="1"/>
  <c r="CE20" i="86"/>
  <c r="CE28" i="86" s="1"/>
  <c r="BF29" i="86"/>
  <c r="BR29" i="86" s="1"/>
  <c r="BR28" i="86"/>
  <c r="BB19" i="86"/>
  <c r="CO18" i="86"/>
  <c r="BS19" i="86"/>
  <c r="BY13" i="86"/>
  <c r="CF13" i="86"/>
  <c r="CW11" i="86"/>
  <c r="CW19" i="86" s="1"/>
  <c r="CW29" i="86" s="1"/>
  <c r="BE5" i="86"/>
  <c r="CM11" i="86"/>
  <c r="CY5" i="86"/>
  <c r="CF21" i="86"/>
  <c r="CG10" i="86"/>
  <c r="CJ10" i="86"/>
  <c r="CK10" i="86" s="1"/>
  <c r="CG8" i="86"/>
  <c r="CJ8" i="86"/>
  <c r="CK8" i="86" s="1"/>
  <c r="CF7" i="86"/>
  <c r="CF5" i="86" s="1"/>
  <c r="CF54" i="86"/>
  <c r="CG54" i="86" s="1"/>
  <c r="CC54" i="86"/>
  <c r="BX35" i="86"/>
  <c r="BU35" i="86"/>
  <c r="CF48" i="86"/>
  <c r="BY48" i="86"/>
  <c r="BL50" i="86"/>
  <c r="BM49" i="86"/>
  <c r="AZ50" i="86"/>
  <c r="BA49" i="86"/>
  <c r="W49" i="86"/>
  <c r="BC45" i="86"/>
  <c r="L50" i="86"/>
  <c r="M49" i="86"/>
  <c r="CF44" i="86"/>
  <c r="CV49" i="86"/>
  <c r="CV50" i="86" s="1"/>
  <c r="CV52" i="86" s="1"/>
  <c r="CY49" i="86"/>
  <c r="CF40" i="86"/>
  <c r="BY40" i="86"/>
  <c r="BV37" i="86"/>
  <c r="BV42" i="86" s="1"/>
  <c r="CD38" i="86"/>
  <c r="CF33" i="86"/>
  <c r="BY33" i="86"/>
  <c r="BF50" i="86"/>
  <c r="BR49" i="86"/>
  <c r="CH45" i="86"/>
  <c r="CH49" i="86" s="1"/>
  <c r="BX45" i="86"/>
  <c r="AV50" i="86"/>
  <c r="AW49" i="86"/>
  <c r="BW44" i="86"/>
  <c r="BY44" i="86" s="1"/>
  <c r="V52" i="86"/>
  <c r="BB52" i="86" s="1"/>
  <c r="BB50" i="86"/>
  <c r="CJ41" i="86"/>
  <c r="CK41" i="86" s="1"/>
  <c r="CG41" i="86"/>
  <c r="CE37" i="86"/>
  <c r="CE42" i="86" s="1"/>
  <c r="CE50" i="86" s="1"/>
  <c r="CE52" i="86" s="1"/>
  <c r="CF39" i="86"/>
  <c r="BY39" i="86"/>
  <c r="CF34" i="86"/>
  <c r="BY34" i="86"/>
  <c r="BL29" i="86"/>
  <c r="BM29" i="86" s="1"/>
  <c r="BM28" i="86"/>
  <c r="AR29" i="86"/>
  <c r="AS28" i="86"/>
  <c r="AB29" i="86"/>
  <c r="AC29" i="86" s="1"/>
  <c r="AC28" i="86"/>
  <c r="L29" i="86"/>
  <c r="M29" i="86" s="1"/>
  <c r="M28" i="86"/>
  <c r="CF27" i="86"/>
  <c r="BY27" i="86"/>
  <c r="CA23" i="86"/>
  <c r="CE26" i="86"/>
  <c r="CI26" i="86" s="1"/>
  <c r="CC26" i="86"/>
  <c r="CG25" i="86"/>
  <c r="CJ25" i="86"/>
  <c r="CK25" i="86" s="1"/>
  <c r="U23" i="86"/>
  <c r="CG22" i="86"/>
  <c r="CJ22" i="86"/>
  <c r="CK22" i="86" s="1"/>
  <c r="CO40" i="86"/>
  <c r="CN37" i="86"/>
  <c r="CU42" i="86"/>
  <c r="CY42" i="86" s="1"/>
  <c r="CS42" i="86"/>
  <c r="CS50" i="86" s="1"/>
  <c r="CS52" i="86" s="1"/>
  <c r="CU28" i="86"/>
  <c r="CY20" i="86"/>
  <c r="CN20" i="86"/>
  <c r="CO21" i="86"/>
  <c r="BT19" i="86"/>
  <c r="BI19" i="86"/>
  <c r="CC20" i="86"/>
  <c r="CB28" i="86"/>
  <c r="X29" i="86"/>
  <c r="Y28" i="86"/>
  <c r="BD28" i="86"/>
  <c r="Y19" i="86"/>
  <c r="CH16" i="86"/>
  <c r="CH15" i="86" s="1"/>
  <c r="CH18" i="86" s="1"/>
  <c r="CD15" i="86"/>
  <c r="CD18" i="86" s="1"/>
  <c r="CF14" i="86"/>
  <c r="BY14" i="86"/>
  <c r="CH23" i="86"/>
  <c r="BZ51" i="86"/>
  <c r="BP29" i="86"/>
  <c r="BQ29" i="86" s="1"/>
  <c r="BQ28" i="86"/>
  <c r="BH29" i="86"/>
  <c r="BI28" i="86"/>
  <c r="BT28" i="86"/>
  <c r="BU28" i="86" s="1"/>
  <c r="CF16" i="86"/>
  <c r="BY16" i="86"/>
  <c r="BX15" i="86"/>
  <c r="CU19" i="86"/>
  <c r="CY18" i="86"/>
  <c r="BC19" i="86"/>
  <c r="CF12" i="86"/>
  <c r="BY12" i="86"/>
  <c r="BD11" i="86"/>
  <c r="BE11" i="86" s="1"/>
  <c r="Y11" i="86"/>
  <c r="CF9" i="86"/>
  <c r="BY9" i="86"/>
  <c r="CI6" i="86"/>
  <c r="CI5" i="86" s="1"/>
  <c r="CI11" i="86" s="1"/>
  <c r="CE5" i="86"/>
  <c r="CE11" i="86" s="1"/>
  <c r="CN5" i="86"/>
  <c r="BX5" i="86"/>
  <c r="CG6" i="86"/>
  <c r="CJ6" i="86"/>
  <c r="CH6" i="86"/>
  <c r="CH5" i="86" s="1"/>
  <c r="CH11" i="86" s="1"/>
  <c r="CD5" i="86"/>
  <c r="CD11" i="86" s="1"/>
  <c r="BU19" i="86" l="1"/>
  <c r="CB51" i="86"/>
  <c r="BX42" i="86"/>
  <c r="BV19" i="86"/>
  <c r="BV29" i="86" s="1"/>
  <c r="CE15" i="86"/>
  <c r="CE18" i="86" s="1"/>
  <c r="CE19" i="86" s="1"/>
  <c r="CE29" i="86" s="1"/>
  <c r="CI16" i="86"/>
  <c r="CI15" i="86" s="1"/>
  <c r="CI18" i="86" s="1"/>
  <c r="CI19" i="86" s="1"/>
  <c r="AQ29" i="86"/>
  <c r="BC29" i="86" s="1"/>
  <c r="BC28" i="86"/>
  <c r="BE28" i="86" s="1"/>
  <c r="BD19" i="86"/>
  <c r="BY23" i="86"/>
  <c r="AS29" i="86"/>
  <c r="BV50" i="86"/>
  <c r="BV52" i="86" s="1"/>
  <c r="AJ29" i="86"/>
  <c r="AK29" i="86" s="1"/>
  <c r="CF11" i="86"/>
  <c r="CG11" i="86" s="1"/>
  <c r="CG5" i="86"/>
  <c r="CK6" i="86"/>
  <c r="BX11" i="86"/>
  <c r="BY11" i="86" s="1"/>
  <c r="BY5" i="86"/>
  <c r="CJ9" i="86"/>
  <c r="CK9" i="86" s="1"/>
  <c r="CG9" i="86"/>
  <c r="CJ12" i="86"/>
  <c r="CK12" i="86" s="1"/>
  <c r="CG12" i="86"/>
  <c r="BX18" i="86"/>
  <c r="BY15" i="86"/>
  <c r="CJ16" i="86"/>
  <c r="CF15" i="86"/>
  <c r="CG16" i="86"/>
  <c r="BT29" i="86"/>
  <c r="BU29" i="86" s="1"/>
  <c r="BI29" i="86"/>
  <c r="CJ14" i="86"/>
  <c r="CK14" i="86" s="1"/>
  <c r="CG14" i="86"/>
  <c r="CH19" i="86"/>
  <c r="BD29" i="86"/>
  <c r="BE29" i="86" s="1"/>
  <c r="Y29" i="86"/>
  <c r="CO20" i="86"/>
  <c r="CN28" i="86"/>
  <c r="CU29" i="86"/>
  <c r="CY28" i="86"/>
  <c r="CO37" i="86"/>
  <c r="CN42" i="86"/>
  <c r="CO42" i="86" s="1"/>
  <c r="CB52" i="86"/>
  <c r="CC52" i="86" s="1"/>
  <c r="CF51" i="86"/>
  <c r="CC51" i="86"/>
  <c r="AV52" i="86"/>
  <c r="AW52" i="86" s="1"/>
  <c r="AW50" i="86"/>
  <c r="BF52" i="86"/>
  <c r="BR52" i="86" s="1"/>
  <c r="BR50" i="86"/>
  <c r="CJ33" i="86"/>
  <c r="CG33" i="86"/>
  <c r="CH38" i="86"/>
  <c r="CH37" i="86" s="1"/>
  <c r="CD37" i="86"/>
  <c r="L52" i="86"/>
  <c r="M52" i="86" s="1"/>
  <c r="M50" i="86"/>
  <c r="BC49" i="86"/>
  <c r="W50" i="86"/>
  <c r="AZ52" i="86"/>
  <c r="BA52" i="86" s="1"/>
  <c r="BA50" i="86"/>
  <c r="BL52" i="86"/>
  <c r="BM52" i="86" s="1"/>
  <c r="BM50" i="86"/>
  <c r="CG48" i="86"/>
  <c r="CJ48" i="86"/>
  <c r="CK48" i="86" s="1"/>
  <c r="CJ7" i="86"/>
  <c r="CK7" i="86" s="1"/>
  <c r="CG7" i="86"/>
  <c r="CG21" i="86"/>
  <c r="CF20" i="86"/>
  <c r="CJ21" i="86"/>
  <c r="CY11" i="86"/>
  <c r="CM19" i="86"/>
  <c r="CM29" i="86" s="1"/>
  <c r="CG17" i="86"/>
  <c r="CJ17" i="86"/>
  <c r="CK17" i="86" s="1"/>
  <c r="BY20" i="86"/>
  <c r="BX28" i="86"/>
  <c r="CJ26" i="86"/>
  <c r="CK26" i="86" s="1"/>
  <c r="CG26" i="86"/>
  <c r="CG46" i="86"/>
  <c r="CJ46" i="86"/>
  <c r="CD42" i="86"/>
  <c r="CD50" i="86" s="1"/>
  <c r="CH33" i="86"/>
  <c r="CH42" i="86" s="1"/>
  <c r="CH50" i="86" s="1"/>
  <c r="CJ38" i="86"/>
  <c r="CG38" i="86"/>
  <c r="CF37" i="86"/>
  <c r="CG37" i="86" s="1"/>
  <c r="BE45" i="86"/>
  <c r="X50" i="86"/>
  <c r="Y49" i="86"/>
  <c r="BD49" i="86"/>
  <c r="AJ52" i="86"/>
  <c r="AK52" i="86" s="1"/>
  <c r="AK50" i="86"/>
  <c r="AR52" i="86"/>
  <c r="AS52" i="86" s="1"/>
  <c r="AS50" i="86"/>
  <c r="CJ47" i="86"/>
  <c r="CK47" i="86" s="1"/>
  <c r="CG47" i="86"/>
  <c r="CN11" i="86"/>
  <c r="CO5" i="86"/>
  <c r="BZ52" i="86"/>
  <c r="CD51" i="86"/>
  <c r="CD19" i="86"/>
  <c r="CD29" i="86" s="1"/>
  <c r="BE19" i="86"/>
  <c r="CB29" i="86"/>
  <c r="CC23" i="86"/>
  <c r="CA28" i="86"/>
  <c r="CA29" i="86" s="1"/>
  <c r="CG27" i="86"/>
  <c r="CJ27" i="86"/>
  <c r="CK27" i="86" s="1"/>
  <c r="CJ34" i="86"/>
  <c r="CK34" i="86" s="1"/>
  <c r="CG34" i="86"/>
  <c r="CJ39" i="86"/>
  <c r="CK39" i="86" s="1"/>
  <c r="CG39" i="86"/>
  <c r="BY45" i="86"/>
  <c r="CF45" i="86"/>
  <c r="CG45" i="86" s="1"/>
  <c r="BY42" i="86"/>
  <c r="CG40" i="86"/>
  <c r="CJ40" i="86"/>
  <c r="CK40" i="86" s="1"/>
  <c r="CU50" i="86"/>
  <c r="CG44" i="86"/>
  <c r="CJ44" i="86"/>
  <c r="CK44" i="86" s="1"/>
  <c r="CF35" i="86"/>
  <c r="BY35" i="86"/>
  <c r="CG13" i="86"/>
  <c r="CJ13" i="86"/>
  <c r="CK13" i="86" s="1"/>
  <c r="CI29" i="86"/>
  <c r="CH28" i="86"/>
  <c r="CV29" i="86"/>
  <c r="CJ24" i="86"/>
  <c r="CK24" i="86" s="1"/>
  <c r="CG24" i="86"/>
  <c r="BW49" i="86"/>
  <c r="BW50" i="86" s="1"/>
  <c r="BW52" i="86" s="1"/>
  <c r="H52" i="86"/>
  <c r="I52" i="86" s="1"/>
  <c r="I50" i="86"/>
  <c r="P52" i="86"/>
  <c r="Q52" i="86" s="1"/>
  <c r="Q50" i="86"/>
  <c r="AB52" i="86"/>
  <c r="AC52" i="86" s="1"/>
  <c r="AC50" i="86"/>
  <c r="AF52" i="86"/>
  <c r="AG52" i="86" s="1"/>
  <c r="AG50" i="86"/>
  <c r="AN52" i="86"/>
  <c r="AO52" i="86" s="1"/>
  <c r="AO50" i="86"/>
  <c r="BH52" i="86"/>
  <c r="BT50" i="86"/>
  <c r="BU50" i="86" s="1"/>
  <c r="BI50" i="86"/>
  <c r="BP52" i="86"/>
  <c r="BQ52" i="86" s="1"/>
  <c r="BQ50" i="86"/>
  <c r="CG36" i="86"/>
  <c r="CJ36" i="86"/>
  <c r="CK36" i="86" s="1"/>
  <c r="BY37" i="86"/>
  <c r="CF49" i="86"/>
  <c r="CG43" i="86"/>
  <c r="CJ43" i="86"/>
  <c r="BX49" i="86"/>
  <c r="CN50" i="86"/>
  <c r="CO49" i="86"/>
  <c r="D52" i="86"/>
  <c r="E52" i="86" s="1"/>
  <c r="E50" i="86"/>
  <c r="T52" i="86"/>
  <c r="U52" i="86" s="1"/>
  <c r="U50" i="86"/>
  <c r="CH29" i="86" l="1"/>
  <c r="BE49" i="86"/>
  <c r="BX50" i="86"/>
  <c r="BY49" i="86"/>
  <c r="CO50" i="86"/>
  <c r="CN52" i="86"/>
  <c r="CO52" i="86" s="1"/>
  <c r="CK43" i="86"/>
  <c r="CG49" i="86"/>
  <c r="BT52" i="86"/>
  <c r="BU52" i="86" s="1"/>
  <c r="BI52" i="86"/>
  <c r="CU52" i="86"/>
  <c r="CY52" i="86" s="1"/>
  <c r="CY50" i="86"/>
  <c r="CC29" i="86"/>
  <c r="CO11" i="86"/>
  <c r="CN19" i="86"/>
  <c r="CO19" i="86" s="1"/>
  <c r="CK46" i="86"/>
  <c r="CJ45" i="86"/>
  <c r="CK45" i="86" s="1"/>
  <c r="BY28" i="86"/>
  <c r="CK21" i="86"/>
  <c r="CJ20" i="86"/>
  <c r="CK33" i="86"/>
  <c r="CY29" i="86"/>
  <c r="CJ15" i="86"/>
  <c r="CK16" i="86"/>
  <c r="BX19" i="86"/>
  <c r="BY19" i="86" s="1"/>
  <c r="BY18" i="86"/>
  <c r="CJ35" i="86"/>
  <c r="CK35" i="86" s="1"/>
  <c r="CG35" i="86"/>
  <c r="CC28" i="86"/>
  <c r="CD52" i="86"/>
  <c r="CH51" i="86"/>
  <c r="CH52" i="86" s="1"/>
  <c r="X52" i="86"/>
  <c r="BD50" i="86"/>
  <c r="Y50" i="86"/>
  <c r="CK38" i="86"/>
  <c r="CJ37" i="86"/>
  <c r="CK37" i="86" s="1"/>
  <c r="CG20" i="86"/>
  <c r="CF28" i="86"/>
  <c r="W52" i="86"/>
  <c r="BC52" i="86" s="1"/>
  <c r="BC50" i="86"/>
  <c r="CF42" i="86"/>
  <c r="CG42" i="86" s="1"/>
  <c r="CJ51" i="86"/>
  <c r="CG51" i="86"/>
  <c r="CN29" i="86"/>
  <c r="CO29" i="86" s="1"/>
  <c r="CO28" i="86"/>
  <c r="CF18" i="86"/>
  <c r="CG15" i="86"/>
  <c r="CJ5" i="86"/>
  <c r="CY19" i="86"/>
  <c r="BE50" i="86" l="1"/>
  <c r="CJ11" i="86"/>
  <c r="CK11" i="86" s="1"/>
  <c r="CK5" i="86"/>
  <c r="CF19" i="86"/>
  <c r="CG19" i="86" s="1"/>
  <c r="CG18" i="86"/>
  <c r="CK51" i="86"/>
  <c r="CG28" i="86"/>
  <c r="BD52" i="86"/>
  <c r="BE52" i="86" s="1"/>
  <c r="Y52" i="86"/>
  <c r="CJ42" i="86"/>
  <c r="CK42" i="86" s="1"/>
  <c r="BX29" i="86"/>
  <c r="BY29" i="86" s="1"/>
  <c r="CJ18" i="86"/>
  <c r="CK15" i="86"/>
  <c r="CK20" i="86"/>
  <c r="CJ28" i="86"/>
  <c r="CF50" i="86"/>
  <c r="CJ49" i="86"/>
  <c r="BY50" i="86"/>
  <c r="BX52" i="86"/>
  <c r="BY52" i="86" s="1"/>
  <c r="CF29" i="86" l="1"/>
  <c r="CG29" i="86" s="1"/>
  <c r="CJ19" i="86"/>
  <c r="CK19" i="86" s="1"/>
  <c r="CK18" i="86"/>
  <c r="CJ50" i="86"/>
  <c r="CK49" i="86"/>
  <c r="CK28" i="86"/>
  <c r="CG50" i="86"/>
  <c r="CF52" i="86"/>
  <c r="CG52" i="86" s="1"/>
  <c r="CJ29" i="86" l="1"/>
  <c r="CK29" i="86" s="1"/>
  <c r="CK50" i="86"/>
  <c r="CJ52" i="86"/>
  <c r="CK52" i="86" s="1"/>
</calcChain>
</file>

<file path=xl/sharedStrings.xml><?xml version="1.0" encoding="utf-8"?>
<sst xmlns="http://schemas.openxmlformats.org/spreadsheetml/2006/main" count="304" uniqueCount="87">
  <si>
    <t>Dologi kiadások</t>
  </si>
  <si>
    <t>Intézmények összesen:</t>
  </si>
  <si>
    <t>Felújítás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</si>
  <si>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</si>
  <si>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</si>
  <si>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</si>
  <si>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</si>
  <si>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</si>
  <si>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Önkormányzata</t>
  </si>
  <si>
    <t xml:space="preserve">Kőszegi Közös Önkormányzati Hivatal </t>
  </si>
  <si>
    <t>Chernel Kálmán Városi Könyvtár</t>
  </si>
  <si>
    <t>Beruházás</t>
  </si>
  <si>
    <t>Felhalmozási célú átvett pénzeszközök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</si>
  <si>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</si>
  <si>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</si>
  <si>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</si>
  <si>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</si>
  <si>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</si>
  <si>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</si>
  <si>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</si>
  <si>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Egyéb felhalmozási célú kiadások</t>
  </si>
  <si>
    <t xml:space="preserve">                - ebből felhalmozási célú állami támogatás 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</si>
  <si>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</si>
  <si>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</si>
  <si>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</si>
  <si>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</si>
  <si>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</si>
  <si>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</si>
  <si>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</si>
  <si>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</si>
  <si>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</si>
  <si>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</si>
  <si>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</si>
  <si>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</si>
  <si>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</si>
  <si>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</si>
  <si>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</si>
  <si>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</si>
  <si>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</si>
  <si>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</si>
  <si>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</si>
  <si>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</si>
  <si>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</si>
  <si>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</si>
  <si>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</si>
  <si>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</si>
  <si>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</si>
  <si>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</si>
  <si>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</si>
  <si>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</si>
  <si>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</si>
  <si>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</si>
  <si>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</si>
  <si>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</si>
  <si>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</si>
  <si>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</si>
  <si>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Bevételi előirányzatok (Ft-ban)</t>
  </si>
  <si>
    <t>Kiadási előirányzatok (Ft-ban)</t>
  </si>
  <si>
    <t>Újvárosi Óvoda Összesen</t>
  </si>
  <si>
    <t xml:space="preserve">               -ebből állami támogatás</t>
  </si>
  <si>
    <t xml:space="preserve">               -ebből államin felüli felhalmozási támogatás</t>
  </si>
  <si>
    <t>Hitel-, kölcsönfelvétel pénzügyi vállalkozástól</t>
  </si>
  <si>
    <t>Kőszeg Város Önkormányzata és intézményei bevételei és kiadásai 2020. évben</t>
  </si>
  <si>
    <t>"</t>
  </si>
  <si>
    <t>Újvárosi Óvoda székhely Kőszeg</t>
  </si>
  <si>
    <t>Újvárosi Óvoda-Kőszegfalvi tagóvoda</t>
  </si>
  <si>
    <t>Újvárosi Óvoda-Velemi tagóvoda</t>
  </si>
  <si>
    <t>eredeti előirányzat</t>
  </si>
  <si>
    <t>módosított ei. 2020.06.30.</t>
  </si>
  <si>
    <t>változás</t>
  </si>
  <si>
    <t>módosított ei. 2017.06.30.</t>
  </si>
  <si>
    <t>módosított ei. 2017.09.30.</t>
  </si>
  <si>
    <t xml:space="preserve">               -ebből államin felüli működési támogatás</t>
  </si>
  <si>
    <t>KÖZFOGLALKOZTATOTTAK létszáma</t>
  </si>
  <si>
    <t xml:space="preserve"> 3. melléklet az 1/2020. (II.14) önkormányzati rendelethez</t>
  </si>
  <si>
    <t>Meseváros Óvoda Székhely Kőszeg</t>
  </si>
  <si>
    <t xml:space="preserve">Meseváros Óvoda - Bölcsőde </t>
  </si>
  <si>
    <t>Meseváros Óvoda-Felsővárosi tagóvoda</t>
  </si>
  <si>
    <t>Meseváros Óvoda-Újvárosi tagóvoda</t>
  </si>
  <si>
    <t>Meseváros Óvoda-Kőszegfalvi tagóvoda</t>
  </si>
  <si>
    <t>Meseváros Óvoda-Velemi tagóvoda</t>
  </si>
  <si>
    <t>Meseváros Óvoda-Horvátzsidányi tagóvoda</t>
  </si>
  <si>
    <t>Meseváros Óvoda-Peresznyei tagóvoda</t>
  </si>
  <si>
    <t>Meseváros Óvoda Összesen</t>
  </si>
  <si>
    <t>módosított ei. 2020.09.30.</t>
  </si>
  <si>
    <t>módosított ei. 2020.09.01.</t>
  </si>
  <si>
    <t>módosított ei. 2020.08.31.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</si>
</sst>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1" x14ac:knownFonts="1"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3" borderId="0" applyNumberFormat="0" applyBorder="0" applyAlignment="0" applyProtection="0"/>
    <xf numFmtId="0" fontId="35" fillId="7" borderId="1" applyNumberFormat="0" applyAlignment="0" applyProtection="0"/>
    <xf numFmtId="0" fontId="27" fillId="20" borderId="1" applyNumberFormat="0" applyAlignment="0" applyProtection="0"/>
    <xf numFmtId="0" fontId="18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3" fillId="7" borderId="1" applyNumberFormat="0" applyAlignment="0" applyProtection="0"/>
    <xf numFmtId="0" fontId="10" fillId="22" borderId="7" applyNumberFormat="0" applyFont="0" applyAlignment="0" applyProtection="0"/>
    <xf numFmtId="0" fontId="43" fillId="4" borderId="0" applyNumberFormat="0" applyBorder="0" applyAlignment="0" applyProtection="0"/>
    <xf numFmtId="0" fontId="44" fillId="20" borderId="8" applyNumberFormat="0" applyAlignment="0" applyProtection="0"/>
    <xf numFmtId="0" fontId="2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0" fillId="0" borderId="0"/>
    <xf numFmtId="0" fontId="32" fillId="0" borderId="0"/>
    <xf numFmtId="0" fontId="10" fillId="0" borderId="0"/>
    <xf numFmtId="0" fontId="33" fillId="0" borderId="0"/>
    <xf numFmtId="0" fontId="11" fillId="0" borderId="0"/>
    <xf numFmtId="0" fontId="50" fillId="0" borderId="0"/>
    <xf numFmtId="0" fontId="10" fillId="0" borderId="0"/>
    <xf numFmtId="0" fontId="10" fillId="0" borderId="0"/>
    <xf numFmtId="0" fontId="11" fillId="22" borderId="7" applyNumberFormat="0" applyFont="0" applyAlignment="0" applyProtection="0"/>
    <xf numFmtId="0" fontId="22" fillId="20" borderId="8" applyNumberFormat="0" applyAlignment="0" applyProtection="0"/>
    <xf numFmtId="0" fontId="46" fillId="0" borderId="9" applyNumberFormat="0" applyFill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0" borderId="1" applyNumberFormat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5">
    <xf numFmtId="0" fontId="0" fillId="0" borderId="0" xfId="0"/>
    <xf numFmtId="0" fontId="7" fillId="0" borderId="0" xfId="0" applyFont="1"/>
    <xf numFmtId="0" fontId="9" fillId="0" borderId="0" xfId="0" applyFont="1"/>
    <xf numFmtId="3" fontId="7" fillId="0" borderId="0" xfId="0" applyNumberFormat="1" applyFont="1"/>
    <xf numFmtId="0" fontId="7" fillId="0" borderId="0" xfId="0" applyFont="1" applyAlignment="1">
      <alignment wrapText="1"/>
    </xf>
    <xf numFmtId="0" fontId="1" fillId="0" borderId="0" xfId="76" applyFont="1" applyAlignment="1">
      <alignment horizontal="left"/>
    </xf>
    <xf numFmtId="0" fontId="4" fillId="0" borderId="0" xfId="0" applyFont="1"/>
    <xf numFmtId="0" fontId="30" fillId="0" borderId="0" xfId="0" applyFont="1"/>
    <xf numFmtId="0" fontId="29" fillId="0" borderId="0" xfId="0" applyFont="1"/>
    <xf numFmtId="0" fontId="4" fillId="26" borderId="0" xfId="0" applyFont="1" applyFill="1"/>
    <xf numFmtId="0" fontId="5" fillId="0" borderId="0" xfId="0" applyFont="1"/>
    <xf numFmtId="0" fontId="7" fillId="26" borderId="0" xfId="0" applyFont="1" applyFill="1" applyAlignment="1">
      <alignment horizontal="center" wrapText="1"/>
    </xf>
    <xf numFmtId="0" fontId="7" fillId="26" borderId="0" xfId="0" applyFont="1" applyFill="1" applyAlignment="1">
      <alignment wrapText="1"/>
    </xf>
    <xf numFmtId="0" fontId="31" fillId="0" borderId="41" xfId="0" applyFont="1" applyBorder="1" applyAlignment="1">
      <alignment horizontal="center" wrapText="1"/>
    </xf>
    <xf numFmtId="0" fontId="31" fillId="0" borderId="30" xfId="0" applyFont="1" applyBorder="1" applyAlignment="1">
      <alignment horizontal="center" wrapText="1"/>
    </xf>
    <xf numFmtId="0" fontId="31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31" fillId="0" borderId="41" xfId="0" applyFont="1" applyBorder="1" applyAlignment="1">
      <alignment horizontal="left" wrapText="1"/>
    </xf>
    <xf numFmtId="0" fontId="31" fillId="27" borderId="41" xfId="0" applyFont="1" applyFill="1" applyBorder="1" applyAlignment="1">
      <alignment horizontal="left" wrapText="1"/>
    </xf>
    <xf numFmtId="0" fontId="31" fillId="27" borderId="30" xfId="0" applyFont="1" applyFill="1" applyBorder="1" applyAlignment="1">
      <alignment horizontal="center" wrapText="1"/>
    </xf>
    <xf numFmtId="0" fontId="31" fillId="27" borderId="42" xfId="0" applyFont="1" applyFill="1" applyBorder="1" applyAlignment="1">
      <alignment horizontal="center" wrapText="1"/>
    </xf>
    <xf numFmtId="0" fontId="31" fillId="28" borderId="41" xfId="0" applyFont="1" applyFill="1" applyBorder="1" applyAlignment="1">
      <alignment horizontal="left" wrapText="1"/>
    </xf>
    <xf numFmtId="0" fontId="31" fillId="28" borderId="30" xfId="0" applyFont="1" applyFill="1" applyBorder="1" applyAlignment="1">
      <alignment horizontal="center" wrapText="1"/>
    </xf>
    <xf numFmtId="0" fontId="31" fillId="28" borderId="42" xfId="0" applyFont="1" applyFill="1" applyBorder="1" applyAlignment="1">
      <alignment horizontal="center" wrapText="1"/>
    </xf>
    <xf numFmtId="0" fontId="31" fillId="29" borderId="41" xfId="0" applyFont="1" applyFill="1" applyBorder="1" applyAlignment="1">
      <alignment horizontal="left" wrapText="1"/>
    </xf>
    <xf numFmtId="0" fontId="31" fillId="29" borderId="30" xfId="0" applyFont="1" applyFill="1" applyBorder="1" applyAlignment="1">
      <alignment horizontal="center" wrapText="1"/>
    </xf>
    <xf numFmtId="0" fontId="31" fillId="29" borderId="42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wrapText="1"/>
    </xf>
    <xf numFmtId="0" fontId="31" fillId="24" borderId="30" xfId="0" applyFont="1" applyFill="1" applyBorder="1" applyAlignment="1">
      <alignment horizontal="center" wrapText="1"/>
    </xf>
    <xf numFmtId="0" fontId="31" fillId="24" borderId="42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left" wrapText="1"/>
    </xf>
    <xf numFmtId="0" fontId="7" fillId="26" borderId="41" xfId="0" applyFont="1" applyFill="1" applyBorder="1" applyAlignment="1">
      <alignment horizontal="center" wrapText="1"/>
    </xf>
    <xf numFmtId="0" fontId="31" fillId="26" borderId="30" xfId="0" applyFont="1" applyFill="1" applyBorder="1" applyAlignment="1">
      <alignment horizontal="center" wrapText="1"/>
    </xf>
    <xf numFmtId="0" fontId="31" fillId="26" borderId="42" xfId="0" applyFont="1" applyFill="1" applyBorder="1" applyAlignment="1">
      <alignment horizontal="center" wrapText="1"/>
    </xf>
    <xf numFmtId="0" fontId="7" fillId="26" borderId="41" xfId="0" applyFont="1" applyFill="1" applyBorder="1" applyAlignment="1">
      <alignment wrapText="1"/>
    </xf>
    <xf numFmtId="0" fontId="31" fillId="26" borderId="0" xfId="0" applyFont="1" applyFill="1" applyAlignment="1">
      <alignment horizontal="center" wrapText="1"/>
    </xf>
    <xf numFmtId="0" fontId="7" fillId="0" borderId="38" xfId="0" applyFont="1" applyBorder="1"/>
    <xf numFmtId="3" fontId="7" fillId="0" borderId="43" xfId="0" applyNumberFormat="1" applyFont="1" applyBorder="1"/>
    <xf numFmtId="3" fontId="7" fillId="0" borderId="19" xfId="0" applyNumberFormat="1" applyFont="1" applyBorder="1"/>
    <xf numFmtId="3" fontId="7" fillId="0" borderId="44" xfId="0" applyNumberFormat="1" applyFont="1" applyBorder="1"/>
    <xf numFmtId="3" fontId="7" fillId="28" borderId="43" xfId="0" applyNumberFormat="1" applyFont="1" applyFill="1" applyBorder="1"/>
    <xf numFmtId="3" fontId="7" fillId="28" borderId="19" xfId="0" applyNumberFormat="1" applyFont="1" applyFill="1" applyBorder="1"/>
    <xf numFmtId="3" fontId="7" fillId="28" borderId="44" xfId="0" applyNumberFormat="1" applyFont="1" applyFill="1" applyBorder="1"/>
    <xf numFmtId="3" fontId="7" fillId="29" borderId="43" xfId="0" applyNumberFormat="1" applyFont="1" applyFill="1" applyBorder="1"/>
    <xf numFmtId="3" fontId="7" fillId="29" borderId="19" xfId="0" applyNumberFormat="1" applyFont="1" applyFill="1" applyBorder="1"/>
    <xf numFmtId="3" fontId="7" fillId="29" borderId="44" xfId="0" applyNumberFormat="1" applyFont="1" applyFill="1" applyBorder="1"/>
    <xf numFmtId="3" fontId="6" fillId="24" borderId="43" xfId="0" applyNumberFormat="1" applyFont="1" applyFill="1" applyBorder="1"/>
    <xf numFmtId="3" fontId="6" fillId="24" borderId="18" xfId="0" applyNumberFormat="1" applyFont="1" applyFill="1" applyBorder="1"/>
    <xf numFmtId="3" fontId="6" fillId="24" borderId="44" xfId="0" applyNumberFormat="1" applyFont="1" applyFill="1" applyBorder="1"/>
    <xf numFmtId="3" fontId="31" fillId="0" borderId="19" xfId="0" applyNumberFormat="1" applyFont="1" applyBorder="1"/>
    <xf numFmtId="3" fontId="6" fillId="0" borderId="44" xfId="0" applyNumberFormat="1" applyFont="1" applyBorder="1"/>
    <xf numFmtId="3" fontId="8" fillId="24" borderId="43" xfId="0" applyNumberFormat="1" applyFont="1" applyFill="1" applyBorder="1"/>
    <xf numFmtId="3" fontId="8" fillId="24" borderId="19" xfId="0" applyNumberFormat="1" applyFont="1" applyFill="1" applyBorder="1"/>
    <xf numFmtId="3" fontId="7" fillId="0" borderId="45" xfId="0" applyNumberFormat="1" applyFont="1" applyBorder="1"/>
    <xf numFmtId="3" fontId="7" fillId="26" borderId="43" xfId="0" applyNumberFormat="1" applyFont="1" applyFill="1" applyBorder="1"/>
    <xf numFmtId="3" fontId="7" fillId="26" borderId="19" xfId="0" applyNumberFormat="1" applyFont="1" applyFill="1" applyBorder="1"/>
    <xf numFmtId="3" fontId="7" fillId="26" borderId="44" xfId="0" applyNumberFormat="1" applyFont="1" applyFill="1" applyBorder="1"/>
    <xf numFmtId="3" fontId="7" fillId="26" borderId="18" xfId="0" applyNumberFormat="1" applyFont="1" applyFill="1" applyBorder="1"/>
    <xf numFmtId="3" fontId="7" fillId="26" borderId="0" xfId="0" applyNumberFormat="1" applyFont="1" applyFill="1"/>
    <xf numFmtId="0" fontId="28" fillId="0" borderId="46" xfId="0" applyFont="1" applyBorder="1" applyAlignment="1">
      <alignment horizontal="left" indent="2"/>
    </xf>
    <xf numFmtId="3" fontId="28" fillId="0" borderId="47" xfId="0" applyNumberFormat="1" applyFont="1" applyBorder="1"/>
    <xf numFmtId="3" fontId="28" fillId="0" borderId="21" xfId="0" applyNumberFormat="1" applyFont="1" applyBorder="1"/>
    <xf numFmtId="3" fontId="28" fillId="0" borderId="48" xfId="0" applyNumberFormat="1" applyFont="1" applyBorder="1"/>
    <xf numFmtId="3" fontId="28" fillId="0" borderId="20" xfId="0" applyNumberFormat="1" applyFont="1" applyBorder="1"/>
    <xf numFmtId="3" fontId="28" fillId="28" borderId="47" xfId="0" applyNumberFormat="1" applyFont="1" applyFill="1" applyBorder="1"/>
    <xf numFmtId="3" fontId="28" fillId="28" borderId="20" xfId="0" applyNumberFormat="1" applyFont="1" applyFill="1" applyBorder="1"/>
    <xf numFmtId="3" fontId="28" fillId="28" borderId="48" xfId="0" applyNumberFormat="1" applyFont="1" applyFill="1" applyBorder="1"/>
    <xf numFmtId="3" fontId="28" fillId="29" borderId="47" xfId="0" applyNumberFormat="1" applyFont="1" applyFill="1" applyBorder="1"/>
    <xf numFmtId="3" fontId="28" fillId="29" borderId="20" xfId="0" applyNumberFormat="1" applyFont="1" applyFill="1" applyBorder="1"/>
    <xf numFmtId="3" fontId="28" fillId="29" borderId="48" xfId="0" applyNumberFormat="1" applyFont="1" applyFill="1" applyBorder="1"/>
    <xf numFmtId="3" fontId="6" fillId="24" borderId="47" xfId="0" applyNumberFormat="1" applyFont="1" applyFill="1" applyBorder="1"/>
    <xf numFmtId="3" fontId="6" fillId="24" borderId="48" xfId="0" applyNumberFormat="1" applyFont="1" applyFill="1" applyBorder="1"/>
    <xf numFmtId="3" fontId="6" fillId="0" borderId="48" xfId="0" applyNumberFormat="1" applyFont="1" applyBorder="1"/>
    <xf numFmtId="3" fontId="8" fillId="24" borderId="47" xfId="0" applyNumberFormat="1" applyFont="1" applyFill="1" applyBorder="1"/>
    <xf numFmtId="3" fontId="8" fillId="24" borderId="21" xfId="0" applyNumberFormat="1" applyFont="1" applyFill="1" applyBorder="1"/>
    <xf numFmtId="3" fontId="28" fillId="0" borderId="49" xfId="0" applyNumberFormat="1" applyFont="1" applyBorder="1"/>
    <xf numFmtId="3" fontId="28" fillId="26" borderId="47" xfId="0" applyNumberFormat="1" applyFont="1" applyFill="1" applyBorder="1"/>
    <xf numFmtId="3" fontId="28" fillId="26" borderId="20" xfId="0" applyNumberFormat="1" applyFont="1" applyFill="1" applyBorder="1"/>
    <xf numFmtId="3" fontId="28" fillId="26" borderId="48" xfId="0" applyNumberFormat="1" applyFont="1" applyFill="1" applyBorder="1"/>
    <xf numFmtId="3" fontId="28" fillId="26" borderId="21" xfId="0" applyNumberFormat="1" applyFont="1" applyFill="1" applyBorder="1"/>
    <xf numFmtId="3" fontId="28" fillId="26" borderId="0" xfId="0" applyNumberFormat="1" applyFont="1" applyFill="1"/>
    <xf numFmtId="3" fontId="6" fillId="24" borderId="20" xfId="0" applyNumberFormat="1" applyFont="1" applyFill="1" applyBorder="1"/>
    <xf numFmtId="0" fontId="7" fillId="0" borderId="46" xfId="0" applyFont="1" applyBorder="1"/>
    <xf numFmtId="3" fontId="7" fillId="0" borderId="47" xfId="0" applyNumberFormat="1" applyFont="1" applyBorder="1"/>
    <xf numFmtId="3" fontId="7" fillId="0" borderId="21" xfId="0" applyNumberFormat="1" applyFont="1" applyBorder="1"/>
    <xf numFmtId="3" fontId="7" fillId="0" borderId="48" xfId="0" applyNumberFormat="1" applyFont="1" applyBorder="1"/>
    <xf numFmtId="3" fontId="7" fillId="0" borderId="20" xfId="0" applyNumberFormat="1" applyFont="1" applyBorder="1"/>
    <xf numFmtId="3" fontId="7" fillId="28" borderId="47" xfId="0" applyNumberFormat="1" applyFont="1" applyFill="1" applyBorder="1"/>
    <xf numFmtId="3" fontId="7" fillId="28" borderId="20" xfId="0" applyNumberFormat="1" applyFont="1" applyFill="1" applyBorder="1"/>
    <xf numFmtId="3" fontId="7" fillId="28" borderId="48" xfId="0" applyNumberFormat="1" applyFont="1" applyFill="1" applyBorder="1"/>
    <xf numFmtId="3" fontId="7" fillId="29" borderId="47" xfId="0" applyNumberFormat="1" applyFont="1" applyFill="1" applyBorder="1"/>
    <xf numFmtId="3" fontId="7" fillId="29" borderId="20" xfId="0" applyNumberFormat="1" applyFont="1" applyFill="1" applyBorder="1"/>
    <xf numFmtId="3" fontId="7" fillId="29" borderId="48" xfId="0" applyNumberFormat="1" applyFont="1" applyFill="1" applyBorder="1"/>
    <xf numFmtId="3" fontId="31" fillId="0" borderId="21" xfId="0" applyNumberFormat="1" applyFont="1" applyBorder="1"/>
    <xf numFmtId="3" fontId="7" fillId="0" borderId="49" xfId="0" applyNumberFormat="1" applyFont="1" applyBorder="1"/>
    <xf numFmtId="3" fontId="7" fillId="26" borderId="47" xfId="0" applyNumberFormat="1" applyFont="1" applyFill="1" applyBorder="1"/>
    <xf numFmtId="3" fontId="7" fillId="26" borderId="20" xfId="0" applyNumberFormat="1" applyFont="1" applyFill="1" applyBorder="1"/>
    <xf numFmtId="3" fontId="7" fillId="26" borderId="48" xfId="0" applyNumberFormat="1" applyFont="1" applyFill="1" applyBorder="1"/>
    <xf numFmtId="3" fontId="7" fillId="26" borderId="21" xfId="0" applyNumberFormat="1" applyFont="1" applyFill="1" applyBorder="1"/>
    <xf numFmtId="0" fontId="7" fillId="0" borderId="50" xfId="0" applyFont="1" applyBorder="1"/>
    <xf numFmtId="3" fontId="7" fillId="0" borderId="51" xfId="0" applyNumberFormat="1" applyFont="1" applyBorder="1"/>
    <xf numFmtId="3" fontId="7" fillId="0" borderId="24" xfId="0" applyNumberFormat="1" applyFont="1" applyBorder="1"/>
    <xf numFmtId="3" fontId="7" fillId="0" borderId="52" xfId="0" applyNumberFormat="1" applyFont="1" applyBorder="1"/>
    <xf numFmtId="3" fontId="7" fillId="0" borderId="23" xfId="0" applyNumberFormat="1" applyFont="1" applyBorder="1"/>
    <xf numFmtId="3" fontId="7" fillId="28" borderId="51" xfId="0" applyNumberFormat="1" applyFont="1" applyFill="1" applyBorder="1"/>
    <xf numFmtId="3" fontId="7" fillId="28" borderId="23" xfId="0" applyNumberFormat="1" applyFont="1" applyFill="1" applyBorder="1"/>
    <xf numFmtId="3" fontId="7" fillId="28" borderId="52" xfId="0" applyNumberFormat="1" applyFont="1" applyFill="1" applyBorder="1"/>
    <xf numFmtId="3" fontId="7" fillId="29" borderId="51" xfId="0" applyNumberFormat="1" applyFont="1" applyFill="1" applyBorder="1"/>
    <xf numFmtId="3" fontId="7" fillId="29" borderId="23" xfId="0" applyNumberFormat="1" applyFont="1" applyFill="1" applyBorder="1"/>
    <xf numFmtId="3" fontId="7" fillId="29" borderId="52" xfId="0" applyNumberFormat="1" applyFont="1" applyFill="1" applyBorder="1"/>
    <xf numFmtId="3" fontId="6" fillId="24" borderId="23" xfId="0" applyNumberFormat="1" applyFont="1" applyFill="1" applyBorder="1"/>
    <xf numFmtId="3" fontId="6" fillId="24" borderId="52" xfId="0" applyNumberFormat="1" applyFont="1" applyFill="1" applyBorder="1"/>
    <xf numFmtId="3" fontId="31" fillId="0" borderId="24" xfId="0" applyNumberFormat="1" applyFont="1" applyBorder="1"/>
    <xf numFmtId="3" fontId="6" fillId="0" borderId="52" xfId="0" applyNumberFormat="1" applyFont="1" applyBorder="1"/>
    <xf numFmtId="3" fontId="8" fillId="24" borderId="51" xfId="0" applyNumberFormat="1" applyFont="1" applyFill="1" applyBorder="1"/>
    <xf numFmtId="3" fontId="8" fillId="24" borderId="24" xfId="0" applyNumberFormat="1" applyFont="1" applyFill="1" applyBorder="1"/>
    <xf numFmtId="3" fontId="7" fillId="0" borderId="53" xfId="0" applyNumberFormat="1" applyFont="1" applyBorder="1"/>
    <xf numFmtId="3" fontId="7" fillId="26" borderId="51" xfId="0" applyNumberFormat="1" applyFont="1" applyFill="1" applyBorder="1"/>
    <xf numFmtId="3" fontId="7" fillId="26" borderId="23" xfId="0" applyNumberFormat="1" applyFont="1" applyFill="1" applyBorder="1"/>
    <xf numFmtId="3" fontId="7" fillId="26" borderId="52" xfId="0" applyNumberFormat="1" applyFont="1" applyFill="1" applyBorder="1"/>
    <xf numFmtId="3" fontId="7" fillId="26" borderId="24" xfId="0" applyNumberFormat="1" applyFont="1" applyFill="1" applyBorder="1"/>
    <xf numFmtId="0" fontId="9" fillId="24" borderId="54" xfId="0" applyFont="1" applyFill="1" applyBorder="1"/>
    <xf numFmtId="3" fontId="9" fillId="24" borderId="55" xfId="0" applyNumberFormat="1" applyFont="1" applyFill="1" applyBorder="1"/>
    <xf numFmtId="3" fontId="9" fillId="24" borderId="56" xfId="0" applyNumberFormat="1" applyFont="1" applyFill="1" applyBorder="1"/>
    <xf numFmtId="3" fontId="9" fillId="24" borderId="15" xfId="0" applyNumberFormat="1" applyFont="1" applyFill="1" applyBorder="1"/>
    <xf numFmtId="3" fontId="9" fillId="24" borderId="16" xfId="0" applyNumberFormat="1" applyFont="1" applyFill="1" applyBorder="1"/>
    <xf numFmtId="3" fontId="9" fillId="28" borderId="55" xfId="0" applyNumberFormat="1" applyFont="1" applyFill="1" applyBorder="1"/>
    <xf numFmtId="3" fontId="9" fillId="28" borderId="15" xfId="0" applyNumberFormat="1" applyFont="1" applyFill="1" applyBorder="1"/>
    <xf numFmtId="3" fontId="9" fillId="28" borderId="56" xfId="0" applyNumberFormat="1" applyFont="1" applyFill="1" applyBorder="1"/>
    <xf numFmtId="3" fontId="9" fillId="29" borderId="55" xfId="0" applyNumberFormat="1" applyFont="1" applyFill="1" applyBorder="1"/>
    <xf numFmtId="3" fontId="9" fillId="29" borderId="15" xfId="0" applyNumberFormat="1" applyFont="1" applyFill="1" applyBorder="1"/>
    <xf numFmtId="3" fontId="9" fillId="29" borderId="56" xfId="0" applyNumberFormat="1" applyFont="1" applyFill="1" applyBorder="1"/>
    <xf numFmtId="3" fontId="6" fillId="24" borderId="55" xfId="0" applyNumberFormat="1" applyFont="1" applyFill="1" applyBorder="1"/>
    <xf numFmtId="3" fontId="6" fillId="24" borderId="15" xfId="0" applyNumberFormat="1" applyFont="1" applyFill="1" applyBorder="1"/>
    <xf numFmtId="3" fontId="6" fillId="24" borderId="56" xfId="0" applyNumberFormat="1" applyFont="1" applyFill="1" applyBorder="1"/>
    <xf numFmtId="3" fontId="8" fillId="24" borderId="16" xfId="0" applyNumberFormat="1" applyFont="1" applyFill="1" applyBorder="1"/>
    <xf numFmtId="3" fontId="8" fillId="24" borderId="56" xfId="0" applyNumberFormat="1" applyFont="1" applyFill="1" applyBorder="1"/>
    <xf numFmtId="3" fontId="8" fillId="24" borderId="55" xfId="0" applyNumberFormat="1" applyFont="1" applyFill="1" applyBorder="1"/>
    <xf numFmtId="3" fontId="9" fillId="24" borderId="17" xfId="0" applyNumberFormat="1" applyFont="1" applyFill="1" applyBorder="1"/>
    <xf numFmtId="3" fontId="9" fillId="26" borderId="55" xfId="0" applyNumberFormat="1" applyFont="1" applyFill="1" applyBorder="1"/>
    <xf numFmtId="3" fontId="9" fillId="26" borderId="15" xfId="0" applyNumberFormat="1" applyFont="1" applyFill="1" applyBorder="1"/>
    <xf numFmtId="3" fontId="9" fillId="26" borderId="56" xfId="0" applyNumberFormat="1" applyFont="1" applyFill="1" applyBorder="1"/>
    <xf numFmtId="3" fontId="9" fillId="26" borderId="16" xfId="0" applyNumberFormat="1" applyFont="1" applyFill="1" applyBorder="1"/>
    <xf numFmtId="3" fontId="9" fillId="26" borderId="0" xfId="0" applyNumberFormat="1" applyFont="1" applyFill="1"/>
    <xf numFmtId="3" fontId="7" fillId="0" borderId="18" xfId="0" applyNumberFormat="1" applyFont="1" applyBorder="1"/>
    <xf numFmtId="3" fontId="7" fillId="28" borderId="18" xfId="0" applyNumberFormat="1" applyFont="1" applyFill="1" applyBorder="1"/>
    <xf numFmtId="3" fontId="7" fillId="29" borderId="18" xfId="0" applyNumberFormat="1" applyFont="1" applyFill="1" applyBorder="1"/>
    <xf numFmtId="0" fontId="28" fillId="0" borderId="46" xfId="0" applyFont="1" applyBorder="1"/>
    <xf numFmtId="3" fontId="28" fillId="0" borderId="18" xfId="0" applyNumberFormat="1" applyFont="1" applyBorder="1"/>
    <xf numFmtId="3" fontId="28" fillId="0" borderId="19" xfId="0" applyNumberFormat="1" applyFont="1" applyBorder="1"/>
    <xf numFmtId="3" fontId="28" fillId="0" borderId="43" xfId="0" applyNumberFormat="1" applyFont="1" applyBorder="1"/>
    <xf numFmtId="3" fontId="28" fillId="28" borderId="43" xfId="0" applyNumberFormat="1" applyFont="1" applyFill="1" applyBorder="1"/>
    <xf numFmtId="3" fontId="28" fillId="29" borderId="43" xfId="0" applyNumberFormat="1" applyFont="1" applyFill="1" applyBorder="1"/>
    <xf numFmtId="3" fontId="28" fillId="0" borderId="45" xfId="0" applyNumberFormat="1" applyFont="1" applyBorder="1"/>
    <xf numFmtId="3" fontId="28" fillId="26" borderId="43" xfId="0" applyNumberFormat="1" applyFont="1" applyFill="1" applyBorder="1"/>
    <xf numFmtId="3" fontId="28" fillId="26" borderId="19" xfId="0" applyNumberFormat="1" applyFont="1" applyFill="1" applyBorder="1"/>
    <xf numFmtId="3" fontId="7" fillId="0" borderId="46" xfId="0" applyNumberFormat="1" applyFont="1" applyBorder="1"/>
    <xf numFmtId="0" fontId="28" fillId="0" borderId="46" xfId="0" applyFont="1" applyBorder="1" applyAlignment="1">
      <alignment horizontal="left" wrapText="1" indent="2"/>
    </xf>
    <xf numFmtId="3" fontId="28" fillId="0" borderId="51" xfId="0" applyNumberFormat="1" applyFont="1" applyBorder="1"/>
    <xf numFmtId="3" fontId="28" fillId="0" borderId="24" xfId="0" applyNumberFormat="1" applyFont="1" applyBorder="1"/>
    <xf numFmtId="3" fontId="28" fillId="0" borderId="52" xfId="0" applyNumberFormat="1" applyFont="1" applyBorder="1"/>
    <xf numFmtId="3" fontId="28" fillId="0" borderId="23" xfId="0" applyNumberFormat="1" applyFont="1" applyBorder="1"/>
    <xf numFmtId="3" fontId="28" fillId="28" borderId="51" xfId="0" applyNumberFormat="1" applyFont="1" applyFill="1" applyBorder="1"/>
    <xf numFmtId="3" fontId="28" fillId="28" borderId="23" xfId="0" applyNumberFormat="1" applyFont="1" applyFill="1" applyBorder="1"/>
    <xf numFmtId="3" fontId="28" fillId="28" borderId="52" xfId="0" applyNumberFormat="1" applyFont="1" applyFill="1" applyBorder="1"/>
    <xf numFmtId="3" fontId="28" fillId="29" borderId="51" xfId="0" applyNumberFormat="1" applyFont="1" applyFill="1" applyBorder="1"/>
    <xf numFmtId="3" fontId="28" fillId="29" borderId="23" xfId="0" applyNumberFormat="1" applyFont="1" applyFill="1" applyBorder="1"/>
    <xf numFmtId="3" fontId="28" fillId="29" borderId="52" xfId="0" applyNumberFormat="1" applyFont="1" applyFill="1" applyBorder="1"/>
    <xf numFmtId="3" fontId="28" fillId="0" borderId="53" xfId="0" applyNumberFormat="1" applyFont="1" applyBorder="1"/>
    <xf numFmtId="3" fontId="28" fillId="26" borderId="51" xfId="0" applyNumberFormat="1" applyFont="1" applyFill="1" applyBorder="1"/>
    <xf numFmtId="3" fontId="28" fillId="26" borderId="23" xfId="0" applyNumberFormat="1" applyFont="1" applyFill="1" applyBorder="1"/>
    <xf numFmtId="3" fontId="28" fillId="26" borderId="52" xfId="0" applyNumberFormat="1" applyFont="1" applyFill="1" applyBorder="1"/>
    <xf numFmtId="3" fontId="28" fillId="26" borderId="24" xfId="0" applyNumberFormat="1" applyFont="1" applyFill="1" applyBorder="1"/>
    <xf numFmtId="0" fontId="9" fillId="24" borderId="35" xfId="0" applyFont="1" applyFill="1" applyBorder="1"/>
    <xf numFmtId="3" fontId="9" fillId="24" borderId="57" xfId="0" applyNumberFormat="1" applyFont="1" applyFill="1" applyBorder="1"/>
    <xf numFmtId="3" fontId="9" fillId="24" borderId="58" xfId="0" applyNumberFormat="1" applyFont="1" applyFill="1" applyBorder="1"/>
    <xf numFmtId="3" fontId="9" fillId="24" borderId="59" xfId="0" applyNumberFormat="1" applyFont="1" applyFill="1" applyBorder="1"/>
    <xf numFmtId="3" fontId="9" fillId="28" borderId="59" xfId="0" applyNumberFormat="1" applyFont="1" applyFill="1" applyBorder="1"/>
    <xf numFmtId="3" fontId="9" fillId="29" borderId="59" xfId="0" applyNumberFormat="1" applyFont="1" applyFill="1" applyBorder="1"/>
    <xf numFmtId="3" fontId="6" fillId="24" borderId="59" xfId="0" applyNumberFormat="1" applyFont="1" applyFill="1" applyBorder="1"/>
    <xf numFmtId="3" fontId="8" fillId="24" borderId="59" xfId="0" applyNumberFormat="1" applyFont="1" applyFill="1" applyBorder="1"/>
    <xf numFmtId="3" fontId="9" fillId="24" borderId="34" xfId="0" applyNumberFormat="1" applyFont="1" applyFill="1" applyBorder="1"/>
    <xf numFmtId="3" fontId="9" fillId="26" borderId="59" xfId="0" applyNumberFormat="1" applyFont="1" applyFill="1" applyBorder="1"/>
    <xf numFmtId="3" fontId="9" fillId="26" borderId="58" xfId="0" applyNumberFormat="1" applyFont="1" applyFill="1" applyBorder="1"/>
    <xf numFmtId="0" fontId="7" fillId="0" borderId="38" xfId="0" applyFont="1" applyBorder="1" applyAlignment="1">
      <alignment wrapText="1"/>
    </xf>
    <xf numFmtId="3" fontId="7" fillId="0" borderId="36" xfId="0" applyNumberFormat="1" applyFont="1" applyBorder="1"/>
    <xf numFmtId="3" fontId="7" fillId="0" borderId="26" xfId="0" applyNumberFormat="1" applyFont="1" applyBorder="1"/>
    <xf numFmtId="3" fontId="7" fillId="0" borderId="37" xfId="0" applyNumberFormat="1" applyFont="1" applyBorder="1"/>
    <xf numFmtId="3" fontId="7" fillId="0" borderId="25" xfId="0" applyNumberFormat="1" applyFont="1" applyBorder="1"/>
    <xf numFmtId="3" fontId="7" fillId="28" borderId="36" xfId="0" applyNumberFormat="1" applyFont="1" applyFill="1" applyBorder="1"/>
    <xf numFmtId="3" fontId="7" fillId="28" borderId="25" xfId="0" applyNumberFormat="1" applyFont="1" applyFill="1" applyBorder="1"/>
    <xf numFmtId="3" fontId="7" fillId="28" borderId="37" xfId="0" applyNumberFormat="1" applyFont="1" applyFill="1" applyBorder="1"/>
    <xf numFmtId="3" fontId="7" fillId="29" borderId="36" xfId="0" applyNumberFormat="1" applyFont="1" applyFill="1" applyBorder="1"/>
    <xf numFmtId="3" fontId="7" fillId="29" borderId="25" xfId="0" applyNumberFormat="1" applyFont="1" applyFill="1" applyBorder="1"/>
    <xf numFmtId="3" fontId="7" fillId="29" borderId="37" xfId="0" applyNumberFormat="1" applyFont="1" applyFill="1" applyBorder="1"/>
    <xf numFmtId="3" fontId="6" fillId="24" borderId="36" xfId="0" applyNumberFormat="1" applyFont="1" applyFill="1" applyBorder="1"/>
    <xf numFmtId="3" fontId="6" fillId="24" borderId="25" xfId="0" applyNumberFormat="1" applyFont="1" applyFill="1" applyBorder="1"/>
    <xf numFmtId="3" fontId="6" fillId="24" borderId="37" xfId="0" applyNumberFormat="1" applyFont="1" applyFill="1" applyBorder="1"/>
    <xf numFmtId="3" fontId="31" fillId="0" borderId="26" xfId="0" applyNumberFormat="1" applyFont="1" applyBorder="1"/>
    <xf numFmtId="3" fontId="6" fillId="0" borderId="37" xfId="0" applyNumberFormat="1" applyFont="1" applyBorder="1"/>
    <xf numFmtId="3" fontId="8" fillId="24" borderId="36" xfId="0" applyNumberFormat="1" applyFont="1" applyFill="1" applyBorder="1"/>
    <xf numFmtId="3" fontId="8" fillId="24" borderId="26" xfId="0" applyNumberFormat="1" applyFont="1" applyFill="1" applyBorder="1"/>
    <xf numFmtId="3" fontId="7" fillId="0" borderId="39" xfId="0" applyNumberFormat="1" applyFont="1" applyBorder="1"/>
    <xf numFmtId="3" fontId="7" fillId="26" borderId="36" xfId="0" applyNumberFormat="1" applyFont="1" applyFill="1" applyBorder="1"/>
    <xf numFmtId="3" fontId="7" fillId="26" borderId="25" xfId="0" applyNumberFormat="1" applyFont="1" applyFill="1" applyBorder="1"/>
    <xf numFmtId="3" fontId="7" fillId="26" borderId="37" xfId="0" applyNumberFormat="1" applyFont="1" applyFill="1" applyBorder="1"/>
    <xf numFmtId="3" fontId="7" fillId="26" borderId="26" xfId="0" applyNumberFormat="1" applyFont="1" applyFill="1" applyBorder="1"/>
    <xf numFmtId="0" fontId="28" fillId="0" borderId="50" xfId="0" applyFont="1" applyBorder="1"/>
    <xf numFmtId="3" fontId="6" fillId="24" borderId="51" xfId="0" applyNumberFormat="1" applyFont="1" applyFill="1" applyBorder="1"/>
    <xf numFmtId="3" fontId="7" fillId="26" borderId="41" xfId="0" applyNumberFormat="1" applyFont="1" applyFill="1" applyBorder="1"/>
    <xf numFmtId="3" fontId="7" fillId="26" borderId="29" xfId="0" applyNumberFormat="1" applyFont="1" applyFill="1" applyBorder="1"/>
    <xf numFmtId="3" fontId="7" fillId="26" borderId="42" xfId="0" applyNumberFormat="1" applyFont="1" applyFill="1" applyBorder="1"/>
    <xf numFmtId="3" fontId="7" fillId="26" borderId="30" xfId="0" applyNumberFormat="1" applyFont="1" applyFill="1" applyBorder="1"/>
    <xf numFmtId="0" fontId="28" fillId="0" borderId="10" xfId="0" applyFont="1" applyBorder="1"/>
    <xf numFmtId="0" fontId="7" fillId="0" borderId="33" xfId="0" applyFont="1" applyBorder="1"/>
    <xf numFmtId="3" fontId="7" fillId="0" borderId="60" xfId="0" applyNumberFormat="1" applyFont="1" applyBorder="1"/>
    <xf numFmtId="3" fontId="7" fillId="0" borderId="61" xfId="0" applyNumberFormat="1" applyFont="1" applyBorder="1"/>
    <xf numFmtId="3" fontId="7" fillId="0" borderId="62" xfId="0" applyNumberFormat="1" applyFont="1" applyBorder="1"/>
    <xf numFmtId="3" fontId="7" fillId="0" borderId="63" xfId="0" applyNumberFormat="1" applyFont="1" applyBorder="1"/>
    <xf numFmtId="3" fontId="7" fillId="28" borderId="60" xfId="0" applyNumberFormat="1" applyFont="1" applyFill="1" applyBorder="1"/>
    <xf numFmtId="3" fontId="7" fillId="28" borderId="63" xfId="0" applyNumberFormat="1" applyFont="1" applyFill="1" applyBorder="1"/>
    <xf numFmtId="3" fontId="7" fillId="28" borderId="62" xfId="0" applyNumberFormat="1" applyFont="1" applyFill="1" applyBorder="1"/>
    <xf numFmtId="3" fontId="7" fillId="29" borderId="60" xfId="0" applyNumberFormat="1" applyFont="1" applyFill="1" applyBorder="1"/>
    <xf numFmtId="3" fontId="7" fillId="29" borderId="63" xfId="0" applyNumberFormat="1" applyFont="1" applyFill="1" applyBorder="1"/>
    <xf numFmtId="3" fontId="7" fillId="29" borderId="62" xfId="0" applyNumberFormat="1" applyFont="1" applyFill="1" applyBorder="1"/>
    <xf numFmtId="3" fontId="6" fillId="24" borderId="60" xfId="0" applyNumberFormat="1" applyFont="1" applyFill="1" applyBorder="1"/>
    <xf numFmtId="3" fontId="6" fillId="24" borderId="63" xfId="0" applyNumberFormat="1" applyFont="1" applyFill="1" applyBorder="1"/>
    <xf numFmtId="3" fontId="6" fillId="24" borderId="62" xfId="0" applyNumberFormat="1" applyFont="1" applyFill="1" applyBorder="1"/>
    <xf numFmtId="3" fontId="31" fillId="0" borderId="61" xfId="0" applyNumberFormat="1" applyFont="1" applyBorder="1"/>
    <xf numFmtId="3" fontId="6" fillId="0" borderId="62" xfId="0" applyNumberFormat="1" applyFont="1" applyBorder="1"/>
    <xf numFmtId="3" fontId="8" fillId="24" borderId="60" xfId="0" applyNumberFormat="1" applyFont="1" applyFill="1" applyBorder="1"/>
    <xf numFmtId="3" fontId="8" fillId="24" borderId="61" xfId="0" applyNumberFormat="1" applyFont="1" applyFill="1" applyBorder="1"/>
    <xf numFmtId="3" fontId="7" fillId="0" borderId="64" xfId="0" applyNumberFormat="1" applyFont="1" applyBorder="1"/>
    <xf numFmtId="0" fontId="9" fillId="24" borderId="40" xfId="0" applyFont="1" applyFill="1" applyBorder="1"/>
    <xf numFmtId="3" fontId="9" fillId="24" borderId="63" xfId="0" applyNumberFormat="1" applyFont="1" applyFill="1" applyBorder="1"/>
    <xf numFmtId="3" fontId="9" fillId="24" borderId="61" xfId="0" applyNumberFormat="1" applyFont="1" applyFill="1" applyBorder="1"/>
    <xf numFmtId="3" fontId="9" fillId="24" borderId="60" xfId="0" applyNumberFormat="1" applyFont="1" applyFill="1" applyBorder="1"/>
    <xf numFmtId="3" fontId="9" fillId="28" borderId="60" xfId="0" applyNumberFormat="1" applyFont="1" applyFill="1" applyBorder="1"/>
    <xf numFmtId="3" fontId="9" fillId="29" borderId="60" xfId="0" applyNumberFormat="1" applyFont="1" applyFill="1" applyBorder="1"/>
    <xf numFmtId="3" fontId="9" fillId="24" borderId="64" xfId="0" applyNumberFormat="1" applyFont="1" applyFill="1" applyBorder="1"/>
    <xf numFmtId="3" fontId="9" fillId="26" borderId="60" xfId="0" applyNumberFormat="1" applyFont="1" applyFill="1" applyBorder="1"/>
    <xf numFmtId="3" fontId="9" fillId="26" borderId="61" xfId="0" applyNumberFormat="1" applyFont="1" applyFill="1" applyBorder="1"/>
    <xf numFmtId="0" fontId="7" fillId="0" borderId="65" xfId="0" applyFont="1" applyBorder="1"/>
    <xf numFmtId="0" fontId="7" fillId="0" borderId="66" xfId="0" applyFont="1" applyBorder="1"/>
    <xf numFmtId="0" fontId="7" fillId="0" borderId="67" xfId="0" applyFont="1" applyBorder="1"/>
    <xf numFmtId="0" fontId="6" fillId="0" borderId="0" xfId="0" applyFont="1"/>
    <xf numFmtId="0" fontId="8" fillId="0" borderId="0" xfId="0" applyFont="1"/>
    <xf numFmtId="0" fontId="7" fillId="26" borderId="0" xfId="0" applyFont="1" applyFill="1"/>
    <xf numFmtId="0" fontId="7" fillId="0" borderId="12" xfId="0" applyFont="1" applyBorder="1"/>
    <xf numFmtId="3" fontId="7" fillId="24" borderId="44" xfId="0" applyNumberFormat="1" applyFont="1" applyFill="1" applyBorder="1"/>
    <xf numFmtId="0" fontId="7" fillId="0" borderId="10" xfId="0" applyFont="1" applyBorder="1"/>
    <xf numFmtId="3" fontId="7" fillId="24" borderId="48" xfId="0" applyNumberFormat="1" applyFont="1" applyFill="1" applyBorder="1"/>
    <xf numFmtId="3" fontId="28" fillId="24" borderId="48" xfId="0" applyNumberFormat="1" applyFont="1" applyFill="1" applyBorder="1"/>
    <xf numFmtId="3" fontId="8" fillId="24" borderId="46" xfId="0" applyNumberFormat="1" applyFont="1" applyFill="1" applyBorder="1"/>
    <xf numFmtId="3" fontId="28" fillId="24" borderId="49" xfId="0" applyNumberFormat="1" applyFont="1" applyFill="1" applyBorder="1"/>
    <xf numFmtId="3" fontId="7" fillId="0" borderId="41" xfId="0" applyNumberFormat="1" applyFont="1" applyBorder="1"/>
    <xf numFmtId="3" fontId="7" fillId="0" borderId="30" xfId="0" applyNumberFormat="1" applyFont="1" applyBorder="1"/>
    <xf numFmtId="3" fontId="7" fillId="0" borderId="68" xfId="0" applyNumberFormat="1" applyFont="1" applyBorder="1"/>
    <xf numFmtId="3" fontId="7" fillId="0" borderId="42" xfId="0" applyNumberFormat="1" applyFont="1" applyBorder="1"/>
    <xf numFmtId="3" fontId="7" fillId="0" borderId="29" xfId="0" applyNumberFormat="1" applyFont="1" applyBorder="1"/>
    <xf numFmtId="3" fontId="7" fillId="28" borderId="41" xfId="0" applyNumberFormat="1" applyFont="1" applyFill="1" applyBorder="1"/>
    <xf numFmtId="3" fontId="7" fillId="28" borderId="29" xfId="0" applyNumberFormat="1" applyFont="1" applyFill="1" applyBorder="1"/>
    <xf numFmtId="3" fontId="7" fillId="28" borderId="42" xfId="0" applyNumberFormat="1" applyFont="1" applyFill="1" applyBorder="1"/>
    <xf numFmtId="3" fontId="7" fillId="29" borderId="41" xfId="0" applyNumberFormat="1" applyFont="1" applyFill="1" applyBorder="1"/>
    <xf numFmtId="3" fontId="7" fillId="29" borderId="29" xfId="0" applyNumberFormat="1" applyFont="1" applyFill="1" applyBorder="1"/>
    <xf numFmtId="3" fontId="7" fillId="29" borderId="42" xfId="0" applyNumberFormat="1" applyFont="1" applyFill="1" applyBorder="1"/>
    <xf numFmtId="3" fontId="6" fillId="24" borderId="29" xfId="0" applyNumberFormat="1" applyFont="1" applyFill="1" applyBorder="1"/>
    <xf numFmtId="3" fontId="7" fillId="24" borderId="42" xfId="0" applyNumberFormat="1" applyFont="1" applyFill="1" applyBorder="1"/>
    <xf numFmtId="3" fontId="28" fillId="0" borderId="30" xfId="0" applyNumberFormat="1" applyFont="1" applyBorder="1"/>
    <xf numFmtId="3" fontId="8" fillId="24" borderId="41" xfId="0" applyNumberFormat="1" applyFont="1" applyFill="1" applyBorder="1"/>
    <xf numFmtId="3" fontId="8" fillId="24" borderId="30" xfId="0" applyNumberFormat="1" applyFont="1" applyFill="1" applyBorder="1"/>
    <xf numFmtId="0" fontId="9" fillId="24" borderId="13" xfId="0" applyFont="1" applyFill="1" applyBorder="1"/>
    <xf numFmtId="0" fontId="7" fillId="0" borderId="14" xfId="0" applyFont="1" applyBorder="1"/>
    <xf numFmtId="3" fontId="28" fillId="0" borderId="41" xfId="0" applyNumberFormat="1" applyFont="1" applyBorder="1"/>
    <xf numFmtId="3" fontId="28" fillId="0" borderId="68" xfId="0" applyNumberFormat="1" applyFont="1" applyBorder="1"/>
    <xf numFmtId="3" fontId="28" fillId="0" borderId="42" xfId="0" applyNumberFormat="1" applyFont="1" applyBorder="1"/>
    <xf numFmtId="3" fontId="28" fillId="0" borderId="29" xfId="0" applyNumberFormat="1" applyFont="1" applyBorder="1"/>
    <xf numFmtId="3" fontId="28" fillId="28" borderId="41" xfId="0" applyNumberFormat="1" applyFont="1" applyFill="1" applyBorder="1"/>
    <xf numFmtId="3" fontId="28" fillId="28" borderId="29" xfId="0" applyNumberFormat="1" applyFont="1" applyFill="1" applyBorder="1"/>
    <xf numFmtId="3" fontId="28" fillId="28" borderId="42" xfId="0" applyNumberFormat="1" applyFont="1" applyFill="1" applyBorder="1"/>
    <xf numFmtId="3" fontId="28" fillId="29" borderId="41" xfId="0" applyNumberFormat="1" applyFont="1" applyFill="1" applyBorder="1"/>
    <xf numFmtId="3" fontId="28" fillId="29" borderId="29" xfId="0" applyNumberFormat="1" applyFont="1" applyFill="1" applyBorder="1"/>
    <xf numFmtId="3" fontId="28" fillId="29" borderId="42" xfId="0" applyNumberFormat="1" applyFont="1" applyFill="1" applyBorder="1"/>
    <xf numFmtId="3" fontId="28" fillId="24" borderId="42" xfId="0" applyNumberFormat="1" applyFont="1" applyFill="1" applyBorder="1"/>
    <xf numFmtId="3" fontId="28" fillId="26" borderId="41" xfId="0" applyNumberFormat="1" applyFont="1" applyFill="1" applyBorder="1"/>
    <xf numFmtId="3" fontId="28" fillId="26" borderId="29" xfId="0" applyNumberFormat="1" applyFont="1" applyFill="1" applyBorder="1"/>
    <xf numFmtId="3" fontId="28" fillId="26" borderId="42" xfId="0" applyNumberFormat="1" applyFont="1" applyFill="1" applyBorder="1"/>
    <xf numFmtId="3" fontId="28" fillId="26" borderId="30" xfId="0" applyNumberFormat="1" applyFont="1" applyFill="1" applyBorder="1"/>
    <xf numFmtId="0" fontId="9" fillId="24" borderId="32" xfId="0" applyFont="1" applyFill="1" applyBorder="1"/>
    <xf numFmtId="3" fontId="9" fillId="24" borderId="69" xfId="0" applyNumberFormat="1" applyFont="1" applyFill="1" applyBorder="1"/>
    <xf numFmtId="3" fontId="9" fillId="28" borderId="57" xfId="0" applyNumberFormat="1" applyFont="1" applyFill="1" applyBorder="1"/>
    <xf numFmtId="3" fontId="9" fillId="28" borderId="69" xfId="0" applyNumberFormat="1" applyFont="1" applyFill="1" applyBorder="1"/>
    <xf numFmtId="3" fontId="9" fillId="29" borderId="57" xfId="0" applyNumberFormat="1" applyFont="1" applyFill="1" applyBorder="1"/>
    <xf numFmtId="3" fontId="9" fillId="29" borderId="69" xfId="0" applyNumberFormat="1" applyFont="1" applyFill="1" applyBorder="1"/>
    <xf numFmtId="3" fontId="6" fillId="24" borderId="57" xfId="0" applyNumberFormat="1" applyFont="1" applyFill="1" applyBorder="1"/>
    <xf numFmtId="3" fontId="8" fillId="24" borderId="58" xfId="0" applyNumberFormat="1" applyFont="1" applyFill="1" applyBorder="1"/>
    <xf numFmtId="3" fontId="8" fillId="24" borderId="69" xfId="0" applyNumberFormat="1" applyFont="1" applyFill="1" applyBorder="1"/>
    <xf numFmtId="3" fontId="9" fillId="26" borderId="57" xfId="0" applyNumberFormat="1" applyFont="1" applyFill="1" applyBorder="1"/>
    <xf numFmtId="3" fontId="9" fillId="26" borderId="69" xfId="0" applyNumberFormat="1" applyFont="1" applyFill="1" applyBorder="1"/>
    <xf numFmtId="0" fontId="8" fillId="24" borderId="13" xfId="0" applyFont="1" applyFill="1" applyBorder="1" applyAlignment="1">
      <alignment wrapText="1"/>
    </xf>
    <xf numFmtId="3" fontId="8" fillId="24" borderId="17" xfId="0" applyNumberFormat="1" applyFont="1" applyFill="1" applyBorder="1"/>
    <xf numFmtId="3" fontId="8" fillId="24" borderId="15" xfId="0" applyNumberFormat="1" applyFont="1" applyFill="1" applyBorder="1"/>
    <xf numFmtId="3" fontId="8" fillId="28" borderId="55" xfId="0" applyNumberFormat="1" applyFont="1" applyFill="1" applyBorder="1"/>
    <xf numFmtId="3" fontId="8" fillId="28" borderId="15" xfId="0" applyNumberFormat="1" applyFont="1" applyFill="1" applyBorder="1"/>
    <xf numFmtId="3" fontId="8" fillId="28" borderId="56" xfId="0" applyNumberFormat="1" applyFont="1" applyFill="1" applyBorder="1"/>
    <xf numFmtId="3" fontId="8" fillId="29" borderId="55" xfId="0" applyNumberFormat="1" applyFont="1" applyFill="1" applyBorder="1"/>
    <xf numFmtId="3" fontId="8" fillId="29" borderId="15" xfId="0" applyNumberFormat="1" applyFont="1" applyFill="1" applyBorder="1"/>
    <xf numFmtId="3" fontId="8" fillId="29" borderId="56" xfId="0" applyNumberFormat="1" applyFont="1" applyFill="1" applyBorder="1"/>
    <xf numFmtId="3" fontId="8" fillId="26" borderId="55" xfId="0" applyNumberFormat="1" applyFont="1" applyFill="1" applyBorder="1"/>
    <xf numFmtId="3" fontId="8" fillId="26" borderId="15" xfId="0" applyNumberFormat="1" applyFont="1" applyFill="1" applyBorder="1"/>
    <xf numFmtId="3" fontId="8" fillId="26" borderId="56" xfId="0" applyNumberFormat="1" applyFont="1" applyFill="1" applyBorder="1"/>
    <xf numFmtId="3" fontId="8" fillId="26" borderId="16" xfId="0" applyNumberFormat="1" applyFont="1" applyFill="1" applyBorder="1"/>
    <xf numFmtId="3" fontId="8" fillId="26" borderId="0" xfId="0" applyNumberFormat="1" applyFont="1" applyFill="1"/>
    <xf numFmtId="0" fontId="9" fillId="24" borderId="33" xfId="0" applyFont="1" applyFill="1" applyBorder="1"/>
    <xf numFmtId="3" fontId="9" fillId="24" borderId="62" xfId="0" applyNumberFormat="1" applyFont="1" applyFill="1" applyBorder="1"/>
    <xf numFmtId="3" fontId="9" fillId="28" borderId="63" xfId="0" applyNumberFormat="1" applyFont="1" applyFill="1" applyBorder="1"/>
    <xf numFmtId="3" fontId="9" fillId="28" borderId="62" xfId="0" applyNumberFormat="1" applyFont="1" applyFill="1" applyBorder="1"/>
    <xf numFmtId="3" fontId="9" fillId="29" borderId="63" xfId="0" applyNumberFormat="1" applyFont="1" applyFill="1" applyBorder="1"/>
    <xf numFmtId="3" fontId="9" fillId="29" borderId="62" xfId="0" applyNumberFormat="1" applyFont="1" applyFill="1" applyBorder="1"/>
    <xf numFmtId="3" fontId="8" fillId="24" borderId="62" xfId="0" applyNumberFormat="1" applyFont="1" applyFill="1" applyBorder="1"/>
    <xf numFmtId="3" fontId="4" fillId="0" borderId="0" xfId="0" applyNumberFormat="1" applyFont="1"/>
    <xf numFmtId="0" fontId="8" fillId="0" borderId="38" xfId="0" applyFont="1" applyBorder="1"/>
    <xf numFmtId="4" fontId="8" fillId="0" borderId="36" xfId="0" applyNumberFormat="1" applyFont="1" applyBorder="1"/>
    <xf numFmtId="4" fontId="8" fillId="0" borderId="26" xfId="0" applyNumberFormat="1" applyFont="1" applyBorder="1"/>
    <xf numFmtId="4" fontId="8" fillId="0" borderId="37" xfId="0" applyNumberFormat="1" applyFont="1" applyBorder="1"/>
    <xf numFmtId="4" fontId="8" fillId="28" borderId="36" xfId="0" applyNumberFormat="1" applyFont="1" applyFill="1" applyBorder="1"/>
    <xf numFmtId="4" fontId="8" fillId="28" borderId="26" xfId="0" applyNumberFormat="1" applyFont="1" applyFill="1" applyBorder="1"/>
    <xf numFmtId="4" fontId="8" fillId="29" borderId="36" xfId="0" applyNumberFormat="1" applyFont="1" applyFill="1" applyBorder="1"/>
    <xf numFmtId="4" fontId="8" fillId="29" borderId="26" xfId="0" applyNumberFormat="1" applyFont="1" applyFill="1" applyBorder="1"/>
    <xf numFmtId="4" fontId="8" fillId="0" borderId="14" xfId="0" applyNumberFormat="1" applyFont="1" applyBorder="1"/>
    <xf numFmtId="4" fontId="8" fillId="0" borderId="25" xfId="0" applyNumberFormat="1" applyFont="1" applyBorder="1"/>
    <xf numFmtId="4" fontId="8" fillId="25" borderId="37" xfId="0" applyNumberFormat="1" applyFont="1" applyFill="1" applyBorder="1"/>
    <xf numFmtId="3" fontId="8" fillId="0" borderId="0" xfId="0" applyNumberFormat="1" applyFont="1"/>
    <xf numFmtId="4" fontId="8" fillId="26" borderId="0" xfId="0" applyNumberFormat="1" applyFont="1" applyFill="1"/>
    <xf numFmtId="0" fontId="8" fillId="26" borderId="0" xfId="0" applyFont="1" applyFill="1"/>
    <xf numFmtId="3" fontId="31" fillId="0" borderId="46" xfId="0" applyNumberFormat="1" applyFont="1" applyBorder="1" applyAlignment="1">
      <alignment horizontal="center"/>
    </xf>
    <xf numFmtId="4" fontId="31" fillId="0" borderId="47" xfId="0" applyNumberFormat="1" applyFont="1" applyBorder="1"/>
    <xf numFmtId="4" fontId="31" fillId="0" borderId="21" xfId="0" applyNumberFormat="1" applyFont="1" applyBorder="1"/>
    <xf numFmtId="4" fontId="31" fillId="0" borderId="48" xfId="0" applyNumberFormat="1" applyFont="1" applyBorder="1"/>
    <xf numFmtId="4" fontId="31" fillId="0" borderId="22" xfId="0" applyNumberFormat="1" applyFont="1" applyBorder="1"/>
    <xf numFmtId="4" fontId="31" fillId="28" borderId="22" xfId="0" applyNumberFormat="1" applyFont="1" applyFill="1" applyBorder="1"/>
    <xf numFmtId="4" fontId="31" fillId="28" borderId="21" xfId="0" applyNumberFormat="1" applyFont="1" applyFill="1" applyBorder="1"/>
    <xf numFmtId="4" fontId="31" fillId="29" borderId="22" xfId="0" applyNumberFormat="1" applyFont="1" applyFill="1" applyBorder="1"/>
    <xf numFmtId="4" fontId="31" fillId="29" borderId="21" xfId="0" applyNumberFormat="1" applyFont="1" applyFill="1" applyBorder="1"/>
    <xf numFmtId="4" fontId="31" fillId="0" borderId="10" xfId="0" applyNumberFormat="1" applyFont="1" applyBorder="1"/>
    <xf numFmtId="4" fontId="31" fillId="0" borderId="20" xfId="0" applyNumberFormat="1" applyFont="1" applyBorder="1"/>
    <xf numFmtId="4" fontId="31" fillId="25" borderId="48" xfId="0" applyNumberFormat="1" applyFont="1" applyFill="1" applyBorder="1"/>
    <xf numFmtId="3" fontId="31" fillId="0" borderId="0" xfId="0" applyNumberFormat="1" applyFont="1"/>
    <xf numFmtId="3" fontId="31" fillId="26" borderId="0" xfId="0" applyNumberFormat="1" applyFont="1" applyFill="1"/>
    <xf numFmtId="4" fontId="31" fillId="26" borderId="0" xfId="0" applyNumberFormat="1" applyFont="1" applyFill="1"/>
    <xf numFmtId="0" fontId="31" fillId="26" borderId="0" xfId="0" applyFont="1" applyFill="1"/>
    <xf numFmtId="0" fontId="31" fillId="0" borderId="0" xfId="0" applyFont="1"/>
    <xf numFmtId="3" fontId="8" fillId="0" borderId="70" xfId="0" applyNumberFormat="1" applyFont="1" applyBorder="1"/>
    <xf numFmtId="4" fontId="8" fillId="0" borderId="41" xfId="0" applyNumberFormat="1" applyFont="1" applyBorder="1"/>
    <xf numFmtId="4" fontId="8" fillId="0" borderId="30" xfId="0" applyNumberFormat="1" applyFont="1" applyBorder="1"/>
    <xf numFmtId="4" fontId="8" fillId="0" borderId="42" xfId="0" applyNumberFormat="1" applyFont="1" applyBorder="1"/>
    <xf numFmtId="4" fontId="8" fillId="0" borderId="31" xfId="0" applyNumberFormat="1" applyFont="1" applyBorder="1"/>
    <xf numFmtId="4" fontId="8" fillId="28" borderId="31" xfId="0" applyNumberFormat="1" applyFont="1" applyFill="1" applyBorder="1"/>
    <xf numFmtId="4" fontId="8" fillId="28" borderId="30" xfId="0" applyNumberFormat="1" applyFont="1" applyFill="1" applyBorder="1"/>
    <xf numFmtId="4" fontId="8" fillId="29" borderId="31" xfId="0" applyNumberFormat="1" applyFont="1" applyFill="1" applyBorder="1"/>
    <xf numFmtId="4" fontId="8" fillId="29" borderId="30" xfId="0" applyNumberFormat="1" applyFont="1" applyFill="1" applyBorder="1"/>
    <xf numFmtId="4" fontId="8" fillId="0" borderId="11" xfId="0" applyNumberFormat="1" applyFont="1" applyBorder="1"/>
    <xf numFmtId="4" fontId="8" fillId="0" borderId="29" xfId="0" applyNumberFormat="1" applyFont="1" applyBorder="1"/>
    <xf numFmtId="4" fontId="8" fillId="25" borderId="42" xfId="0" applyNumberFormat="1" applyFont="1" applyFill="1" applyBorder="1"/>
    <xf numFmtId="0" fontId="8" fillId="0" borderId="3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24" borderId="36" xfId="0" applyFont="1" applyFill="1" applyBorder="1" applyAlignment="1">
      <alignment horizontal="center" wrapText="1"/>
    </xf>
    <xf numFmtId="0" fontId="8" fillId="24" borderId="25" xfId="0" applyFont="1" applyFill="1" applyBorder="1" applyAlignment="1">
      <alignment horizontal="center" wrapText="1"/>
    </xf>
    <xf numFmtId="0" fontId="8" fillId="24" borderId="26" xfId="0" applyFont="1" applyFill="1" applyBorder="1" applyAlignment="1">
      <alignment horizontal="center" wrapText="1"/>
    </xf>
    <xf numFmtId="0" fontId="8" fillId="24" borderId="37" xfId="0" applyFont="1" applyFill="1" applyBorder="1" applyAlignment="1">
      <alignment horizontal="center" wrapText="1"/>
    </xf>
    <xf numFmtId="0" fontId="7" fillId="26" borderId="36" xfId="0" applyFont="1" applyFill="1" applyBorder="1" applyAlignment="1">
      <alignment horizontal="center" wrapText="1"/>
    </xf>
    <xf numFmtId="0" fontId="7" fillId="26" borderId="26" xfId="0" applyFont="1" applyFill="1" applyBorder="1" applyAlignment="1">
      <alignment horizontal="center" wrapText="1"/>
    </xf>
    <xf numFmtId="0" fontId="7" fillId="26" borderId="27" xfId="0" applyFont="1" applyFill="1" applyBorder="1" applyAlignment="1">
      <alignment horizontal="center" wrapText="1"/>
    </xf>
    <xf numFmtId="0" fontId="7" fillId="26" borderId="37" xfId="0" applyFont="1" applyFill="1" applyBorder="1" applyAlignment="1">
      <alignment horizontal="center" wrapText="1"/>
    </xf>
    <xf numFmtId="0" fontId="8" fillId="28" borderId="36" xfId="0" applyFont="1" applyFill="1" applyBorder="1" applyAlignment="1">
      <alignment horizontal="center" wrapText="1"/>
    </xf>
    <xf numFmtId="0" fontId="8" fillId="28" borderId="25" xfId="0" applyFont="1" applyFill="1" applyBorder="1" applyAlignment="1">
      <alignment horizontal="center" wrapText="1"/>
    </xf>
    <xf numFmtId="0" fontId="8" fillId="28" borderId="26" xfId="0" applyFont="1" applyFill="1" applyBorder="1" applyAlignment="1">
      <alignment horizontal="center" wrapText="1"/>
    </xf>
    <xf numFmtId="0" fontId="8" fillId="28" borderId="37" xfId="0" applyFont="1" applyFill="1" applyBorder="1" applyAlignment="1">
      <alignment horizontal="center" wrapText="1"/>
    </xf>
    <xf numFmtId="0" fontId="8" fillId="29" borderId="36" xfId="0" applyFont="1" applyFill="1" applyBorder="1" applyAlignment="1">
      <alignment horizontal="center" wrapText="1"/>
    </xf>
    <xf numFmtId="0" fontId="8" fillId="29" borderId="25" xfId="0" applyFont="1" applyFill="1" applyBorder="1" applyAlignment="1">
      <alignment horizontal="center" wrapText="1"/>
    </xf>
    <xf numFmtId="0" fontId="8" fillId="29" borderId="26" xfId="0" applyFont="1" applyFill="1" applyBorder="1" applyAlignment="1">
      <alignment horizontal="center" wrapText="1"/>
    </xf>
    <xf numFmtId="0" fontId="8" fillId="29" borderId="37" xfId="0" applyFont="1" applyFill="1" applyBorder="1" applyAlignment="1">
      <alignment horizontal="center" wrapText="1"/>
    </xf>
    <xf numFmtId="0" fontId="6" fillId="24" borderId="36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24" borderId="26" xfId="0" applyFont="1" applyFill="1" applyBorder="1" applyAlignment="1">
      <alignment horizontal="center" wrapText="1"/>
    </xf>
    <xf numFmtId="0" fontId="6" fillId="24" borderId="37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27" borderId="36" xfId="0" applyFont="1" applyFill="1" applyBorder="1" applyAlignment="1">
      <alignment horizontal="center" wrapText="1"/>
    </xf>
    <xf numFmtId="0" fontId="9" fillId="27" borderId="25" xfId="0" applyFont="1" applyFill="1" applyBorder="1" applyAlignment="1">
      <alignment horizontal="center" wrapText="1"/>
    </xf>
    <xf numFmtId="0" fontId="9" fillId="27" borderId="26" xfId="0" applyFont="1" applyFill="1" applyBorder="1" applyAlignment="1">
      <alignment horizontal="center" wrapText="1"/>
    </xf>
    <xf numFmtId="0" fontId="9" fillId="27" borderId="37" xfId="0" applyFont="1" applyFill="1" applyBorder="1" applyAlignment="1">
      <alignment horizontal="center" wrapText="1"/>
    </xf>
    <xf numFmtId="0" fontId="8" fillId="27" borderId="36" xfId="0" applyFont="1" applyFill="1" applyBorder="1" applyAlignment="1">
      <alignment horizontal="center" wrapText="1"/>
    </xf>
    <xf numFmtId="0" fontId="8" fillId="27" borderId="25" xfId="0" applyFont="1" applyFill="1" applyBorder="1" applyAlignment="1">
      <alignment horizontal="center" wrapText="1"/>
    </xf>
    <xf numFmtId="0" fontId="8" fillId="27" borderId="26" xfId="0" applyFont="1" applyFill="1" applyBorder="1" applyAlignment="1">
      <alignment horizontal="center" wrapText="1"/>
    </xf>
    <xf numFmtId="0" fontId="8" fillId="27" borderId="37" xfId="0" applyFont="1" applyFill="1" applyBorder="1" applyAlignment="1">
      <alignment horizontal="center" wrapText="1"/>
    </xf>
    <xf numFmtId="0" fontId="3" fillId="27" borderId="36" xfId="0" applyFont="1" applyFill="1" applyBorder="1" applyAlignment="1">
      <alignment horizontal="center" wrapText="1"/>
    </xf>
    <xf numFmtId="0" fontId="3" fillId="27" borderId="25" xfId="0" applyFont="1" applyFill="1" applyBorder="1" applyAlignment="1">
      <alignment horizontal="center" wrapText="1"/>
    </xf>
    <xf numFmtId="0" fontId="3" fillId="27" borderId="26" xfId="0" applyFont="1" applyFill="1" applyBorder="1" applyAlignment="1">
      <alignment horizontal="center" wrapText="1"/>
    </xf>
    <xf numFmtId="0" fontId="3" fillId="27" borderId="37" xfId="0" applyFont="1" applyFill="1" applyBorder="1" applyAlignment="1">
      <alignment horizontal="center" wrapText="1"/>
    </xf>
    <xf numFmtId="0" fontId="8" fillId="28" borderId="38" xfId="0" applyFont="1" applyFill="1" applyBorder="1" applyAlignment="1">
      <alignment horizontal="center" wrapText="1"/>
    </xf>
    <xf numFmtId="0" fontId="8" fillId="28" borderId="28" xfId="0" applyFont="1" applyFill="1" applyBorder="1" applyAlignment="1">
      <alignment horizontal="center" wrapText="1"/>
    </xf>
    <xf numFmtId="0" fontId="8" fillId="28" borderId="39" xfId="0" applyFont="1" applyFill="1" applyBorder="1" applyAlignment="1">
      <alignment horizontal="center" wrapText="1"/>
    </xf>
  </cellXfs>
  <cellStyles count="8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al_KTRSZJ" xfId="75" xr:uid="{00000000-0005-0000-0000-00004C000000}"/>
    <cellStyle name="Normál_R_2MELL 2" xfId="76" xr:uid="{00000000-0005-0000-0000-00004E000000}"/>
    <cellStyle name="Note" xfId="77" xr:uid="{00000000-0005-0000-0000-00004F000000}"/>
    <cellStyle name="Output" xfId="78" xr:uid="{00000000-0005-0000-0000-000050000000}"/>
    <cellStyle name="Összesen" xfId="79" builtinId="25" customBuiltin="1"/>
    <cellStyle name="Rossz" xfId="80" builtinId="27" customBuiltin="1"/>
    <cellStyle name="Semleges" xfId="81" builtinId="28" customBuiltin="1"/>
    <cellStyle name="Számítás" xfId="82" builtinId="22" customBuiltin="1"/>
    <cellStyle name="Title" xfId="83" xr:uid="{00000000-0005-0000-0000-000055000000}"/>
    <cellStyle name="Total" xfId="84" xr:uid="{00000000-0005-0000-0000-000056000000}"/>
    <cellStyle name="Warning Text" xfId="85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Z57"/>
  <sheetViews>
    <sheetView tabSelected="1" zoomScaleNormal="100" zoomScaleSheetLayoutView="100" workbookViewId="0">
      <pane xSplit="1" ySplit="3" topLeftCell="BO4" activePane="bottomRight" state="frozen"/>
      <selection activeCell="E50" sqref="E50"/>
      <selection pane="topRight" activeCell="E50" sqref="E50"/>
      <selection pane="bottomLeft" activeCell="E50" sqref="E50"/>
      <selection pane="bottomRight" activeCell="A2" sqref="A2"/>
    </sheetView>
  </sheetViews>
  <sheetFormatPr defaultRowHeight="15.75" x14ac:dyDescent="0.25"/>
  <cols>
    <col min="1" max="1" width="48" style="6" customWidth="1"/>
    <col min="2" max="2" width="12.7109375" style="6" customWidth="1"/>
    <col min="3" max="4" width="12.5703125" style="6" customWidth="1"/>
    <col min="5" max="5" width="12.42578125" style="6" customWidth="1"/>
    <col min="6" max="6" width="10.85546875" style="6" customWidth="1"/>
    <col min="7" max="8" width="14" style="6" customWidth="1"/>
    <col min="9" max="9" width="12.85546875" style="6" customWidth="1"/>
    <col min="10" max="10" width="12.7109375" style="6" customWidth="1"/>
    <col min="11" max="12" width="13.28515625" style="6" customWidth="1"/>
    <col min="13" max="13" width="12.140625" style="6" customWidth="1"/>
    <col min="14" max="14" width="11.28515625" style="6" customWidth="1"/>
    <col min="15" max="16" width="13.5703125" style="6" customWidth="1"/>
    <col min="17" max="17" width="12.7109375" style="6" customWidth="1"/>
    <col min="18" max="18" width="12.5703125" style="6" customWidth="1"/>
    <col min="19" max="20" width="13.7109375" style="6" customWidth="1"/>
    <col min="21" max="21" width="11.7109375" style="6" customWidth="1"/>
    <col min="22" max="22" width="12.5703125" style="6" customWidth="1"/>
    <col min="23" max="24" width="14.140625" style="6" customWidth="1"/>
    <col min="25" max="25" width="11.7109375" style="6" customWidth="1"/>
    <col min="26" max="26" width="12.5703125" style="6" customWidth="1"/>
    <col min="27" max="28" width="14.140625" style="6" customWidth="1"/>
    <col min="29" max="29" width="11.7109375" style="6" customWidth="1"/>
    <col min="30" max="30" width="12.5703125" style="6" customWidth="1"/>
    <col min="31" max="32" width="14.140625" style="6" customWidth="1"/>
    <col min="33" max="33" width="11.7109375" style="6" customWidth="1"/>
    <col min="34" max="34" width="12.5703125" style="6" customWidth="1"/>
    <col min="35" max="36" width="14.140625" style="6" customWidth="1"/>
    <col min="37" max="37" width="11.7109375" style="6" customWidth="1"/>
    <col min="38" max="38" width="12.5703125" style="6" customWidth="1"/>
    <col min="39" max="40" width="14.140625" style="6" customWidth="1"/>
    <col min="41" max="41" width="11.7109375" style="6" customWidth="1"/>
    <col min="42" max="42" width="12.5703125" style="6" customWidth="1"/>
    <col min="43" max="44" width="14.140625" style="6" customWidth="1"/>
    <col min="45" max="45" width="11.7109375" style="6" customWidth="1"/>
    <col min="46" max="46" width="12.5703125" style="6" customWidth="1"/>
    <col min="47" max="48" width="14.140625" style="6" customWidth="1"/>
    <col min="49" max="49" width="11.7109375" style="6" customWidth="1"/>
    <col min="50" max="50" width="12.5703125" style="6" customWidth="1"/>
    <col min="51" max="52" width="14.140625" style="6" customWidth="1"/>
    <col min="53" max="53" width="11.7109375" style="6" customWidth="1"/>
    <col min="54" max="54" width="12.5703125" style="6" customWidth="1"/>
    <col min="55" max="56" width="13.42578125" style="6" customWidth="1"/>
    <col min="57" max="58" width="11.7109375" style="6" customWidth="1"/>
    <col min="59" max="60" width="13.7109375" style="6" customWidth="1"/>
    <col min="61" max="61" width="12.85546875" style="6" customWidth="1"/>
    <col min="62" max="62" width="11.7109375" style="6" customWidth="1"/>
    <col min="63" max="64" width="13.7109375" style="6" customWidth="1"/>
    <col min="65" max="65" width="12.85546875" style="6" customWidth="1"/>
    <col min="66" max="66" width="11.7109375" style="6" customWidth="1"/>
    <col min="67" max="68" width="13.7109375" style="6" customWidth="1"/>
    <col min="69" max="69" width="12.85546875" style="6" customWidth="1"/>
    <col min="70" max="70" width="11.7109375" style="6" customWidth="1"/>
    <col min="71" max="72" width="13" style="6" customWidth="1"/>
    <col min="73" max="73" width="12.85546875" style="6" customWidth="1"/>
    <col min="74" max="74" width="12.7109375" style="7" customWidth="1"/>
    <col min="75" max="76" width="13.140625" style="6" customWidth="1"/>
    <col min="77" max="77" width="11.85546875" style="6" customWidth="1"/>
    <col min="78" max="78" width="12.7109375" style="6" customWidth="1"/>
    <col min="79" max="80" width="13.42578125" style="6" customWidth="1"/>
    <col min="81" max="81" width="11.7109375" style="6" customWidth="1"/>
    <col min="82" max="82" width="13.28515625" style="8" customWidth="1"/>
    <col min="83" max="84" width="13.28515625" style="6" customWidth="1"/>
    <col min="85" max="85" width="11.85546875" style="6" customWidth="1"/>
    <col min="86" max="86" width="12.28515625" style="6" bestFit="1" customWidth="1"/>
    <col min="87" max="88" width="13" style="6" customWidth="1"/>
    <col min="89" max="89" width="12.42578125" style="6" customWidth="1"/>
    <col min="90" max="90" width="12.28515625" style="9" hidden="1" customWidth="1"/>
    <col min="91" max="91" width="14" style="9" hidden="1" customWidth="1"/>
    <col min="92" max="92" width="13" style="9" hidden="1" customWidth="1"/>
    <col min="93" max="93" width="12.5703125" style="9" hidden="1" customWidth="1"/>
    <col min="94" max="94" width="10.42578125" style="9" hidden="1" customWidth="1"/>
    <col min="95" max="95" width="14" style="9" hidden="1" customWidth="1"/>
    <col min="96" max="96" width="13.5703125" style="9" hidden="1" customWidth="1"/>
    <col min="97" max="97" width="12.85546875" style="9" hidden="1" customWidth="1"/>
    <col min="98" max="98" width="10.28515625" style="9" hidden="1" customWidth="1"/>
    <col min="99" max="100" width="11.42578125" style="9" hidden="1" customWidth="1"/>
    <col min="101" max="101" width="10.7109375" style="9" hidden="1" customWidth="1"/>
    <col min="102" max="102" width="1.140625" style="9" hidden="1" customWidth="1"/>
    <col min="103" max="103" width="10.85546875" style="9" hidden="1" customWidth="1"/>
    <col min="104" max="16384" width="9.140625" style="6"/>
  </cols>
  <sheetData>
    <row r="1" spans="1:103" x14ac:dyDescent="0.25">
      <c r="A1" s="5" t="s">
        <v>74</v>
      </c>
    </row>
    <row r="2" spans="1:103" ht="16.5" thickBot="1" x14ac:dyDescent="0.3">
      <c r="A2" s="10" t="s">
        <v>62</v>
      </c>
    </row>
    <row r="3" spans="1:103" s="4" customFormat="1" ht="27" customHeight="1" x14ac:dyDescent="0.25">
      <c r="A3" s="388" t="s">
        <v>56</v>
      </c>
      <c r="B3" s="390" t="s">
        <v>10</v>
      </c>
      <c r="C3" s="391"/>
      <c r="D3" s="392"/>
      <c r="E3" s="393"/>
      <c r="F3" s="394" t="s">
        <v>37</v>
      </c>
      <c r="G3" s="395"/>
      <c r="H3" s="396"/>
      <c r="I3" s="397"/>
      <c r="J3" s="398" t="s">
        <v>13</v>
      </c>
      <c r="K3" s="399"/>
      <c r="L3" s="400"/>
      <c r="M3" s="401"/>
      <c r="N3" s="394" t="s">
        <v>9</v>
      </c>
      <c r="O3" s="395"/>
      <c r="P3" s="396"/>
      <c r="Q3" s="397"/>
      <c r="R3" s="394" t="s">
        <v>55</v>
      </c>
      <c r="S3" s="395"/>
      <c r="T3" s="396"/>
      <c r="U3" s="397"/>
      <c r="V3" s="376" t="s">
        <v>75</v>
      </c>
      <c r="W3" s="377"/>
      <c r="X3" s="378"/>
      <c r="Y3" s="379"/>
      <c r="Z3" s="376" t="s">
        <v>76</v>
      </c>
      <c r="AA3" s="377"/>
      <c r="AB3" s="378"/>
      <c r="AC3" s="379"/>
      <c r="AD3" s="376" t="s">
        <v>77</v>
      </c>
      <c r="AE3" s="377"/>
      <c r="AF3" s="378"/>
      <c r="AG3" s="379"/>
      <c r="AH3" s="376" t="s">
        <v>78</v>
      </c>
      <c r="AI3" s="377"/>
      <c r="AJ3" s="378"/>
      <c r="AK3" s="379"/>
      <c r="AL3" s="376" t="s">
        <v>79</v>
      </c>
      <c r="AM3" s="377"/>
      <c r="AN3" s="378"/>
      <c r="AO3" s="379"/>
      <c r="AP3" s="376" t="s">
        <v>80</v>
      </c>
      <c r="AQ3" s="377"/>
      <c r="AR3" s="378"/>
      <c r="AS3" s="379"/>
      <c r="AT3" s="376" t="s">
        <v>81</v>
      </c>
      <c r="AU3" s="377"/>
      <c r="AV3" s="378"/>
      <c r="AW3" s="379"/>
      <c r="AX3" s="402" t="s">
        <v>82</v>
      </c>
      <c r="AY3" s="403"/>
      <c r="AZ3" s="403"/>
      <c r="BA3" s="404"/>
      <c r="BB3" s="376" t="s">
        <v>83</v>
      </c>
      <c r="BC3" s="377"/>
      <c r="BD3" s="378"/>
      <c r="BE3" s="379"/>
      <c r="BF3" s="380" t="s">
        <v>64</v>
      </c>
      <c r="BG3" s="381"/>
      <c r="BH3" s="382"/>
      <c r="BI3" s="383"/>
      <c r="BJ3" s="380" t="s">
        <v>65</v>
      </c>
      <c r="BK3" s="381"/>
      <c r="BL3" s="382"/>
      <c r="BM3" s="383"/>
      <c r="BN3" s="380" t="s">
        <v>66</v>
      </c>
      <c r="BO3" s="381"/>
      <c r="BP3" s="382"/>
      <c r="BQ3" s="383"/>
      <c r="BR3" s="380" t="s">
        <v>58</v>
      </c>
      <c r="BS3" s="381"/>
      <c r="BT3" s="382"/>
      <c r="BU3" s="383"/>
      <c r="BV3" s="384" t="s">
        <v>1</v>
      </c>
      <c r="BW3" s="385"/>
      <c r="BX3" s="386"/>
      <c r="BY3" s="387"/>
      <c r="BZ3" s="394" t="s">
        <v>8</v>
      </c>
      <c r="CA3" s="395"/>
      <c r="CB3" s="396"/>
      <c r="CC3" s="397"/>
      <c r="CD3" s="368" t="s">
        <v>42</v>
      </c>
      <c r="CE3" s="369"/>
      <c r="CF3" s="370"/>
      <c r="CG3" s="371"/>
      <c r="CH3" s="364" t="s">
        <v>50</v>
      </c>
      <c r="CI3" s="365"/>
      <c r="CJ3" s="366"/>
      <c r="CK3" s="367"/>
      <c r="CL3" s="372" t="s">
        <v>51</v>
      </c>
      <c r="CM3" s="373"/>
      <c r="CN3" s="374"/>
      <c r="CO3" s="375"/>
      <c r="CP3" s="372" t="s">
        <v>53</v>
      </c>
      <c r="CQ3" s="373"/>
      <c r="CR3" s="374"/>
      <c r="CS3" s="375"/>
      <c r="CT3" s="372" t="s">
        <v>54</v>
      </c>
      <c r="CU3" s="373"/>
      <c r="CV3" s="374"/>
      <c r="CW3" s="375"/>
      <c r="CX3" s="11"/>
      <c r="CY3" s="12"/>
    </row>
    <row r="4" spans="1:103" s="4" customFormat="1" ht="39" customHeight="1" thickBot="1" x14ac:dyDescent="0.25">
      <c r="A4" s="389"/>
      <c r="B4" s="13" t="s">
        <v>67</v>
      </c>
      <c r="C4" s="14" t="s">
        <v>68</v>
      </c>
      <c r="D4" s="14" t="s">
        <v>84</v>
      </c>
      <c r="E4" s="15" t="s">
        <v>69</v>
      </c>
      <c r="F4" s="13" t="s">
        <v>67</v>
      </c>
      <c r="G4" s="14" t="s">
        <v>68</v>
      </c>
      <c r="H4" s="14" t="s">
        <v>84</v>
      </c>
      <c r="I4" s="15" t="s">
        <v>69</v>
      </c>
      <c r="J4" s="16" t="s">
        <v>67</v>
      </c>
      <c r="K4" s="14" t="s">
        <v>68</v>
      </c>
      <c r="L4" s="14" t="s">
        <v>84</v>
      </c>
      <c r="M4" s="15" t="s">
        <v>69</v>
      </c>
      <c r="N4" s="17" t="s">
        <v>67</v>
      </c>
      <c r="O4" s="14" t="s">
        <v>68</v>
      </c>
      <c r="P4" s="14" t="s">
        <v>84</v>
      </c>
      <c r="Q4" s="15" t="s">
        <v>69</v>
      </c>
      <c r="R4" s="17" t="s">
        <v>67</v>
      </c>
      <c r="S4" s="14" t="s">
        <v>68</v>
      </c>
      <c r="T4" s="14" t="s">
        <v>84</v>
      </c>
      <c r="U4" s="15" t="s">
        <v>69</v>
      </c>
      <c r="V4" s="18" t="s">
        <v>67</v>
      </c>
      <c r="W4" s="19" t="s">
        <v>68</v>
      </c>
      <c r="X4" s="19" t="s">
        <v>84</v>
      </c>
      <c r="Y4" s="20" t="s">
        <v>69</v>
      </c>
      <c r="Z4" s="18" t="s">
        <v>67</v>
      </c>
      <c r="AA4" s="19" t="s">
        <v>68</v>
      </c>
      <c r="AB4" s="19" t="s">
        <v>84</v>
      </c>
      <c r="AC4" s="20" t="s">
        <v>69</v>
      </c>
      <c r="AD4" s="18" t="s">
        <v>67</v>
      </c>
      <c r="AE4" s="19" t="s">
        <v>68</v>
      </c>
      <c r="AF4" s="19" t="s">
        <v>84</v>
      </c>
      <c r="AG4" s="20" t="s">
        <v>69</v>
      </c>
      <c r="AH4" s="17" t="s">
        <v>67</v>
      </c>
      <c r="AI4" s="19" t="s">
        <v>85</v>
      </c>
      <c r="AJ4" s="19" t="s">
        <v>84</v>
      </c>
      <c r="AK4" s="20" t="s">
        <v>69</v>
      </c>
      <c r="AL4" s="17" t="s">
        <v>67</v>
      </c>
      <c r="AM4" s="19" t="s">
        <v>85</v>
      </c>
      <c r="AN4" s="19" t="s">
        <v>84</v>
      </c>
      <c r="AO4" s="20" t="s">
        <v>69</v>
      </c>
      <c r="AP4" s="17" t="s">
        <v>67</v>
      </c>
      <c r="AQ4" s="19" t="s">
        <v>85</v>
      </c>
      <c r="AR4" s="19" t="s">
        <v>84</v>
      </c>
      <c r="AS4" s="20" t="s">
        <v>69</v>
      </c>
      <c r="AT4" s="18" t="s">
        <v>67</v>
      </c>
      <c r="AU4" s="19" t="s">
        <v>68</v>
      </c>
      <c r="AV4" s="19" t="s">
        <v>84</v>
      </c>
      <c r="AW4" s="20" t="s">
        <v>69</v>
      </c>
      <c r="AX4" s="18" t="s">
        <v>67</v>
      </c>
      <c r="AY4" s="19" t="s">
        <v>68</v>
      </c>
      <c r="AZ4" s="19" t="s">
        <v>84</v>
      </c>
      <c r="BA4" s="20" t="s">
        <v>69</v>
      </c>
      <c r="BB4" s="21" t="s">
        <v>67</v>
      </c>
      <c r="BC4" s="22" t="s">
        <v>68</v>
      </c>
      <c r="BD4" s="22" t="s">
        <v>84</v>
      </c>
      <c r="BE4" s="23" t="s">
        <v>69</v>
      </c>
      <c r="BF4" s="18" t="s">
        <v>67</v>
      </c>
      <c r="BG4" s="19" t="s">
        <v>68</v>
      </c>
      <c r="BH4" s="19" t="s">
        <v>86</v>
      </c>
      <c r="BI4" s="20" t="s">
        <v>69</v>
      </c>
      <c r="BJ4" s="18" t="s">
        <v>67</v>
      </c>
      <c r="BK4" s="19" t="s">
        <v>68</v>
      </c>
      <c r="BL4" s="19" t="s">
        <v>86</v>
      </c>
      <c r="BM4" s="20" t="s">
        <v>69</v>
      </c>
      <c r="BN4" s="18" t="s">
        <v>67</v>
      </c>
      <c r="BO4" s="19" t="s">
        <v>68</v>
      </c>
      <c r="BP4" s="19" t="s">
        <v>86</v>
      </c>
      <c r="BQ4" s="20" t="s">
        <v>69</v>
      </c>
      <c r="BR4" s="24" t="s">
        <v>67</v>
      </c>
      <c r="BS4" s="25" t="s">
        <v>68</v>
      </c>
      <c r="BT4" s="25" t="s">
        <v>86</v>
      </c>
      <c r="BU4" s="26" t="s">
        <v>69</v>
      </c>
      <c r="BV4" s="27" t="s">
        <v>67</v>
      </c>
      <c r="BW4" s="28" t="s">
        <v>68</v>
      </c>
      <c r="BX4" s="28" t="s">
        <v>84</v>
      </c>
      <c r="BY4" s="29" t="s">
        <v>69</v>
      </c>
      <c r="BZ4" s="17" t="s">
        <v>67</v>
      </c>
      <c r="CA4" s="14" t="s">
        <v>68</v>
      </c>
      <c r="CB4" s="14" t="s">
        <v>84</v>
      </c>
      <c r="CC4" s="15" t="s">
        <v>69</v>
      </c>
      <c r="CD4" s="30" t="s">
        <v>67</v>
      </c>
      <c r="CE4" s="28" t="s">
        <v>68</v>
      </c>
      <c r="CF4" s="28" t="s">
        <v>84</v>
      </c>
      <c r="CG4" s="29" t="s">
        <v>69</v>
      </c>
      <c r="CH4" s="17" t="s">
        <v>67</v>
      </c>
      <c r="CI4" s="14" t="s">
        <v>68</v>
      </c>
      <c r="CJ4" s="14" t="s">
        <v>84</v>
      </c>
      <c r="CK4" s="15" t="s">
        <v>69</v>
      </c>
      <c r="CL4" s="31" t="s">
        <v>67</v>
      </c>
      <c r="CM4" s="32" t="s">
        <v>70</v>
      </c>
      <c r="CN4" s="32" t="s">
        <v>71</v>
      </c>
      <c r="CO4" s="33" t="s">
        <v>69</v>
      </c>
      <c r="CP4" s="34" t="s">
        <v>67</v>
      </c>
      <c r="CQ4" s="32" t="s">
        <v>70</v>
      </c>
      <c r="CR4" s="32" t="s">
        <v>71</v>
      </c>
      <c r="CS4" s="33" t="s">
        <v>69</v>
      </c>
      <c r="CT4" s="34" t="s">
        <v>67</v>
      </c>
      <c r="CU4" s="32" t="s">
        <v>70</v>
      </c>
      <c r="CV4" s="32" t="s">
        <v>71</v>
      </c>
      <c r="CW4" s="33" t="s">
        <v>69</v>
      </c>
      <c r="CX4" s="35"/>
      <c r="CY4" s="12"/>
    </row>
    <row r="5" spans="1:103" s="1" customFormat="1" ht="26.25" customHeight="1" x14ac:dyDescent="0.25">
      <c r="A5" s="36" t="s">
        <v>34</v>
      </c>
      <c r="B5" s="37">
        <f>B6+B7</f>
        <v>0</v>
      </c>
      <c r="C5" s="38">
        <f>C6+C7</f>
        <v>0</v>
      </c>
      <c r="D5" s="38">
        <f>D6+D7</f>
        <v>24542462</v>
      </c>
      <c r="E5" s="39">
        <f t="shared" ref="E5:E29" si="0">D5-C5</f>
        <v>24542462</v>
      </c>
      <c r="F5" s="37">
        <f>F6+F7</f>
        <v>5056047</v>
      </c>
      <c r="G5" s="38">
        <f>G6+G7</f>
        <v>67617047</v>
      </c>
      <c r="H5" s="38">
        <f>H6+H7</f>
        <v>89574911</v>
      </c>
      <c r="I5" s="39">
        <f t="shared" ref="I5:I29" si="1">H5-G5</f>
        <v>21957864</v>
      </c>
      <c r="J5" s="37">
        <f>J6+J7</f>
        <v>0</v>
      </c>
      <c r="K5" s="38">
        <f>K6+K7</f>
        <v>0</v>
      </c>
      <c r="L5" s="38">
        <f>L6+L7</f>
        <v>497226</v>
      </c>
      <c r="M5" s="39">
        <f t="shared" ref="M5:M29" si="2">L5-K5</f>
        <v>497226</v>
      </c>
      <c r="N5" s="37">
        <f>N6+N7</f>
        <v>0</v>
      </c>
      <c r="O5" s="38">
        <f>O6+O7</f>
        <v>494433</v>
      </c>
      <c r="P5" s="38">
        <f>P6+P7</f>
        <v>878594</v>
      </c>
      <c r="Q5" s="39">
        <f t="shared" ref="Q5:Q29" si="3">P5-O5</f>
        <v>384161</v>
      </c>
      <c r="R5" s="37">
        <f>R6+R7</f>
        <v>48545000</v>
      </c>
      <c r="S5" s="38">
        <f>S6+S7</f>
        <v>48545000</v>
      </c>
      <c r="T5" s="38">
        <f>T6+T7</f>
        <v>48545000</v>
      </c>
      <c r="U5" s="39">
        <f t="shared" ref="U5:U29" si="4">T5-S5</f>
        <v>0</v>
      </c>
      <c r="V5" s="37">
        <f>V6+V7</f>
        <v>0</v>
      </c>
      <c r="W5" s="38">
        <f>W6+W7</f>
        <v>0</v>
      </c>
      <c r="X5" s="38">
        <f>X6+X7</f>
        <v>4352134</v>
      </c>
      <c r="Y5" s="39">
        <f t="shared" ref="Y5:Y29" si="5">X5-W5</f>
        <v>4352134</v>
      </c>
      <c r="Z5" s="37">
        <f>Z6+Z7</f>
        <v>0</v>
      </c>
      <c r="AA5" s="38">
        <f>AA6+AA7</f>
        <v>0</v>
      </c>
      <c r="AB5" s="38">
        <f>AB6+AB7</f>
        <v>0</v>
      </c>
      <c r="AC5" s="39">
        <f t="shared" ref="AC5:AC29" si="6">AB5-AA5</f>
        <v>0</v>
      </c>
      <c r="AD5" s="37">
        <f>AD6+AD7</f>
        <v>0</v>
      </c>
      <c r="AE5" s="38">
        <f>AE6+AE7</f>
        <v>0</v>
      </c>
      <c r="AF5" s="38">
        <f>AF6+AF7</f>
        <v>0</v>
      </c>
      <c r="AG5" s="39">
        <f t="shared" ref="AG5:AG29" si="7">AF5-AE5</f>
        <v>0</v>
      </c>
      <c r="AH5" s="37">
        <f>AH6+AH7</f>
        <v>0</v>
      </c>
      <c r="AI5" s="38">
        <f>AI6+AI7</f>
        <v>88664</v>
      </c>
      <c r="AJ5" s="38">
        <f>AJ6+AJ7</f>
        <v>88664</v>
      </c>
      <c r="AK5" s="39">
        <f t="shared" ref="AK5:AK29" si="8">AJ5-AI5</f>
        <v>0</v>
      </c>
      <c r="AL5" s="37">
        <f>AL6+AL7</f>
        <v>0</v>
      </c>
      <c r="AM5" s="38">
        <f>AM6+AM7</f>
        <v>-9251</v>
      </c>
      <c r="AN5" s="38">
        <f>AN6+AN7</f>
        <v>-9251</v>
      </c>
      <c r="AO5" s="39">
        <f t="shared" ref="AO5:AO29" si="9">AN5-AM5</f>
        <v>0</v>
      </c>
      <c r="AP5" s="37">
        <f>AP6+AP7</f>
        <v>0</v>
      </c>
      <c r="AQ5" s="38">
        <f>AQ6+AQ7</f>
        <v>0</v>
      </c>
      <c r="AR5" s="38">
        <f>AR6+AR7</f>
        <v>0</v>
      </c>
      <c r="AS5" s="39">
        <f t="shared" ref="AS5:AS29" si="10">AR5-AQ5</f>
        <v>0</v>
      </c>
      <c r="AT5" s="37">
        <f>AT6+AT7</f>
        <v>0</v>
      </c>
      <c r="AU5" s="38">
        <f>AU6+AU7</f>
        <v>0</v>
      </c>
      <c r="AV5" s="38">
        <f>AV6+AV7</f>
        <v>0</v>
      </c>
      <c r="AW5" s="39">
        <f t="shared" ref="AW5:AW29" si="11">AV5-AU5</f>
        <v>0</v>
      </c>
      <c r="AX5" s="37">
        <f>AX6+AX7</f>
        <v>0</v>
      </c>
      <c r="AY5" s="38">
        <f>AY6+AY7</f>
        <v>0</v>
      </c>
      <c r="AZ5" s="38">
        <f>AZ6+AZ7</f>
        <v>125089</v>
      </c>
      <c r="BA5" s="39">
        <f t="shared" ref="BA5:BA29" si="12">AZ5-AY5</f>
        <v>125089</v>
      </c>
      <c r="BB5" s="40">
        <f t="shared" ref="BB5:BD29" si="13">V5+Z5+AD5+AT5+AX5+AP5+AL5+AH5</f>
        <v>0</v>
      </c>
      <c r="BC5" s="41">
        <f t="shared" si="13"/>
        <v>79413</v>
      </c>
      <c r="BD5" s="41">
        <f t="shared" si="13"/>
        <v>4556636</v>
      </c>
      <c r="BE5" s="42">
        <f t="shared" ref="BE5:BE29" si="14">BD5-BC5</f>
        <v>4477223</v>
      </c>
      <c r="BF5" s="37">
        <f>BF6+BF7</f>
        <v>0</v>
      </c>
      <c r="BG5" s="38">
        <f>BG6+BG7</f>
        <v>338217</v>
      </c>
      <c r="BH5" s="38">
        <f>BH6+BH7</f>
        <v>523126</v>
      </c>
      <c r="BI5" s="39">
        <f t="shared" ref="BI5:BI29" si="15">BH5-BG5</f>
        <v>184909</v>
      </c>
      <c r="BJ5" s="37">
        <f>BJ6+BJ7</f>
        <v>0</v>
      </c>
      <c r="BK5" s="38">
        <f>BK6+BK7</f>
        <v>194572</v>
      </c>
      <c r="BL5" s="38">
        <f>BL6+BL7</f>
        <v>485225</v>
      </c>
      <c r="BM5" s="39">
        <f t="shared" ref="BM5:BM29" si="16">BL5-BK5</f>
        <v>290653</v>
      </c>
      <c r="BN5" s="37">
        <f>BN6+BN7</f>
        <v>0</v>
      </c>
      <c r="BO5" s="38">
        <f>BO6+BO7</f>
        <v>0</v>
      </c>
      <c r="BP5" s="38">
        <f>BP6+BP7</f>
        <v>0</v>
      </c>
      <c r="BQ5" s="39">
        <f t="shared" ref="BQ5:BQ29" si="17">BP5-BO5</f>
        <v>0</v>
      </c>
      <c r="BR5" s="43">
        <f t="shared" ref="BR5:BT29" si="18">BF5+BJ5+BN5</f>
        <v>0</v>
      </c>
      <c r="BS5" s="44">
        <f t="shared" si="18"/>
        <v>532789</v>
      </c>
      <c r="BT5" s="44">
        <f t="shared" si="18"/>
        <v>1008351</v>
      </c>
      <c r="BU5" s="45">
        <f t="shared" ref="BU5:BU29" si="19">BT5-BS5</f>
        <v>475562</v>
      </c>
      <c r="BV5" s="46">
        <f>BV6+BV7</f>
        <v>53601047</v>
      </c>
      <c r="BW5" s="47">
        <f>BW6+BW7</f>
        <v>117268682</v>
      </c>
      <c r="BX5" s="47">
        <f>BX6+BX7</f>
        <v>169603180</v>
      </c>
      <c r="BY5" s="48">
        <f t="shared" ref="BY5:BY29" si="20">BX5-BW5</f>
        <v>52334498</v>
      </c>
      <c r="BZ5" s="37">
        <f>BZ6+BZ7</f>
        <v>1225003114</v>
      </c>
      <c r="CA5" s="49">
        <f>CA6+CA7</f>
        <v>1242370954</v>
      </c>
      <c r="CB5" s="49">
        <f>CB6+CB7</f>
        <v>1281212581</v>
      </c>
      <c r="CC5" s="50">
        <f t="shared" ref="CC5:CC29" si="21">CB5-CA5</f>
        <v>38841627</v>
      </c>
      <c r="CD5" s="51">
        <f>CD6+CD7</f>
        <v>1278604161</v>
      </c>
      <c r="CE5" s="52">
        <f>CE6+CE7</f>
        <v>1359560223</v>
      </c>
      <c r="CF5" s="52">
        <f>CF6+CF7</f>
        <v>1450815761</v>
      </c>
      <c r="CG5" s="48">
        <f t="shared" ref="CG5:CG29" si="22">CF5-CE5</f>
        <v>91255538</v>
      </c>
      <c r="CH5" s="53">
        <f>CH6+CH7</f>
        <v>1278604161</v>
      </c>
      <c r="CI5" s="53">
        <f>CI6+CI7</f>
        <v>1359560223</v>
      </c>
      <c r="CJ5" s="53">
        <f>CJ6+CJ7</f>
        <v>1450815761</v>
      </c>
      <c r="CK5" s="53">
        <f t="shared" ref="CK5:CK29" si="23">CJ5-CI5</f>
        <v>91255538</v>
      </c>
      <c r="CL5" s="54">
        <f>CL6+CL7</f>
        <v>914521000</v>
      </c>
      <c r="CM5" s="55">
        <f>CM6+CM7</f>
        <v>966846000</v>
      </c>
      <c r="CN5" s="55">
        <f>CN6+CN7</f>
        <v>966846000</v>
      </c>
      <c r="CO5" s="56">
        <f t="shared" ref="CO5:CO29" si="24">CN5-CM5</f>
        <v>0</v>
      </c>
      <c r="CP5" s="55">
        <f t="shared" ref="CP5:CW5" si="25">CP6+CP7</f>
        <v>67004</v>
      </c>
      <c r="CQ5" s="55">
        <f t="shared" si="25"/>
        <v>68104</v>
      </c>
      <c r="CR5" s="55">
        <f t="shared" si="25"/>
        <v>69204</v>
      </c>
      <c r="CS5" s="56">
        <f t="shared" si="25"/>
        <v>1100</v>
      </c>
      <c r="CT5" s="54">
        <f t="shared" si="25"/>
        <v>0</v>
      </c>
      <c r="CU5" s="57">
        <f t="shared" si="25"/>
        <v>0</v>
      </c>
      <c r="CV5" s="57">
        <f t="shared" si="25"/>
        <v>0</v>
      </c>
      <c r="CW5" s="56">
        <f t="shared" si="25"/>
        <v>0</v>
      </c>
      <c r="CX5" s="58"/>
      <c r="CY5" s="58">
        <f t="shared" ref="CY5:CY29" si="26">CU5+CQ5+CM5</f>
        <v>966914104</v>
      </c>
    </row>
    <row r="6" spans="1:103" s="1" customFormat="1" ht="13.5" x14ac:dyDescent="0.25">
      <c r="A6" s="59" t="s">
        <v>33</v>
      </c>
      <c r="B6" s="60"/>
      <c r="C6" s="61"/>
      <c r="D6" s="61"/>
      <c r="E6" s="62">
        <f t="shared" si="0"/>
        <v>0</v>
      </c>
      <c r="F6" s="63"/>
      <c r="G6" s="61"/>
      <c r="H6" s="61"/>
      <c r="I6" s="62">
        <f t="shared" si="1"/>
        <v>0</v>
      </c>
      <c r="J6" s="61"/>
      <c r="K6" s="61"/>
      <c r="L6" s="61"/>
      <c r="M6" s="62">
        <f t="shared" si="2"/>
        <v>0</v>
      </c>
      <c r="N6" s="60"/>
      <c r="O6" s="63"/>
      <c r="P6" s="63"/>
      <c r="Q6" s="62">
        <f t="shared" si="3"/>
        <v>0</v>
      </c>
      <c r="R6" s="60"/>
      <c r="S6" s="63"/>
      <c r="T6" s="63"/>
      <c r="U6" s="62">
        <f t="shared" si="4"/>
        <v>0</v>
      </c>
      <c r="V6" s="60"/>
      <c r="W6" s="63"/>
      <c r="X6" s="63"/>
      <c r="Y6" s="62">
        <f t="shared" si="5"/>
        <v>0</v>
      </c>
      <c r="Z6" s="60"/>
      <c r="AA6" s="63"/>
      <c r="AB6" s="63"/>
      <c r="AC6" s="62">
        <f t="shared" si="6"/>
        <v>0</v>
      </c>
      <c r="AD6" s="60"/>
      <c r="AE6" s="63"/>
      <c r="AF6" s="63"/>
      <c r="AG6" s="62">
        <f t="shared" si="7"/>
        <v>0</v>
      </c>
      <c r="AH6" s="60"/>
      <c r="AI6" s="63"/>
      <c r="AJ6" s="63"/>
      <c r="AK6" s="62">
        <f t="shared" si="8"/>
        <v>0</v>
      </c>
      <c r="AL6" s="60"/>
      <c r="AM6" s="63"/>
      <c r="AN6" s="63"/>
      <c r="AO6" s="62">
        <f t="shared" si="9"/>
        <v>0</v>
      </c>
      <c r="AP6" s="60"/>
      <c r="AQ6" s="63"/>
      <c r="AR6" s="63"/>
      <c r="AS6" s="62">
        <f t="shared" si="10"/>
        <v>0</v>
      </c>
      <c r="AT6" s="60"/>
      <c r="AU6" s="63"/>
      <c r="AV6" s="63"/>
      <c r="AW6" s="62">
        <f t="shared" si="11"/>
        <v>0</v>
      </c>
      <c r="AX6" s="60"/>
      <c r="AY6" s="63"/>
      <c r="AZ6" s="63"/>
      <c r="BA6" s="62">
        <f t="shared" si="12"/>
        <v>0</v>
      </c>
      <c r="BB6" s="64">
        <f t="shared" si="13"/>
        <v>0</v>
      </c>
      <c r="BC6" s="65">
        <f t="shared" si="13"/>
        <v>0</v>
      </c>
      <c r="BD6" s="65">
        <f t="shared" si="13"/>
        <v>0</v>
      </c>
      <c r="BE6" s="66">
        <f t="shared" si="14"/>
        <v>0</v>
      </c>
      <c r="BF6" s="60"/>
      <c r="BG6" s="63"/>
      <c r="BH6" s="63"/>
      <c r="BI6" s="62">
        <f t="shared" si="15"/>
        <v>0</v>
      </c>
      <c r="BJ6" s="60"/>
      <c r="BK6" s="63"/>
      <c r="BL6" s="63"/>
      <c r="BM6" s="62">
        <f t="shared" si="16"/>
        <v>0</v>
      </c>
      <c r="BN6" s="60"/>
      <c r="BO6" s="63"/>
      <c r="BP6" s="63"/>
      <c r="BQ6" s="62">
        <f t="shared" si="17"/>
        <v>0</v>
      </c>
      <c r="BR6" s="67">
        <f t="shared" si="18"/>
        <v>0</v>
      </c>
      <c r="BS6" s="68">
        <f t="shared" si="18"/>
        <v>0</v>
      </c>
      <c r="BT6" s="68">
        <f t="shared" si="18"/>
        <v>0</v>
      </c>
      <c r="BU6" s="69">
        <f t="shared" si="19"/>
        <v>0</v>
      </c>
      <c r="BV6" s="70">
        <f t="shared" ref="BV6:BX10" si="27">B6+F6+J6+N6+R6+BR6+BB6</f>
        <v>0</v>
      </c>
      <c r="BW6" s="70">
        <f t="shared" si="27"/>
        <v>0</v>
      </c>
      <c r="BX6" s="70">
        <f t="shared" si="27"/>
        <v>0</v>
      </c>
      <c r="BY6" s="71">
        <f t="shared" si="20"/>
        <v>0</v>
      </c>
      <c r="BZ6" s="60">
        <v>895536997</v>
      </c>
      <c r="CA6" s="61">
        <v>939428487</v>
      </c>
      <c r="CB6" s="61">
        <v>978129231</v>
      </c>
      <c r="CC6" s="72">
        <f t="shared" si="21"/>
        <v>38700744</v>
      </c>
      <c r="CD6" s="73">
        <f>BZ6+BV6</f>
        <v>895536997</v>
      </c>
      <c r="CE6" s="74">
        <f>CA6+BW6</f>
        <v>939428487</v>
      </c>
      <c r="CF6" s="74">
        <f>CB6+BX6</f>
        <v>978129231</v>
      </c>
      <c r="CG6" s="71">
        <f t="shared" si="22"/>
        <v>38700744</v>
      </c>
      <c r="CH6" s="75">
        <f>CD6</f>
        <v>895536997</v>
      </c>
      <c r="CI6" s="75">
        <f>CE6</f>
        <v>939428487</v>
      </c>
      <c r="CJ6" s="75">
        <f>CF6</f>
        <v>978129231</v>
      </c>
      <c r="CK6" s="75">
        <f t="shared" si="23"/>
        <v>38700744</v>
      </c>
      <c r="CL6" s="76">
        <v>843598000</v>
      </c>
      <c r="CM6" s="77">
        <f>CL6+33214000</f>
        <v>876812000</v>
      </c>
      <c r="CN6" s="77">
        <f>CM6+0</f>
        <v>876812000</v>
      </c>
      <c r="CO6" s="78">
        <f t="shared" si="24"/>
        <v>0</v>
      </c>
      <c r="CP6" s="79"/>
      <c r="CQ6" s="77">
        <f>CP6</f>
        <v>0</v>
      </c>
      <c r="CR6" s="77">
        <f>CQ6</f>
        <v>0</v>
      </c>
      <c r="CS6" s="78">
        <f>CQ6-CP6</f>
        <v>0</v>
      </c>
      <c r="CT6" s="76"/>
      <c r="CU6" s="77">
        <f t="shared" ref="CU6:CV10" si="28">CT6</f>
        <v>0</v>
      </c>
      <c r="CV6" s="77">
        <f t="shared" si="28"/>
        <v>0</v>
      </c>
      <c r="CW6" s="78">
        <f>CU6-CT6</f>
        <v>0</v>
      </c>
      <c r="CX6" s="80"/>
      <c r="CY6" s="58">
        <f t="shared" si="26"/>
        <v>876812000</v>
      </c>
    </row>
    <row r="7" spans="1:103" s="1" customFormat="1" ht="13.5" x14ac:dyDescent="0.25">
      <c r="A7" s="59" t="s">
        <v>38</v>
      </c>
      <c r="B7" s="60"/>
      <c r="C7" s="61"/>
      <c r="D7" s="61">
        <v>24542462</v>
      </c>
      <c r="E7" s="62">
        <f t="shared" si="0"/>
        <v>24542462</v>
      </c>
      <c r="F7" s="63">
        <v>5056047</v>
      </c>
      <c r="G7" s="61">
        <v>67617047</v>
      </c>
      <c r="H7" s="61">
        <v>89574911</v>
      </c>
      <c r="I7" s="62">
        <f t="shared" si="1"/>
        <v>21957864</v>
      </c>
      <c r="J7" s="61"/>
      <c r="K7" s="61">
        <v>0</v>
      </c>
      <c r="L7" s="61">
        <v>497226</v>
      </c>
      <c r="M7" s="62">
        <f t="shared" si="2"/>
        <v>497226</v>
      </c>
      <c r="N7" s="60">
        <v>0</v>
      </c>
      <c r="O7" s="63">
        <v>494433</v>
      </c>
      <c r="P7" s="63">
        <v>878594</v>
      </c>
      <c r="Q7" s="62">
        <f t="shared" si="3"/>
        <v>384161</v>
      </c>
      <c r="R7" s="60">
        <v>48545000</v>
      </c>
      <c r="S7" s="63">
        <v>48545000</v>
      </c>
      <c r="T7" s="63">
        <v>48545000</v>
      </c>
      <c r="U7" s="62">
        <f t="shared" si="4"/>
        <v>0</v>
      </c>
      <c r="V7" s="60">
        <v>0</v>
      </c>
      <c r="W7" s="63">
        <v>0</v>
      </c>
      <c r="X7" s="63">
        <v>4352134</v>
      </c>
      <c r="Y7" s="62">
        <f t="shared" si="5"/>
        <v>4352134</v>
      </c>
      <c r="Z7" s="60">
        <v>0</v>
      </c>
      <c r="AA7" s="63">
        <v>0</v>
      </c>
      <c r="AB7" s="63">
        <v>0</v>
      </c>
      <c r="AC7" s="62">
        <f t="shared" si="6"/>
        <v>0</v>
      </c>
      <c r="AD7" s="60">
        <v>0</v>
      </c>
      <c r="AE7" s="63">
        <v>0</v>
      </c>
      <c r="AF7" s="63">
        <v>0</v>
      </c>
      <c r="AG7" s="62">
        <f t="shared" si="7"/>
        <v>0</v>
      </c>
      <c r="AH7" s="60"/>
      <c r="AI7" s="63">
        <v>88664</v>
      </c>
      <c r="AJ7" s="63">
        <v>88664</v>
      </c>
      <c r="AK7" s="62">
        <f t="shared" si="8"/>
        <v>0</v>
      </c>
      <c r="AL7" s="60"/>
      <c r="AM7" s="63">
        <v>-9251</v>
      </c>
      <c r="AN7" s="63">
        <v>-9251</v>
      </c>
      <c r="AO7" s="62">
        <f t="shared" si="9"/>
        <v>0</v>
      </c>
      <c r="AP7" s="60"/>
      <c r="AQ7" s="63">
        <v>0</v>
      </c>
      <c r="AR7" s="63">
        <v>0</v>
      </c>
      <c r="AS7" s="62">
        <f t="shared" si="10"/>
        <v>0</v>
      </c>
      <c r="AT7" s="60"/>
      <c r="AU7" s="63">
        <v>0</v>
      </c>
      <c r="AV7" s="63">
        <v>0</v>
      </c>
      <c r="AW7" s="62">
        <f t="shared" si="11"/>
        <v>0</v>
      </c>
      <c r="AX7" s="60">
        <v>0</v>
      </c>
      <c r="AY7" s="63">
        <v>0</v>
      </c>
      <c r="AZ7" s="63">
        <v>125089</v>
      </c>
      <c r="BA7" s="62">
        <f t="shared" si="12"/>
        <v>125089</v>
      </c>
      <c r="BB7" s="64">
        <f t="shared" si="13"/>
        <v>0</v>
      </c>
      <c r="BC7" s="65">
        <f t="shared" si="13"/>
        <v>79413</v>
      </c>
      <c r="BD7" s="65">
        <f t="shared" si="13"/>
        <v>4556636</v>
      </c>
      <c r="BE7" s="66">
        <f t="shared" si="14"/>
        <v>4477223</v>
      </c>
      <c r="BF7" s="60">
        <v>0</v>
      </c>
      <c r="BG7" s="63">
        <v>338217</v>
      </c>
      <c r="BH7" s="63">
        <v>523126</v>
      </c>
      <c r="BI7" s="62">
        <f t="shared" si="15"/>
        <v>184909</v>
      </c>
      <c r="BJ7" s="60">
        <v>0</v>
      </c>
      <c r="BK7" s="63">
        <v>194572</v>
      </c>
      <c r="BL7" s="63">
        <v>485225</v>
      </c>
      <c r="BM7" s="62">
        <f t="shared" si="16"/>
        <v>290653</v>
      </c>
      <c r="BN7" s="60"/>
      <c r="BO7" s="63"/>
      <c r="BP7" s="63"/>
      <c r="BQ7" s="62">
        <f t="shared" si="17"/>
        <v>0</v>
      </c>
      <c r="BR7" s="67">
        <f t="shared" si="18"/>
        <v>0</v>
      </c>
      <c r="BS7" s="68">
        <f t="shared" si="18"/>
        <v>532789</v>
      </c>
      <c r="BT7" s="68">
        <f t="shared" si="18"/>
        <v>1008351</v>
      </c>
      <c r="BU7" s="69">
        <f t="shared" si="19"/>
        <v>475562</v>
      </c>
      <c r="BV7" s="70">
        <f t="shared" si="27"/>
        <v>53601047</v>
      </c>
      <c r="BW7" s="81">
        <f t="shared" si="27"/>
        <v>117268682</v>
      </c>
      <c r="BX7" s="81">
        <f t="shared" si="27"/>
        <v>169603180</v>
      </c>
      <c r="BY7" s="71">
        <f t="shared" si="20"/>
        <v>52334498</v>
      </c>
      <c r="BZ7" s="60">
        <v>329466117</v>
      </c>
      <c r="CA7" s="61">
        <v>302942467</v>
      </c>
      <c r="CB7" s="61">
        <f>223083350+80000000</f>
        <v>303083350</v>
      </c>
      <c r="CC7" s="72">
        <f t="shared" si="21"/>
        <v>140883</v>
      </c>
      <c r="CD7" s="73">
        <f>BZ7+BV7</f>
        <v>383067164</v>
      </c>
      <c r="CE7" s="74">
        <v>420131736</v>
      </c>
      <c r="CF7" s="74">
        <f>CB7+BX7</f>
        <v>472686530</v>
      </c>
      <c r="CG7" s="71">
        <f t="shared" si="22"/>
        <v>52554794</v>
      </c>
      <c r="CH7" s="75">
        <f>CD7</f>
        <v>383067164</v>
      </c>
      <c r="CI7" s="75">
        <v>420131736</v>
      </c>
      <c r="CJ7" s="75">
        <f>CF7</f>
        <v>472686530</v>
      </c>
      <c r="CK7" s="75">
        <f t="shared" si="23"/>
        <v>52554794</v>
      </c>
      <c r="CL7" s="76">
        <f>914521000-843598000</f>
        <v>70923000</v>
      </c>
      <c r="CM7" s="77">
        <f>CL7+860000+559000+352000+491000+155000+16694000</f>
        <v>90034000</v>
      </c>
      <c r="CN7" s="77">
        <f>CM7+0</f>
        <v>90034000</v>
      </c>
      <c r="CO7" s="78">
        <f t="shared" si="24"/>
        <v>0</v>
      </c>
      <c r="CP7" s="79">
        <v>67004</v>
      </c>
      <c r="CQ7" s="77">
        <f>CP7+1100</f>
        <v>68104</v>
      </c>
      <c r="CR7" s="77">
        <f>CQ7+1100</f>
        <v>69204</v>
      </c>
      <c r="CS7" s="78">
        <f>CQ7-CP7</f>
        <v>1100</v>
      </c>
      <c r="CT7" s="76"/>
      <c r="CU7" s="77">
        <f t="shared" si="28"/>
        <v>0</v>
      </c>
      <c r="CV7" s="77">
        <f t="shared" si="28"/>
        <v>0</v>
      </c>
      <c r="CW7" s="78">
        <f>CU7-CT7</f>
        <v>0</v>
      </c>
      <c r="CX7" s="80"/>
      <c r="CY7" s="58">
        <f t="shared" si="26"/>
        <v>90102104</v>
      </c>
    </row>
    <row r="8" spans="1:103" s="1" customFormat="1" ht="13.5" x14ac:dyDescent="0.25">
      <c r="A8" s="82" t="s">
        <v>15</v>
      </c>
      <c r="B8" s="83"/>
      <c r="C8" s="84"/>
      <c r="D8" s="84"/>
      <c r="E8" s="85">
        <f t="shared" si="0"/>
        <v>0</v>
      </c>
      <c r="F8" s="86"/>
      <c r="G8" s="84"/>
      <c r="H8" s="84"/>
      <c r="I8" s="85">
        <f t="shared" si="1"/>
        <v>0</v>
      </c>
      <c r="J8" s="84"/>
      <c r="K8" s="84"/>
      <c r="L8" s="84"/>
      <c r="M8" s="85">
        <f t="shared" si="2"/>
        <v>0</v>
      </c>
      <c r="N8" s="83"/>
      <c r="O8" s="86"/>
      <c r="P8" s="86"/>
      <c r="Q8" s="85">
        <f t="shared" si="3"/>
        <v>0</v>
      </c>
      <c r="R8" s="83"/>
      <c r="S8" s="86"/>
      <c r="T8" s="86"/>
      <c r="U8" s="85">
        <f t="shared" si="4"/>
        <v>0</v>
      </c>
      <c r="V8" s="83"/>
      <c r="W8" s="86"/>
      <c r="X8" s="86"/>
      <c r="Y8" s="85">
        <f t="shared" si="5"/>
        <v>0</v>
      </c>
      <c r="Z8" s="83"/>
      <c r="AA8" s="86"/>
      <c r="AB8" s="86"/>
      <c r="AC8" s="85">
        <f t="shared" si="6"/>
        <v>0</v>
      </c>
      <c r="AD8" s="83"/>
      <c r="AE8" s="86"/>
      <c r="AF8" s="86"/>
      <c r="AG8" s="85">
        <f t="shared" si="7"/>
        <v>0</v>
      </c>
      <c r="AH8" s="83"/>
      <c r="AI8" s="86"/>
      <c r="AJ8" s="86"/>
      <c r="AK8" s="85">
        <f t="shared" si="8"/>
        <v>0</v>
      </c>
      <c r="AL8" s="83"/>
      <c r="AM8" s="86"/>
      <c r="AN8" s="86"/>
      <c r="AO8" s="85">
        <f t="shared" si="9"/>
        <v>0</v>
      </c>
      <c r="AP8" s="83"/>
      <c r="AQ8" s="86"/>
      <c r="AR8" s="86"/>
      <c r="AS8" s="85">
        <f t="shared" si="10"/>
        <v>0</v>
      </c>
      <c r="AT8" s="83"/>
      <c r="AU8" s="86"/>
      <c r="AV8" s="86"/>
      <c r="AW8" s="85">
        <f t="shared" si="11"/>
        <v>0</v>
      </c>
      <c r="AX8" s="83"/>
      <c r="AY8" s="86"/>
      <c r="AZ8" s="86"/>
      <c r="BA8" s="85">
        <f t="shared" si="12"/>
        <v>0</v>
      </c>
      <c r="BB8" s="87">
        <f t="shared" si="13"/>
        <v>0</v>
      </c>
      <c r="BC8" s="88">
        <f t="shared" si="13"/>
        <v>0</v>
      </c>
      <c r="BD8" s="88">
        <f t="shared" si="13"/>
        <v>0</v>
      </c>
      <c r="BE8" s="89">
        <f t="shared" si="14"/>
        <v>0</v>
      </c>
      <c r="BF8" s="83"/>
      <c r="BG8" s="86"/>
      <c r="BH8" s="86"/>
      <c r="BI8" s="85">
        <f t="shared" si="15"/>
        <v>0</v>
      </c>
      <c r="BJ8" s="83"/>
      <c r="BK8" s="86"/>
      <c r="BL8" s="86"/>
      <c r="BM8" s="85">
        <f t="shared" si="16"/>
        <v>0</v>
      </c>
      <c r="BN8" s="83"/>
      <c r="BO8" s="86"/>
      <c r="BP8" s="86"/>
      <c r="BQ8" s="85">
        <f t="shared" si="17"/>
        <v>0</v>
      </c>
      <c r="BR8" s="90">
        <f t="shared" si="18"/>
        <v>0</v>
      </c>
      <c r="BS8" s="91">
        <f t="shared" si="18"/>
        <v>0</v>
      </c>
      <c r="BT8" s="91">
        <f t="shared" si="18"/>
        <v>0</v>
      </c>
      <c r="BU8" s="92">
        <f t="shared" si="19"/>
        <v>0</v>
      </c>
      <c r="BV8" s="70">
        <f t="shared" si="27"/>
        <v>0</v>
      </c>
      <c r="BW8" s="81">
        <f t="shared" si="27"/>
        <v>0</v>
      </c>
      <c r="BX8" s="81">
        <f t="shared" si="27"/>
        <v>0</v>
      </c>
      <c r="BY8" s="71">
        <f t="shared" si="20"/>
        <v>0</v>
      </c>
      <c r="BZ8" s="83">
        <v>537426000</v>
      </c>
      <c r="CA8" s="93">
        <v>408218155</v>
      </c>
      <c r="CB8" s="93">
        <v>408218155</v>
      </c>
      <c r="CC8" s="72">
        <f t="shared" si="21"/>
        <v>0</v>
      </c>
      <c r="CD8" s="73">
        <f>BZ8+BV8</f>
        <v>537426000</v>
      </c>
      <c r="CE8" s="74">
        <f>CA8+BW8</f>
        <v>408218155</v>
      </c>
      <c r="CF8" s="74">
        <f>CB8+BX8</f>
        <v>408218155</v>
      </c>
      <c r="CG8" s="71">
        <f t="shared" si="22"/>
        <v>0</v>
      </c>
      <c r="CH8" s="94">
        <f>CD8</f>
        <v>537426000</v>
      </c>
      <c r="CI8" s="94">
        <f>CE8</f>
        <v>408218155</v>
      </c>
      <c r="CJ8" s="94">
        <f>CF8</f>
        <v>408218155</v>
      </c>
      <c r="CK8" s="94">
        <f t="shared" si="23"/>
        <v>0</v>
      </c>
      <c r="CL8" s="95">
        <v>454978290</v>
      </c>
      <c r="CM8" s="96">
        <v>454978290</v>
      </c>
      <c r="CN8" s="96">
        <v>454978290</v>
      </c>
      <c r="CO8" s="97">
        <f t="shared" si="24"/>
        <v>0</v>
      </c>
      <c r="CP8" s="98"/>
      <c r="CQ8" s="96">
        <f t="shared" ref="CQ8:CR10" si="29">CP8</f>
        <v>0</v>
      </c>
      <c r="CR8" s="96">
        <f t="shared" si="29"/>
        <v>0</v>
      </c>
      <c r="CS8" s="97">
        <f>CQ8-CP8</f>
        <v>0</v>
      </c>
      <c r="CT8" s="95"/>
      <c r="CU8" s="96">
        <f t="shared" si="28"/>
        <v>0</v>
      </c>
      <c r="CV8" s="96">
        <f t="shared" si="28"/>
        <v>0</v>
      </c>
      <c r="CW8" s="97">
        <f>CU8-CT8</f>
        <v>0</v>
      </c>
      <c r="CX8" s="58"/>
      <c r="CY8" s="58">
        <f t="shared" si="26"/>
        <v>454978290</v>
      </c>
    </row>
    <row r="9" spans="1:103" s="1" customFormat="1" ht="13.5" x14ac:dyDescent="0.25">
      <c r="A9" s="82" t="s">
        <v>16</v>
      </c>
      <c r="B9" s="83">
        <v>1450000</v>
      </c>
      <c r="C9" s="84">
        <v>1450000</v>
      </c>
      <c r="D9" s="84">
        <v>1450000</v>
      </c>
      <c r="E9" s="85">
        <f t="shared" si="0"/>
        <v>0</v>
      </c>
      <c r="F9" s="86">
        <v>97045000</v>
      </c>
      <c r="G9" s="84">
        <v>32691200</v>
      </c>
      <c r="H9" s="84">
        <v>63657150</v>
      </c>
      <c r="I9" s="85">
        <f t="shared" si="1"/>
        <v>30965950</v>
      </c>
      <c r="J9" s="84">
        <v>3100000</v>
      </c>
      <c r="K9" s="84">
        <v>2976030</v>
      </c>
      <c r="L9" s="84">
        <v>3784752</v>
      </c>
      <c r="M9" s="85">
        <f t="shared" si="2"/>
        <v>808722</v>
      </c>
      <c r="N9" s="83">
        <v>2200000</v>
      </c>
      <c r="O9" s="86">
        <v>1500000</v>
      </c>
      <c r="P9" s="86">
        <v>2000000</v>
      </c>
      <c r="Q9" s="85">
        <f t="shared" si="3"/>
        <v>500000</v>
      </c>
      <c r="R9" s="83">
        <v>52915000</v>
      </c>
      <c r="S9" s="86">
        <v>52360000</v>
      </c>
      <c r="T9" s="86">
        <v>52360000</v>
      </c>
      <c r="U9" s="85">
        <f t="shared" si="4"/>
        <v>0</v>
      </c>
      <c r="V9" s="83">
        <v>400000</v>
      </c>
      <c r="W9" s="86">
        <v>100000</v>
      </c>
      <c r="X9" s="86">
        <v>100000</v>
      </c>
      <c r="Y9" s="85">
        <f t="shared" si="5"/>
        <v>0</v>
      </c>
      <c r="Z9" s="83">
        <v>0</v>
      </c>
      <c r="AA9" s="86">
        <v>0</v>
      </c>
      <c r="AB9" s="86">
        <v>0</v>
      </c>
      <c r="AC9" s="85">
        <f t="shared" si="6"/>
        <v>0</v>
      </c>
      <c r="AD9" s="83">
        <v>436900</v>
      </c>
      <c r="AE9" s="86">
        <v>136900</v>
      </c>
      <c r="AF9" s="86">
        <v>136900</v>
      </c>
      <c r="AG9" s="85">
        <f t="shared" si="7"/>
        <v>0</v>
      </c>
      <c r="AH9" s="83"/>
      <c r="AI9" s="86"/>
      <c r="AJ9" s="86"/>
      <c r="AK9" s="85">
        <f t="shared" si="8"/>
        <v>0</v>
      </c>
      <c r="AL9" s="83"/>
      <c r="AM9" s="86"/>
      <c r="AN9" s="86"/>
      <c r="AO9" s="85">
        <f t="shared" si="9"/>
        <v>0</v>
      </c>
      <c r="AP9" s="83"/>
      <c r="AQ9" s="86"/>
      <c r="AR9" s="86"/>
      <c r="AS9" s="85">
        <f t="shared" si="10"/>
        <v>0</v>
      </c>
      <c r="AT9" s="83">
        <v>120000</v>
      </c>
      <c r="AU9" s="86">
        <v>120000</v>
      </c>
      <c r="AV9" s="86">
        <v>120000</v>
      </c>
      <c r="AW9" s="85">
        <f t="shared" si="11"/>
        <v>0</v>
      </c>
      <c r="AX9" s="83">
        <v>70000</v>
      </c>
      <c r="AY9" s="86">
        <v>70000</v>
      </c>
      <c r="AZ9" s="86">
        <v>70000</v>
      </c>
      <c r="BA9" s="85">
        <f t="shared" si="12"/>
        <v>0</v>
      </c>
      <c r="BB9" s="87">
        <f t="shared" si="13"/>
        <v>1026900</v>
      </c>
      <c r="BC9" s="88">
        <f t="shared" si="13"/>
        <v>426900</v>
      </c>
      <c r="BD9" s="88">
        <f t="shared" si="13"/>
        <v>426900</v>
      </c>
      <c r="BE9" s="89">
        <f t="shared" si="14"/>
        <v>0</v>
      </c>
      <c r="BF9" s="83">
        <v>700000</v>
      </c>
      <c r="BG9" s="86">
        <v>300000</v>
      </c>
      <c r="BH9" s="86">
        <v>300000</v>
      </c>
      <c r="BI9" s="85">
        <f t="shared" si="15"/>
        <v>0</v>
      </c>
      <c r="BJ9" s="83">
        <v>100000</v>
      </c>
      <c r="BK9" s="86">
        <v>20000</v>
      </c>
      <c r="BL9" s="86">
        <v>20000</v>
      </c>
      <c r="BM9" s="85">
        <f t="shared" si="16"/>
        <v>0</v>
      </c>
      <c r="BN9" s="83">
        <v>60000</v>
      </c>
      <c r="BO9" s="86">
        <v>60000</v>
      </c>
      <c r="BP9" s="86">
        <v>60000</v>
      </c>
      <c r="BQ9" s="85">
        <f t="shared" si="17"/>
        <v>0</v>
      </c>
      <c r="BR9" s="90">
        <f t="shared" si="18"/>
        <v>860000</v>
      </c>
      <c r="BS9" s="91">
        <f t="shared" si="18"/>
        <v>380000</v>
      </c>
      <c r="BT9" s="91">
        <f t="shared" si="18"/>
        <v>380000</v>
      </c>
      <c r="BU9" s="92">
        <f t="shared" si="19"/>
        <v>0</v>
      </c>
      <c r="BV9" s="70">
        <f t="shared" si="27"/>
        <v>158596900</v>
      </c>
      <c r="BW9" s="81">
        <f t="shared" si="27"/>
        <v>91784130</v>
      </c>
      <c r="BX9" s="81">
        <f t="shared" si="27"/>
        <v>124058802</v>
      </c>
      <c r="BY9" s="71">
        <f t="shared" si="20"/>
        <v>32274672</v>
      </c>
      <c r="BZ9" s="83">
        <v>115980223</v>
      </c>
      <c r="CA9" s="93">
        <v>103483823</v>
      </c>
      <c r="CB9" s="93">
        <v>117320793</v>
      </c>
      <c r="CC9" s="72">
        <f t="shared" si="21"/>
        <v>13836970</v>
      </c>
      <c r="CD9" s="73">
        <f>BZ9+BV9</f>
        <v>274577123</v>
      </c>
      <c r="CE9" s="74">
        <f>CA9+BW9</f>
        <v>195267953</v>
      </c>
      <c r="CF9" s="74">
        <f>CB9+BX9</f>
        <v>241379595</v>
      </c>
      <c r="CG9" s="71">
        <f t="shared" si="22"/>
        <v>46111642</v>
      </c>
      <c r="CH9" s="94">
        <f>CD9</f>
        <v>274577123</v>
      </c>
      <c r="CI9" s="94">
        <f>CE9</f>
        <v>195267953</v>
      </c>
      <c r="CJ9" s="94">
        <f>CF9</f>
        <v>241379595</v>
      </c>
      <c r="CK9" s="94">
        <f t="shared" si="23"/>
        <v>46111642</v>
      </c>
      <c r="CL9" s="95">
        <v>167678000</v>
      </c>
      <c r="CM9" s="96">
        <f>CL9+1252000+600000+6688000</f>
        <v>176218000</v>
      </c>
      <c r="CN9" s="96">
        <f>CM9+0</f>
        <v>176218000</v>
      </c>
      <c r="CO9" s="97">
        <f t="shared" si="24"/>
        <v>0</v>
      </c>
      <c r="CP9" s="98">
        <v>45305</v>
      </c>
      <c r="CQ9" s="96">
        <f t="shared" si="29"/>
        <v>45305</v>
      </c>
      <c r="CR9" s="96">
        <f t="shared" si="29"/>
        <v>45305</v>
      </c>
      <c r="CS9" s="97">
        <f>CQ9-CP9</f>
        <v>0</v>
      </c>
      <c r="CT9" s="95"/>
      <c r="CU9" s="96">
        <f t="shared" si="28"/>
        <v>0</v>
      </c>
      <c r="CV9" s="96">
        <f t="shared" si="28"/>
        <v>0</v>
      </c>
      <c r="CW9" s="97">
        <f>CU9-CT9</f>
        <v>0</v>
      </c>
      <c r="CX9" s="58"/>
      <c r="CY9" s="58">
        <f t="shared" si="26"/>
        <v>176263305</v>
      </c>
    </row>
    <row r="10" spans="1:103" s="1" customFormat="1" ht="14.25" thickBot="1" x14ac:dyDescent="0.3">
      <c r="A10" s="99" t="s">
        <v>18</v>
      </c>
      <c r="B10" s="100"/>
      <c r="C10" s="101"/>
      <c r="D10" s="101"/>
      <c r="E10" s="102">
        <f t="shared" si="0"/>
        <v>0</v>
      </c>
      <c r="F10" s="103">
        <v>2650000</v>
      </c>
      <c r="G10" s="101">
        <v>2250000</v>
      </c>
      <c r="H10" s="101">
        <v>0</v>
      </c>
      <c r="I10" s="102">
        <f t="shared" si="1"/>
        <v>-2250000</v>
      </c>
      <c r="J10" s="101"/>
      <c r="K10" s="101"/>
      <c r="L10" s="101"/>
      <c r="M10" s="102">
        <f t="shared" si="2"/>
        <v>0</v>
      </c>
      <c r="N10" s="100"/>
      <c r="O10" s="103"/>
      <c r="P10" s="103"/>
      <c r="Q10" s="102">
        <f t="shared" si="3"/>
        <v>0</v>
      </c>
      <c r="R10" s="100">
        <v>0</v>
      </c>
      <c r="S10" s="103">
        <f>Q10</f>
        <v>0</v>
      </c>
      <c r="T10" s="103">
        <f>R10</f>
        <v>0</v>
      </c>
      <c r="U10" s="102">
        <f t="shared" si="4"/>
        <v>0</v>
      </c>
      <c r="V10" s="100"/>
      <c r="W10" s="103"/>
      <c r="X10" s="103"/>
      <c r="Y10" s="102">
        <f t="shared" si="5"/>
        <v>0</v>
      </c>
      <c r="Z10" s="100"/>
      <c r="AA10" s="103"/>
      <c r="AB10" s="103"/>
      <c r="AC10" s="102">
        <f t="shared" si="6"/>
        <v>0</v>
      </c>
      <c r="AD10" s="100"/>
      <c r="AE10" s="103">
        <v>0</v>
      </c>
      <c r="AF10" s="103">
        <v>0</v>
      </c>
      <c r="AG10" s="102">
        <f t="shared" si="7"/>
        <v>0</v>
      </c>
      <c r="AH10" s="100"/>
      <c r="AI10" s="103"/>
      <c r="AJ10" s="103"/>
      <c r="AK10" s="102">
        <f t="shared" si="8"/>
        <v>0</v>
      </c>
      <c r="AL10" s="100"/>
      <c r="AM10" s="103"/>
      <c r="AN10" s="103"/>
      <c r="AO10" s="102">
        <f t="shared" si="9"/>
        <v>0</v>
      </c>
      <c r="AP10" s="100"/>
      <c r="AQ10" s="103"/>
      <c r="AR10" s="103"/>
      <c r="AS10" s="102">
        <f t="shared" si="10"/>
        <v>0</v>
      </c>
      <c r="AT10" s="100"/>
      <c r="AU10" s="103"/>
      <c r="AV10" s="103"/>
      <c r="AW10" s="102">
        <f t="shared" si="11"/>
        <v>0</v>
      </c>
      <c r="AX10" s="100"/>
      <c r="AY10" s="103"/>
      <c r="AZ10" s="103"/>
      <c r="BA10" s="102">
        <f t="shared" si="12"/>
        <v>0</v>
      </c>
      <c r="BB10" s="104">
        <f t="shared" si="13"/>
        <v>0</v>
      </c>
      <c r="BC10" s="105">
        <f t="shared" si="13"/>
        <v>0</v>
      </c>
      <c r="BD10" s="105">
        <f t="shared" si="13"/>
        <v>0</v>
      </c>
      <c r="BE10" s="106">
        <f t="shared" si="14"/>
        <v>0</v>
      </c>
      <c r="BF10" s="100"/>
      <c r="BG10" s="103"/>
      <c r="BH10" s="103"/>
      <c r="BI10" s="102">
        <f t="shared" si="15"/>
        <v>0</v>
      </c>
      <c r="BJ10" s="100"/>
      <c r="BK10" s="103"/>
      <c r="BL10" s="103"/>
      <c r="BM10" s="102">
        <f t="shared" si="16"/>
        <v>0</v>
      </c>
      <c r="BN10" s="100"/>
      <c r="BO10" s="103"/>
      <c r="BP10" s="103"/>
      <c r="BQ10" s="102">
        <f t="shared" si="17"/>
        <v>0</v>
      </c>
      <c r="BR10" s="107">
        <f t="shared" si="18"/>
        <v>0</v>
      </c>
      <c r="BS10" s="108">
        <f t="shared" si="18"/>
        <v>0</v>
      </c>
      <c r="BT10" s="108">
        <f t="shared" si="18"/>
        <v>0</v>
      </c>
      <c r="BU10" s="109">
        <f t="shared" si="19"/>
        <v>0</v>
      </c>
      <c r="BV10" s="70">
        <f t="shared" si="27"/>
        <v>2650000</v>
      </c>
      <c r="BW10" s="110">
        <f t="shared" si="27"/>
        <v>2250000</v>
      </c>
      <c r="BX10" s="110">
        <f t="shared" si="27"/>
        <v>0</v>
      </c>
      <c r="BY10" s="111">
        <f t="shared" si="20"/>
        <v>-2250000</v>
      </c>
      <c r="BZ10" s="100">
        <v>0</v>
      </c>
      <c r="CA10" s="112">
        <v>2200000</v>
      </c>
      <c r="CB10" s="112">
        <v>4225600</v>
      </c>
      <c r="CC10" s="113">
        <f t="shared" si="21"/>
        <v>2025600</v>
      </c>
      <c r="CD10" s="114">
        <f>BZ10+BV10</f>
        <v>2650000</v>
      </c>
      <c r="CE10" s="115">
        <f>CA10+BW10</f>
        <v>4450000</v>
      </c>
      <c r="CF10" s="115">
        <f>CB10+BX10</f>
        <v>4225600</v>
      </c>
      <c r="CG10" s="111">
        <f t="shared" si="22"/>
        <v>-224400</v>
      </c>
      <c r="CH10" s="116">
        <f>CD10</f>
        <v>2650000</v>
      </c>
      <c r="CI10" s="116">
        <f>CE10</f>
        <v>4450000</v>
      </c>
      <c r="CJ10" s="116">
        <f>CF10</f>
        <v>4225600</v>
      </c>
      <c r="CK10" s="116">
        <f t="shared" si="23"/>
        <v>-224400</v>
      </c>
      <c r="CL10" s="117"/>
      <c r="CM10" s="118">
        <f>CL10</f>
        <v>0</v>
      </c>
      <c r="CN10" s="118">
        <f>CM10</f>
        <v>0</v>
      </c>
      <c r="CO10" s="119">
        <f t="shared" si="24"/>
        <v>0</v>
      </c>
      <c r="CP10" s="120"/>
      <c r="CQ10" s="118">
        <f t="shared" si="29"/>
        <v>0</v>
      </c>
      <c r="CR10" s="118">
        <f t="shared" si="29"/>
        <v>0</v>
      </c>
      <c r="CS10" s="119">
        <f>CQ10-CP10</f>
        <v>0</v>
      </c>
      <c r="CT10" s="117"/>
      <c r="CU10" s="118">
        <f t="shared" si="28"/>
        <v>0</v>
      </c>
      <c r="CV10" s="118">
        <f t="shared" si="28"/>
        <v>0</v>
      </c>
      <c r="CW10" s="119">
        <f>CU10-CT10</f>
        <v>0</v>
      </c>
      <c r="CX10" s="58"/>
      <c r="CY10" s="58">
        <f t="shared" si="26"/>
        <v>0</v>
      </c>
    </row>
    <row r="11" spans="1:103" s="2" customFormat="1" ht="14.25" thickBot="1" x14ac:dyDescent="0.3">
      <c r="A11" s="121" t="s">
        <v>23</v>
      </c>
      <c r="B11" s="122">
        <f>B5+B8+B9+B10</f>
        <v>1450000</v>
      </c>
      <c r="C11" s="122">
        <f>C5+C8+C9+C10</f>
        <v>1450000</v>
      </c>
      <c r="D11" s="122">
        <f>D5+D8+D9+D10</f>
        <v>25992462</v>
      </c>
      <c r="E11" s="123">
        <f t="shared" si="0"/>
        <v>24542462</v>
      </c>
      <c r="F11" s="124">
        <f>F5+F8+F9+F10</f>
        <v>104751047</v>
      </c>
      <c r="G11" s="125">
        <f>G5+G8+G9+G10</f>
        <v>102558247</v>
      </c>
      <c r="H11" s="125">
        <f>H5+H8+H9+H10</f>
        <v>153232061</v>
      </c>
      <c r="I11" s="123">
        <f t="shared" si="1"/>
        <v>50673814</v>
      </c>
      <c r="J11" s="125">
        <f>J5+J8+J9+J10</f>
        <v>3100000</v>
      </c>
      <c r="K11" s="125">
        <f>K5+K8+K9+K10</f>
        <v>2976030</v>
      </c>
      <c r="L11" s="125">
        <f>L5+L8+L9+L10</f>
        <v>4281978</v>
      </c>
      <c r="M11" s="123">
        <f t="shared" si="2"/>
        <v>1305948</v>
      </c>
      <c r="N11" s="122">
        <f>N5+N8+N9+N10</f>
        <v>2200000</v>
      </c>
      <c r="O11" s="124">
        <f>O5+O8+O9+O10</f>
        <v>1994433</v>
      </c>
      <c r="P11" s="124">
        <f>P5+P8+P9+P10</f>
        <v>2878594</v>
      </c>
      <c r="Q11" s="123">
        <f t="shared" si="3"/>
        <v>884161</v>
      </c>
      <c r="R11" s="122">
        <f>R5+R8+R9+R10</f>
        <v>101460000</v>
      </c>
      <c r="S11" s="124">
        <f>S5+S8+S9+S10</f>
        <v>100905000</v>
      </c>
      <c r="T11" s="124">
        <f>T5+T8+T9+T10</f>
        <v>100905000</v>
      </c>
      <c r="U11" s="123">
        <f t="shared" si="4"/>
        <v>0</v>
      </c>
      <c r="V11" s="122">
        <f>V5+V8+V9+V10</f>
        <v>400000</v>
      </c>
      <c r="W11" s="124">
        <f>W5+W8+W9+W10</f>
        <v>100000</v>
      </c>
      <c r="X11" s="124">
        <f>X5+X8+X9+X10</f>
        <v>4452134</v>
      </c>
      <c r="Y11" s="123">
        <f t="shared" si="5"/>
        <v>4352134</v>
      </c>
      <c r="Z11" s="122">
        <f>Z5+Z8+Z9+Z10</f>
        <v>0</v>
      </c>
      <c r="AA11" s="124">
        <f>AA5+AA8+AA9+AA10</f>
        <v>0</v>
      </c>
      <c r="AB11" s="124">
        <f>AB5+AB8+AB9+AB10</f>
        <v>0</v>
      </c>
      <c r="AC11" s="123">
        <f t="shared" si="6"/>
        <v>0</v>
      </c>
      <c r="AD11" s="122">
        <f>AD5+AD8+AD9+AD10</f>
        <v>436900</v>
      </c>
      <c r="AE11" s="124">
        <f>AE5+AE8+AE9+AE10</f>
        <v>136900</v>
      </c>
      <c r="AF11" s="124">
        <f>AF5+AF8+AF9+AF10</f>
        <v>136900</v>
      </c>
      <c r="AG11" s="123">
        <f t="shared" si="7"/>
        <v>0</v>
      </c>
      <c r="AH11" s="122">
        <f>AH5+AH8+AH9+AH10</f>
        <v>0</v>
      </c>
      <c r="AI11" s="124">
        <f>AI5+AI8+AI9+AI10</f>
        <v>88664</v>
      </c>
      <c r="AJ11" s="124">
        <f>AJ5+AJ8+AJ9+AJ10</f>
        <v>88664</v>
      </c>
      <c r="AK11" s="123">
        <f t="shared" si="8"/>
        <v>0</v>
      </c>
      <c r="AL11" s="122">
        <f>AL5+AL8+AL9+AL10</f>
        <v>0</v>
      </c>
      <c r="AM11" s="124">
        <f>AM5+AM8+AM9+AM10</f>
        <v>-9251</v>
      </c>
      <c r="AN11" s="124">
        <f>AN5+AN8+AN9+AN10</f>
        <v>-9251</v>
      </c>
      <c r="AO11" s="123">
        <f t="shared" si="9"/>
        <v>0</v>
      </c>
      <c r="AP11" s="122">
        <f>AP5+AP8+AP9+AP10</f>
        <v>0</v>
      </c>
      <c r="AQ11" s="124">
        <f>AQ5+AQ8+AQ9+AQ10</f>
        <v>0</v>
      </c>
      <c r="AR11" s="124">
        <f>AR5+AR8+AR9+AR10</f>
        <v>0</v>
      </c>
      <c r="AS11" s="123">
        <f t="shared" si="10"/>
        <v>0</v>
      </c>
      <c r="AT11" s="122">
        <f>AT5+AT8+AT9+AT10</f>
        <v>120000</v>
      </c>
      <c r="AU11" s="124">
        <f>AU5+AU8+AU9+AU10</f>
        <v>120000</v>
      </c>
      <c r="AV11" s="124">
        <f>AV5+AV8+AV9+AV10</f>
        <v>120000</v>
      </c>
      <c r="AW11" s="123">
        <f t="shared" si="11"/>
        <v>0</v>
      </c>
      <c r="AX11" s="122">
        <f>AX5+AX8+AX9+AX10</f>
        <v>70000</v>
      </c>
      <c r="AY11" s="124">
        <f>AY5+AY8+AY9+AY10</f>
        <v>70000</v>
      </c>
      <c r="AZ11" s="124">
        <f>AZ5+AZ8+AZ9+AZ10</f>
        <v>195089</v>
      </c>
      <c r="BA11" s="123">
        <f t="shared" si="12"/>
        <v>125089</v>
      </c>
      <c r="BB11" s="126">
        <f t="shared" si="13"/>
        <v>1026900</v>
      </c>
      <c r="BC11" s="127">
        <f t="shared" si="13"/>
        <v>506313</v>
      </c>
      <c r="BD11" s="127">
        <f t="shared" si="13"/>
        <v>4983536</v>
      </c>
      <c r="BE11" s="128">
        <f t="shared" si="14"/>
        <v>4477223</v>
      </c>
      <c r="BF11" s="122">
        <f>BF5+BF8+BF9+BF10</f>
        <v>700000</v>
      </c>
      <c r="BG11" s="124">
        <f>BG5+BG8+BG9+BG10</f>
        <v>638217</v>
      </c>
      <c r="BH11" s="124">
        <f>BH5+BH8+BH9+BH10</f>
        <v>823126</v>
      </c>
      <c r="BI11" s="123">
        <f t="shared" si="15"/>
        <v>184909</v>
      </c>
      <c r="BJ11" s="122">
        <f>BJ5+BJ8+BJ9+BJ10</f>
        <v>100000</v>
      </c>
      <c r="BK11" s="124">
        <f>BK5+BK8+BK9+BK10</f>
        <v>214572</v>
      </c>
      <c r="BL11" s="124">
        <f>BL5+BL8+BL9+BL10</f>
        <v>505225</v>
      </c>
      <c r="BM11" s="123">
        <f t="shared" si="16"/>
        <v>290653</v>
      </c>
      <c r="BN11" s="122">
        <f>BN5+BN8+BN9+BN10</f>
        <v>60000</v>
      </c>
      <c r="BO11" s="124">
        <f>BO5+BO8+BO9+BO10</f>
        <v>60000</v>
      </c>
      <c r="BP11" s="124">
        <f>BP5+BP8+BP9+BP10</f>
        <v>60000</v>
      </c>
      <c r="BQ11" s="123">
        <f t="shared" si="17"/>
        <v>0</v>
      </c>
      <c r="BR11" s="129">
        <f t="shared" si="18"/>
        <v>860000</v>
      </c>
      <c r="BS11" s="130">
        <f t="shared" si="18"/>
        <v>912789</v>
      </c>
      <c r="BT11" s="130">
        <f t="shared" si="18"/>
        <v>1388351</v>
      </c>
      <c r="BU11" s="131">
        <f t="shared" si="19"/>
        <v>475562</v>
      </c>
      <c r="BV11" s="132">
        <f>BV5+BV8+BV9+BV10</f>
        <v>214847947</v>
      </c>
      <c r="BW11" s="133">
        <f>BW5+BW8+BW9+BW10</f>
        <v>211302812</v>
      </c>
      <c r="BX11" s="133">
        <f>BX5+BX8+BX9+BX10</f>
        <v>293661982</v>
      </c>
      <c r="BY11" s="134">
        <f t="shared" si="20"/>
        <v>82359170</v>
      </c>
      <c r="BZ11" s="122">
        <f>BZ5+BZ8+BZ9+BZ10</f>
        <v>1878409337</v>
      </c>
      <c r="CA11" s="135">
        <f>CA5+CA8+CA9+CA10</f>
        <v>1756272932</v>
      </c>
      <c r="CB11" s="135">
        <f>CB5+CB8+CB9+CB10</f>
        <v>1810977129</v>
      </c>
      <c r="CC11" s="136">
        <f t="shared" si="21"/>
        <v>54704197</v>
      </c>
      <c r="CD11" s="137">
        <f>CD5+CD8+CD9+CD10</f>
        <v>2093257284</v>
      </c>
      <c r="CE11" s="135">
        <f>CE5+CE8+CE9+CE10</f>
        <v>1967496331</v>
      </c>
      <c r="CF11" s="135">
        <f>CF5+CF8+CF9+CF10</f>
        <v>2104639111</v>
      </c>
      <c r="CG11" s="136">
        <f t="shared" si="22"/>
        <v>137142780</v>
      </c>
      <c r="CH11" s="138">
        <f>CH5+CH8+CH9+CH10</f>
        <v>2093257284</v>
      </c>
      <c r="CI11" s="138">
        <f>CI5+CI8+CI9+CI10</f>
        <v>1967496331</v>
      </c>
      <c r="CJ11" s="138">
        <f>CJ5+CJ8+CJ9+CJ10</f>
        <v>2104639111</v>
      </c>
      <c r="CK11" s="138">
        <f t="shared" si="23"/>
        <v>137142780</v>
      </c>
      <c r="CL11" s="139">
        <f>CL5+CL8+CL9+CL10</f>
        <v>1537177290</v>
      </c>
      <c r="CM11" s="140">
        <f>CM5+CM8+CM9+CM10</f>
        <v>1598042290</v>
      </c>
      <c r="CN11" s="140">
        <f>CN5+CN8+CN9+CN10</f>
        <v>1598042290</v>
      </c>
      <c r="CO11" s="141">
        <f t="shared" si="24"/>
        <v>0</v>
      </c>
      <c r="CP11" s="142">
        <f t="shared" ref="CP11:CW11" si="30">CP5+CP8+CP9+CP10</f>
        <v>112309</v>
      </c>
      <c r="CQ11" s="140">
        <f t="shared" si="30"/>
        <v>113409</v>
      </c>
      <c r="CR11" s="140">
        <f t="shared" si="30"/>
        <v>114509</v>
      </c>
      <c r="CS11" s="141">
        <f t="shared" si="30"/>
        <v>1100</v>
      </c>
      <c r="CT11" s="139">
        <f t="shared" si="30"/>
        <v>0</v>
      </c>
      <c r="CU11" s="140">
        <f t="shared" si="30"/>
        <v>0</v>
      </c>
      <c r="CV11" s="140">
        <f t="shared" si="30"/>
        <v>0</v>
      </c>
      <c r="CW11" s="141">
        <f t="shared" si="30"/>
        <v>0</v>
      </c>
      <c r="CX11" s="143"/>
      <c r="CY11" s="58">
        <f t="shared" si="26"/>
        <v>1598155699</v>
      </c>
    </row>
    <row r="12" spans="1:103" s="1" customFormat="1" ht="13.5" x14ac:dyDescent="0.25">
      <c r="A12" s="36" t="s">
        <v>19</v>
      </c>
      <c r="B12" s="37"/>
      <c r="C12" s="38"/>
      <c r="D12" s="38"/>
      <c r="E12" s="39">
        <f t="shared" si="0"/>
        <v>0</v>
      </c>
      <c r="F12" s="144">
        <v>1478181</v>
      </c>
      <c r="G12" s="38">
        <v>1478181</v>
      </c>
      <c r="H12" s="38">
        <v>1478181</v>
      </c>
      <c r="I12" s="39">
        <f t="shared" si="1"/>
        <v>0</v>
      </c>
      <c r="J12" s="38"/>
      <c r="K12" s="38"/>
      <c r="L12" s="38"/>
      <c r="M12" s="39">
        <f t="shared" si="2"/>
        <v>0</v>
      </c>
      <c r="N12" s="37"/>
      <c r="O12" s="144"/>
      <c r="P12" s="144"/>
      <c r="Q12" s="39">
        <f t="shared" si="3"/>
        <v>0</v>
      </c>
      <c r="R12" s="37"/>
      <c r="S12" s="144"/>
      <c r="T12" s="144"/>
      <c r="U12" s="39">
        <f t="shared" si="4"/>
        <v>0</v>
      </c>
      <c r="V12" s="37"/>
      <c r="W12" s="144"/>
      <c r="X12" s="144"/>
      <c r="Y12" s="39">
        <f t="shared" si="5"/>
        <v>0</v>
      </c>
      <c r="Z12" s="37"/>
      <c r="AA12" s="144"/>
      <c r="AB12" s="144"/>
      <c r="AC12" s="39">
        <f t="shared" si="6"/>
        <v>0</v>
      </c>
      <c r="AD12" s="37"/>
      <c r="AE12" s="144"/>
      <c r="AF12" s="144"/>
      <c r="AG12" s="39">
        <f t="shared" si="7"/>
        <v>0</v>
      </c>
      <c r="AH12" s="37"/>
      <c r="AI12" s="144"/>
      <c r="AJ12" s="144"/>
      <c r="AK12" s="39">
        <f t="shared" si="8"/>
        <v>0</v>
      </c>
      <c r="AL12" s="37"/>
      <c r="AM12" s="144"/>
      <c r="AN12" s="144"/>
      <c r="AO12" s="39">
        <f t="shared" si="9"/>
        <v>0</v>
      </c>
      <c r="AP12" s="37"/>
      <c r="AQ12" s="144"/>
      <c r="AR12" s="144"/>
      <c r="AS12" s="39">
        <f t="shared" si="10"/>
        <v>0</v>
      </c>
      <c r="AT12" s="37"/>
      <c r="AU12" s="144"/>
      <c r="AV12" s="144"/>
      <c r="AW12" s="39">
        <f t="shared" si="11"/>
        <v>0</v>
      </c>
      <c r="AX12" s="37"/>
      <c r="AY12" s="144"/>
      <c r="AZ12" s="144"/>
      <c r="BA12" s="39">
        <f t="shared" si="12"/>
        <v>0</v>
      </c>
      <c r="BB12" s="40">
        <f t="shared" si="13"/>
        <v>0</v>
      </c>
      <c r="BC12" s="145">
        <f t="shared" si="13"/>
        <v>0</v>
      </c>
      <c r="BD12" s="145">
        <f t="shared" si="13"/>
        <v>0</v>
      </c>
      <c r="BE12" s="42">
        <f t="shared" si="14"/>
        <v>0</v>
      </c>
      <c r="BF12" s="37"/>
      <c r="BG12" s="144"/>
      <c r="BH12" s="144"/>
      <c r="BI12" s="39">
        <f t="shared" si="15"/>
        <v>0</v>
      </c>
      <c r="BJ12" s="37"/>
      <c r="BK12" s="144"/>
      <c r="BL12" s="144"/>
      <c r="BM12" s="39">
        <f t="shared" si="16"/>
        <v>0</v>
      </c>
      <c r="BN12" s="37"/>
      <c r="BO12" s="144"/>
      <c r="BP12" s="144"/>
      <c r="BQ12" s="39">
        <f t="shared" si="17"/>
        <v>0</v>
      </c>
      <c r="BR12" s="43">
        <f t="shared" si="18"/>
        <v>0</v>
      </c>
      <c r="BS12" s="146">
        <f t="shared" si="18"/>
        <v>0</v>
      </c>
      <c r="BT12" s="146">
        <f t="shared" si="18"/>
        <v>0</v>
      </c>
      <c r="BU12" s="45">
        <f t="shared" si="19"/>
        <v>0</v>
      </c>
      <c r="BV12" s="46">
        <f t="shared" ref="BV12:BX14" si="31">B12+F12+J12+N12+R12+BR12+BB12</f>
        <v>1478181</v>
      </c>
      <c r="BW12" s="47">
        <f t="shared" si="31"/>
        <v>1478181</v>
      </c>
      <c r="BX12" s="47">
        <f t="shared" si="31"/>
        <v>1478181</v>
      </c>
      <c r="BY12" s="48">
        <f t="shared" si="20"/>
        <v>0</v>
      </c>
      <c r="BZ12" s="37">
        <v>581736570</v>
      </c>
      <c r="CA12" s="49">
        <v>611329613</v>
      </c>
      <c r="CB12" s="49">
        <v>746675220</v>
      </c>
      <c r="CC12" s="50">
        <f t="shared" si="21"/>
        <v>135345607</v>
      </c>
      <c r="CD12" s="51">
        <f t="shared" ref="CD12:CF14" si="32">BZ12+BV12</f>
        <v>583214751</v>
      </c>
      <c r="CE12" s="52">
        <f t="shared" si="32"/>
        <v>612807794</v>
      </c>
      <c r="CF12" s="52">
        <f t="shared" si="32"/>
        <v>748153401</v>
      </c>
      <c r="CG12" s="48">
        <f t="shared" si="22"/>
        <v>135345607</v>
      </c>
      <c r="CH12" s="53">
        <f t="shared" ref="CH12:CJ14" si="33">CD12</f>
        <v>583214751</v>
      </c>
      <c r="CI12" s="53">
        <f t="shared" si="33"/>
        <v>612807794</v>
      </c>
      <c r="CJ12" s="53">
        <f t="shared" si="33"/>
        <v>748153401</v>
      </c>
      <c r="CK12" s="53">
        <f t="shared" si="23"/>
        <v>135345607</v>
      </c>
      <c r="CL12" s="54">
        <v>101293</v>
      </c>
      <c r="CM12" s="77">
        <f>CL12+671111</f>
        <v>772404</v>
      </c>
      <c r="CN12" s="77">
        <f>CM12+671111</f>
        <v>1443515</v>
      </c>
      <c r="CO12" s="56">
        <f t="shared" si="24"/>
        <v>671111</v>
      </c>
      <c r="CP12" s="55">
        <v>20240</v>
      </c>
      <c r="CQ12" s="77">
        <f t="shared" ref="CQ12:CR14" si="34">CP12</f>
        <v>20240</v>
      </c>
      <c r="CR12" s="77">
        <f t="shared" si="34"/>
        <v>20240</v>
      </c>
      <c r="CS12" s="56">
        <f>CQ12-CP12</f>
        <v>0</v>
      </c>
      <c r="CT12" s="54"/>
      <c r="CU12" s="77">
        <f t="shared" ref="CU12:CV14" si="35">CT12</f>
        <v>0</v>
      </c>
      <c r="CV12" s="77">
        <f t="shared" si="35"/>
        <v>0</v>
      </c>
      <c r="CW12" s="56">
        <f>CU12-CT12</f>
        <v>0</v>
      </c>
      <c r="CX12" s="58"/>
      <c r="CY12" s="58">
        <f t="shared" si="26"/>
        <v>792644</v>
      </c>
    </row>
    <row r="13" spans="1:103" s="1" customFormat="1" ht="13.5" x14ac:dyDescent="0.25">
      <c r="A13" s="147" t="s">
        <v>21</v>
      </c>
      <c r="B13" s="60"/>
      <c r="C13" s="61"/>
      <c r="D13" s="61"/>
      <c r="E13" s="62">
        <f t="shared" si="0"/>
        <v>0</v>
      </c>
      <c r="F13" s="148"/>
      <c r="G13" s="61"/>
      <c r="H13" s="61"/>
      <c r="I13" s="62">
        <f t="shared" si="1"/>
        <v>0</v>
      </c>
      <c r="J13" s="149"/>
      <c r="K13" s="61"/>
      <c r="L13" s="61"/>
      <c r="M13" s="62">
        <f t="shared" si="2"/>
        <v>0</v>
      </c>
      <c r="N13" s="150"/>
      <c r="O13" s="63"/>
      <c r="P13" s="63"/>
      <c r="Q13" s="62">
        <f t="shared" si="3"/>
        <v>0</v>
      </c>
      <c r="R13" s="150"/>
      <c r="S13" s="63"/>
      <c r="T13" s="63"/>
      <c r="U13" s="62">
        <f t="shared" si="4"/>
        <v>0</v>
      </c>
      <c r="V13" s="150"/>
      <c r="W13" s="63"/>
      <c r="X13" s="63"/>
      <c r="Y13" s="62">
        <f t="shared" si="5"/>
        <v>0</v>
      </c>
      <c r="Z13" s="150"/>
      <c r="AA13" s="63"/>
      <c r="AB13" s="63"/>
      <c r="AC13" s="62">
        <f t="shared" si="6"/>
        <v>0</v>
      </c>
      <c r="AD13" s="150"/>
      <c r="AE13" s="63"/>
      <c r="AF13" s="63"/>
      <c r="AG13" s="62">
        <f t="shared" si="7"/>
        <v>0</v>
      </c>
      <c r="AH13" s="150"/>
      <c r="AI13" s="63"/>
      <c r="AJ13" s="63"/>
      <c r="AK13" s="62">
        <f t="shared" si="8"/>
        <v>0</v>
      </c>
      <c r="AL13" s="150"/>
      <c r="AM13" s="63"/>
      <c r="AN13" s="63"/>
      <c r="AO13" s="62">
        <f t="shared" si="9"/>
        <v>0</v>
      </c>
      <c r="AP13" s="150"/>
      <c r="AQ13" s="63"/>
      <c r="AR13" s="63"/>
      <c r="AS13" s="62">
        <f t="shared" si="10"/>
        <v>0</v>
      </c>
      <c r="AT13" s="150"/>
      <c r="AU13" s="63"/>
      <c r="AV13" s="63"/>
      <c r="AW13" s="62">
        <f t="shared" si="11"/>
        <v>0</v>
      </c>
      <c r="AX13" s="150"/>
      <c r="AY13" s="63"/>
      <c r="AZ13" s="63"/>
      <c r="BA13" s="62">
        <f t="shared" si="12"/>
        <v>0</v>
      </c>
      <c r="BB13" s="151">
        <f t="shared" si="13"/>
        <v>0</v>
      </c>
      <c r="BC13" s="65">
        <f t="shared" si="13"/>
        <v>0</v>
      </c>
      <c r="BD13" s="65">
        <f t="shared" si="13"/>
        <v>0</v>
      </c>
      <c r="BE13" s="66">
        <f t="shared" si="14"/>
        <v>0</v>
      </c>
      <c r="BF13" s="150"/>
      <c r="BG13" s="63"/>
      <c r="BH13" s="63"/>
      <c r="BI13" s="62">
        <f t="shared" si="15"/>
        <v>0</v>
      </c>
      <c r="BJ13" s="150"/>
      <c r="BK13" s="63"/>
      <c r="BL13" s="63"/>
      <c r="BM13" s="62">
        <f t="shared" si="16"/>
        <v>0</v>
      </c>
      <c r="BN13" s="150"/>
      <c r="BO13" s="63"/>
      <c r="BP13" s="63"/>
      <c r="BQ13" s="62">
        <f t="shared" si="17"/>
        <v>0</v>
      </c>
      <c r="BR13" s="152">
        <f t="shared" si="18"/>
        <v>0</v>
      </c>
      <c r="BS13" s="68">
        <f t="shared" si="18"/>
        <v>0</v>
      </c>
      <c r="BT13" s="68">
        <f t="shared" si="18"/>
        <v>0</v>
      </c>
      <c r="BU13" s="69">
        <f t="shared" si="19"/>
        <v>0</v>
      </c>
      <c r="BV13" s="46">
        <f t="shared" si="31"/>
        <v>0</v>
      </c>
      <c r="BW13" s="81">
        <f t="shared" si="31"/>
        <v>0</v>
      </c>
      <c r="BX13" s="81">
        <f t="shared" si="31"/>
        <v>0</v>
      </c>
      <c r="BY13" s="71">
        <f t="shared" si="20"/>
        <v>0</v>
      </c>
      <c r="BZ13" s="150">
        <v>0</v>
      </c>
      <c r="CA13" s="61">
        <v>0</v>
      </c>
      <c r="CB13" s="61">
        <v>90000000</v>
      </c>
      <c r="CC13" s="72">
        <f t="shared" si="21"/>
        <v>90000000</v>
      </c>
      <c r="CD13" s="51">
        <f t="shared" si="32"/>
        <v>0</v>
      </c>
      <c r="CE13" s="74">
        <f t="shared" si="32"/>
        <v>0</v>
      </c>
      <c r="CF13" s="74">
        <f t="shared" si="32"/>
        <v>90000000</v>
      </c>
      <c r="CG13" s="71">
        <f t="shared" si="22"/>
        <v>90000000</v>
      </c>
      <c r="CH13" s="153">
        <f t="shared" si="33"/>
        <v>0</v>
      </c>
      <c r="CI13" s="153">
        <f t="shared" si="33"/>
        <v>0</v>
      </c>
      <c r="CJ13" s="153">
        <f t="shared" si="33"/>
        <v>90000000</v>
      </c>
      <c r="CK13" s="153">
        <f t="shared" si="23"/>
        <v>90000000</v>
      </c>
      <c r="CL13" s="154">
        <v>100000000</v>
      </c>
      <c r="CM13" s="77">
        <f>CL13+93000000</f>
        <v>193000000</v>
      </c>
      <c r="CN13" s="77">
        <f>CM13+0</f>
        <v>193000000</v>
      </c>
      <c r="CO13" s="78">
        <f t="shared" si="24"/>
        <v>0</v>
      </c>
      <c r="CP13" s="155"/>
      <c r="CQ13" s="77">
        <f t="shared" si="34"/>
        <v>0</v>
      </c>
      <c r="CR13" s="77">
        <f t="shared" si="34"/>
        <v>0</v>
      </c>
      <c r="CS13" s="78">
        <f>CQ13-CP13</f>
        <v>0</v>
      </c>
      <c r="CT13" s="154"/>
      <c r="CU13" s="77">
        <f t="shared" si="35"/>
        <v>0</v>
      </c>
      <c r="CV13" s="77">
        <f t="shared" si="35"/>
        <v>0</v>
      </c>
      <c r="CW13" s="78">
        <f>CU13-CT13</f>
        <v>0</v>
      </c>
      <c r="CX13" s="80"/>
      <c r="CY13" s="58">
        <f t="shared" si="26"/>
        <v>193000000</v>
      </c>
    </row>
    <row r="14" spans="1:103" s="1" customFormat="1" ht="13.5" x14ac:dyDescent="0.25">
      <c r="A14" s="82" t="s">
        <v>17</v>
      </c>
      <c r="B14" s="83"/>
      <c r="C14" s="84"/>
      <c r="D14" s="84"/>
      <c r="E14" s="85">
        <f t="shared" si="0"/>
        <v>0</v>
      </c>
      <c r="F14" s="86"/>
      <c r="G14" s="84"/>
      <c r="H14" s="84"/>
      <c r="I14" s="85">
        <f t="shared" si="1"/>
        <v>0</v>
      </c>
      <c r="J14" s="84"/>
      <c r="K14" s="84"/>
      <c r="L14" s="84"/>
      <c r="M14" s="85">
        <f t="shared" si="2"/>
        <v>0</v>
      </c>
      <c r="N14" s="83"/>
      <c r="O14" s="86"/>
      <c r="P14" s="86"/>
      <c r="Q14" s="85">
        <f t="shared" si="3"/>
        <v>0</v>
      </c>
      <c r="R14" s="83"/>
      <c r="S14" s="86"/>
      <c r="T14" s="86"/>
      <c r="U14" s="85">
        <f t="shared" si="4"/>
        <v>0</v>
      </c>
      <c r="V14" s="83"/>
      <c r="W14" s="86"/>
      <c r="X14" s="86"/>
      <c r="Y14" s="85">
        <f t="shared" si="5"/>
        <v>0</v>
      </c>
      <c r="Z14" s="83"/>
      <c r="AA14" s="86"/>
      <c r="AB14" s="86"/>
      <c r="AC14" s="85">
        <f t="shared" si="6"/>
        <v>0</v>
      </c>
      <c r="AD14" s="83"/>
      <c r="AE14" s="86"/>
      <c r="AF14" s="86"/>
      <c r="AG14" s="85">
        <f t="shared" si="7"/>
        <v>0</v>
      </c>
      <c r="AH14" s="83"/>
      <c r="AI14" s="86"/>
      <c r="AJ14" s="86"/>
      <c r="AK14" s="85">
        <f t="shared" si="8"/>
        <v>0</v>
      </c>
      <c r="AL14" s="83"/>
      <c r="AM14" s="86"/>
      <c r="AN14" s="86"/>
      <c r="AO14" s="85">
        <f t="shared" si="9"/>
        <v>0</v>
      </c>
      <c r="AP14" s="83"/>
      <c r="AQ14" s="86"/>
      <c r="AR14" s="86"/>
      <c r="AS14" s="85">
        <f t="shared" si="10"/>
        <v>0</v>
      </c>
      <c r="AT14" s="83"/>
      <c r="AU14" s="86"/>
      <c r="AV14" s="86"/>
      <c r="AW14" s="85">
        <f t="shared" si="11"/>
        <v>0</v>
      </c>
      <c r="AX14" s="83"/>
      <c r="AY14" s="86"/>
      <c r="AZ14" s="86"/>
      <c r="BA14" s="85">
        <f t="shared" si="12"/>
        <v>0</v>
      </c>
      <c r="BB14" s="87">
        <f t="shared" si="13"/>
        <v>0</v>
      </c>
      <c r="BC14" s="88">
        <f t="shared" si="13"/>
        <v>0</v>
      </c>
      <c r="BD14" s="88">
        <f t="shared" si="13"/>
        <v>0</v>
      </c>
      <c r="BE14" s="89">
        <f t="shared" si="14"/>
        <v>0</v>
      </c>
      <c r="BF14" s="83"/>
      <c r="BG14" s="86"/>
      <c r="BH14" s="86"/>
      <c r="BI14" s="85">
        <f t="shared" si="15"/>
        <v>0</v>
      </c>
      <c r="BJ14" s="83"/>
      <c r="BK14" s="86"/>
      <c r="BL14" s="86"/>
      <c r="BM14" s="85">
        <f t="shared" si="16"/>
        <v>0</v>
      </c>
      <c r="BN14" s="83"/>
      <c r="BO14" s="86"/>
      <c r="BP14" s="86"/>
      <c r="BQ14" s="85">
        <f t="shared" si="17"/>
        <v>0</v>
      </c>
      <c r="BR14" s="90">
        <f t="shared" si="18"/>
        <v>0</v>
      </c>
      <c r="BS14" s="91">
        <f t="shared" si="18"/>
        <v>0</v>
      </c>
      <c r="BT14" s="91">
        <f t="shared" si="18"/>
        <v>0</v>
      </c>
      <c r="BU14" s="92">
        <f t="shared" si="19"/>
        <v>0</v>
      </c>
      <c r="BV14" s="46">
        <f t="shared" si="31"/>
        <v>0</v>
      </c>
      <c r="BW14" s="81">
        <f t="shared" si="31"/>
        <v>0</v>
      </c>
      <c r="BX14" s="81">
        <f t="shared" si="31"/>
        <v>0</v>
      </c>
      <c r="BY14" s="71">
        <f t="shared" si="20"/>
        <v>0</v>
      </c>
      <c r="BZ14" s="83">
        <v>90829500</v>
      </c>
      <c r="CA14" s="93">
        <v>92529500</v>
      </c>
      <c r="CB14" s="93">
        <v>92529500</v>
      </c>
      <c r="CC14" s="72">
        <f t="shared" si="21"/>
        <v>0</v>
      </c>
      <c r="CD14" s="73">
        <f t="shared" si="32"/>
        <v>90829500</v>
      </c>
      <c r="CE14" s="74">
        <f t="shared" si="32"/>
        <v>92529500</v>
      </c>
      <c r="CF14" s="74">
        <f t="shared" si="32"/>
        <v>92529500</v>
      </c>
      <c r="CG14" s="71">
        <f t="shared" si="22"/>
        <v>0</v>
      </c>
      <c r="CH14" s="94">
        <f t="shared" si="33"/>
        <v>90829500</v>
      </c>
      <c r="CI14" s="94">
        <f t="shared" si="33"/>
        <v>92529500</v>
      </c>
      <c r="CJ14" s="94">
        <f t="shared" si="33"/>
        <v>92529500</v>
      </c>
      <c r="CK14" s="94">
        <f t="shared" si="23"/>
        <v>0</v>
      </c>
      <c r="CL14" s="95">
        <v>87248000</v>
      </c>
      <c r="CM14" s="77">
        <v>87248000</v>
      </c>
      <c r="CN14" s="77">
        <v>87248000</v>
      </c>
      <c r="CO14" s="97">
        <f t="shared" si="24"/>
        <v>0</v>
      </c>
      <c r="CP14" s="98"/>
      <c r="CQ14" s="77">
        <f t="shared" si="34"/>
        <v>0</v>
      </c>
      <c r="CR14" s="77">
        <f t="shared" si="34"/>
        <v>0</v>
      </c>
      <c r="CS14" s="97">
        <f>CQ14-CP14</f>
        <v>0</v>
      </c>
      <c r="CT14" s="95"/>
      <c r="CU14" s="77">
        <f t="shared" si="35"/>
        <v>0</v>
      </c>
      <c r="CV14" s="77">
        <f t="shared" si="35"/>
        <v>0</v>
      </c>
      <c r="CW14" s="97">
        <f>CU14-CT14</f>
        <v>0</v>
      </c>
      <c r="CX14" s="58"/>
      <c r="CY14" s="58">
        <f t="shared" si="26"/>
        <v>87248000</v>
      </c>
    </row>
    <row r="15" spans="1:103" s="1" customFormat="1" ht="13.5" x14ac:dyDescent="0.25">
      <c r="A15" s="82" t="s">
        <v>12</v>
      </c>
      <c r="B15" s="83">
        <f>SUM(B16:B17)</f>
        <v>0</v>
      </c>
      <c r="C15" s="84">
        <f>SUM(C16:C17)</f>
        <v>0</v>
      </c>
      <c r="D15" s="84">
        <f>SUM(D16:D17)</f>
        <v>0</v>
      </c>
      <c r="E15" s="85">
        <f t="shared" si="0"/>
        <v>0</v>
      </c>
      <c r="F15" s="86">
        <f>SUM(F16:F17)</f>
        <v>0</v>
      </c>
      <c r="G15" s="84">
        <f>SUM(G16:G17)</f>
        <v>0</v>
      </c>
      <c r="H15" s="84">
        <f>SUM(H16:H17)</f>
        <v>0</v>
      </c>
      <c r="I15" s="85">
        <f t="shared" si="1"/>
        <v>0</v>
      </c>
      <c r="J15" s="84">
        <f>SUM(J16:J17)</f>
        <v>0</v>
      </c>
      <c r="K15" s="84">
        <f>SUM(K16:K17)</f>
        <v>0</v>
      </c>
      <c r="L15" s="84">
        <f>SUM(L16:L17)</f>
        <v>0</v>
      </c>
      <c r="M15" s="85">
        <f t="shared" si="2"/>
        <v>0</v>
      </c>
      <c r="N15" s="83">
        <f>SUM(N16:N17)</f>
        <v>0</v>
      </c>
      <c r="O15" s="86">
        <f>SUM(O16:O17)</f>
        <v>0</v>
      </c>
      <c r="P15" s="86">
        <f>SUM(P16:P17)</f>
        <v>0</v>
      </c>
      <c r="Q15" s="85">
        <f t="shared" si="3"/>
        <v>0</v>
      </c>
      <c r="R15" s="83">
        <f>SUM(R16:R17)</f>
        <v>0</v>
      </c>
      <c r="S15" s="86">
        <f>SUM(S16:S17)</f>
        <v>0</v>
      </c>
      <c r="T15" s="86">
        <f>SUM(T16:T17)</f>
        <v>0</v>
      </c>
      <c r="U15" s="85">
        <f t="shared" si="4"/>
        <v>0</v>
      </c>
      <c r="V15" s="83">
        <f>SUM(V16:V17)</f>
        <v>0</v>
      </c>
      <c r="W15" s="86">
        <f>SUM(W16:W17)</f>
        <v>0</v>
      </c>
      <c r="X15" s="86">
        <f>SUM(X16:X17)</f>
        <v>0</v>
      </c>
      <c r="Y15" s="85">
        <f t="shared" si="5"/>
        <v>0</v>
      </c>
      <c r="Z15" s="83">
        <f>SUM(Z16:Z17)</f>
        <v>0</v>
      </c>
      <c r="AA15" s="86">
        <f>SUM(AA16:AA17)</f>
        <v>0</v>
      </c>
      <c r="AB15" s="86">
        <f>SUM(AB16:AB17)</f>
        <v>0</v>
      </c>
      <c r="AC15" s="85">
        <f t="shared" si="6"/>
        <v>0</v>
      </c>
      <c r="AD15" s="83">
        <f>SUM(AD16:AD17)</f>
        <v>0</v>
      </c>
      <c r="AE15" s="86">
        <f>SUM(AE16:AE17)</f>
        <v>0</v>
      </c>
      <c r="AF15" s="86">
        <f>SUM(AF16:AF17)</f>
        <v>0</v>
      </c>
      <c r="AG15" s="85">
        <f t="shared" si="7"/>
        <v>0</v>
      </c>
      <c r="AH15" s="83">
        <f>SUM(AH16:AH17)</f>
        <v>0</v>
      </c>
      <c r="AI15" s="86">
        <f>SUM(AI16:AI17)</f>
        <v>0</v>
      </c>
      <c r="AJ15" s="86">
        <f>SUM(AJ16:AJ17)</f>
        <v>0</v>
      </c>
      <c r="AK15" s="85">
        <f t="shared" si="8"/>
        <v>0</v>
      </c>
      <c r="AL15" s="83">
        <f>SUM(AL16:AL17)</f>
        <v>0</v>
      </c>
      <c r="AM15" s="86">
        <f>SUM(AM16:AM17)</f>
        <v>0</v>
      </c>
      <c r="AN15" s="86">
        <f>SUM(AN16:AN17)</f>
        <v>0</v>
      </c>
      <c r="AO15" s="85">
        <f t="shared" si="9"/>
        <v>0</v>
      </c>
      <c r="AP15" s="83">
        <f>SUM(AP16:AP17)</f>
        <v>0</v>
      </c>
      <c r="AQ15" s="86">
        <f>SUM(AQ16:AQ17)</f>
        <v>0</v>
      </c>
      <c r="AR15" s="86">
        <f>SUM(AR16:AR17)</f>
        <v>0</v>
      </c>
      <c r="AS15" s="85">
        <f t="shared" si="10"/>
        <v>0</v>
      </c>
      <c r="AT15" s="83">
        <f>SUM(AT16:AT17)</f>
        <v>0</v>
      </c>
      <c r="AU15" s="86">
        <f>SUM(AU16:AU17)</f>
        <v>0</v>
      </c>
      <c r="AV15" s="86">
        <f>SUM(AV16:AV17)</f>
        <v>0</v>
      </c>
      <c r="AW15" s="85">
        <f t="shared" si="11"/>
        <v>0</v>
      </c>
      <c r="AX15" s="83">
        <f>SUM(AX16:AX17)</f>
        <v>0</v>
      </c>
      <c r="AY15" s="86">
        <f>SUM(AY16:AY17)</f>
        <v>0</v>
      </c>
      <c r="AZ15" s="86">
        <f>SUM(AZ16:AZ17)</f>
        <v>0</v>
      </c>
      <c r="BA15" s="85">
        <f t="shared" si="12"/>
        <v>0</v>
      </c>
      <c r="BB15" s="87">
        <f t="shared" si="13"/>
        <v>0</v>
      </c>
      <c r="BC15" s="88">
        <f t="shared" si="13"/>
        <v>0</v>
      </c>
      <c r="BD15" s="88">
        <f t="shared" si="13"/>
        <v>0</v>
      </c>
      <c r="BE15" s="89">
        <f t="shared" si="14"/>
        <v>0</v>
      </c>
      <c r="BF15" s="156">
        <f>SUM(BF16:BF17)</f>
        <v>0</v>
      </c>
      <c r="BG15" s="84">
        <f>SUM(BG16:BG17)</f>
        <v>0</v>
      </c>
      <c r="BH15" s="84">
        <f>SUM(BH16:BH17)</f>
        <v>0</v>
      </c>
      <c r="BI15" s="85">
        <f t="shared" si="15"/>
        <v>0</v>
      </c>
      <c r="BJ15" s="156">
        <f>SUM(BJ16:BJ17)</f>
        <v>0</v>
      </c>
      <c r="BK15" s="84">
        <f>SUM(BK16:BK17)</f>
        <v>0</v>
      </c>
      <c r="BL15" s="84">
        <f>SUM(BL16:BL17)</f>
        <v>0</v>
      </c>
      <c r="BM15" s="85">
        <f t="shared" si="16"/>
        <v>0</v>
      </c>
      <c r="BN15" s="156">
        <f>SUM(BN16:BN17)</f>
        <v>0</v>
      </c>
      <c r="BO15" s="84">
        <f>SUM(BO16:BO17)</f>
        <v>0</v>
      </c>
      <c r="BP15" s="84">
        <f>SUM(BP16:BP17)</f>
        <v>0</v>
      </c>
      <c r="BQ15" s="85">
        <f t="shared" si="17"/>
        <v>0</v>
      </c>
      <c r="BR15" s="90">
        <f t="shared" si="18"/>
        <v>0</v>
      </c>
      <c r="BS15" s="91">
        <f t="shared" si="18"/>
        <v>0</v>
      </c>
      <c r="BT15" s="91">
        <f t="shared" si="18"/>
        <v>0</v>
      </c>
      <c r="BU15" s="92">
        <f t="shared" si="19"/>
        <v>0</v>
      </c>
      <c r="BV15" s="70">
        <f>SUM(BV16:BV17)</f>
        <v>0</v>
      </c>
      <c r="BW15" s="81">
        <f>SUM(BW16:BW17)</f>
        <v>0</v>
      </c>
      <c r="BX15" s="81">
        <f>SUM(BX16:BX17)</f>
        <v>0</v>
      </c>
      <c r="BY15" s="71">
        <f t="shared" si="20"/>
        <v>0</v>
      </c>
      <c r="BZ15" s="83">
        <f>SUM(BZ16:BZ17)</f>
        <v>12720149</v>
      </c>
      <c r="CA15" s="93">
        <f>SUM(CA16:CA17)</f>
        <v>12720149</v>
      </c>
      <c r="CB15" s="93">
        <f>SUM(CB16:CB17)</f>
        <v>27595267</v>
      </c>
      <c r="CC15" s="72">
        <f t="shared" si="21"/>
        <v>14875118</v>
      </c>
      <c r="CD15" s="73">
        <f>SUM(CD16:CD17)</f>
        <v>12720149</v>
      </c>
      <c r="CE15" s="74">
        <f>SUM(CE16:CE17)</f>
        <v>12720149</v>
      </c>
      <c r="CF15" s="74">
        <f>SUM(CF16:CF17)</f>
        <v>27595267</v>
      </c>
      <c r="CG15" s="71">
        <f t="shared" si="22"/>
        <v>14875118</v>
      </c>
      <c r="CH15" s="94">
        <f>SUM(CH16:CH17)</f>
        <v>12720149</v>
      </c>
      <c r="CI15" s="94">
        <f>SUM(CI16:CI17)</f>
        <v>12720149</v>
      </c>
      <c r="CJ15" s="94">
        <f>SUM(CJ16:CJ17)</f>
        <v>27595267</v>
      </c>
      <c r="CK15" s="94">
        <f t="shared" si="23"/>
        <v>14875118</v>
      </c>
      <c r="CL15" s="95">
        <f>SUM(CL16:CL17)</f>
        <v>8218000</v>
      </c>
      <c r="CM15" s="96">
        <f>SUM(CM16:CM17)</f>
        <v>8218000</v>
      </c>
      <c r="CN15" s="96">
        <f>SUM(CN16:CN17)</f>
        <v>8218000</v>
      </c>
      <c r="CO15" s="97">
        <f t="shared" si="24"/>
        <v>0</v>
      </c>
      <c r="CP15" s="98">
        <f t="shared" ref="CP15:CW15" si="36">SUM(CP16:CP17)</f>
        <v>5139</v>
      </c>
      <c r="CQ15" s="96">
        <f t="shared" si="36"/>
        <v>5139</v>
      </c>
      <c r="CR15" s="96">
        <f t="shared" si="36"/>
        <v>5139</v>
      </c>
      <c r="CS15" s="97">
        <f t="shared" si="36"/>
        <v>0</v>
      </c>
      <c r="CT15" s="95">
        <f t="shared" si="36"/>
        <v>0</v>
      </c>
      <c r="CU15" s="96">
        <f t="shared" si="36"/>
        <v>0</v>
      </c>
      <c r="CV15" s="96">
        <f t="shared" si="36"/>
        <v>0</v>
      </c>
      <c r="CW15" s="97">
        <f t="shared" si="36"/>
        <v>0</v>
      </c>
      <c r="CX15" s="58"/>
      <c r="CY15" s="58">
        <f t="shared" si="26"/>
        <v>8223139</v>
      </c>
    </row>
    <row r="16" spans="1:103" s="1" customFormat="1" ht="26.25" x14ac:dyDescent="0.25">
      <c r="A16" s="157" t="s">
        <v>43</v>
      </c>
      <c r="B16" s="60"/>
      <c r="C16" s="61"/>
      <c r="D16" s="61"/>
      <c r="E16" s="62">
        <f t="shared" si="0"/>
        <v>0</v>
      </c>
      <c r="F16" s="63"/>
      <c r="G16" s="61"/>
      <c r="H16" s="61"/>
      <c r="I16" s="62">
        <f t="shared" si="1"/>
        <v>0</v>
      </c>
      <c r="J16" s="61"/>
      <c r="K16" s="61"/>
      <c r="L16" s="61"/>
      <c r="M16" s="62">
        <f t="shared" si="2"/>
        <v>0</v>
      </c>
      <c r="N16" s="60"/>
      <c r="O16" s="63"/>
      <c r="P16" s="63"/>
      <c r="Q16" s="62">
        <f t="shared" si="3"/>
        <v>0</v>
      </c>
      <c r="R16" s="60"/>
      <c r="S16" s="63"/>
      <c r="T16" s="63"/>
      <c r="U16" s="62">
        <f t="shared" si="4"/>
        <v>0</v>
      </c>
      <c r="V16" s="60"/>
      <c r="W16" s="63"/>
      <c r="X16" s="63"/>
      <c r="Y16" s="62">
        <f t="shared" si="5"/>
        <v>0</v>
      </c>
      <c r="Z16" s="60"/>
      <c r="AA16" s="63"/>
      <c r="AB16" s="63"/>
      <c r="AC16" s="62">
        <f t="shared" si="6"/>
        <v>0</v>
      </c>
      <c r="AD16" s="60"/>
      <c r="AE16" s="63"/>
      <c r="AF16" s="63"/>
      <c r="AG16" s="62">
        <f t="shared" si="7"/>
        <v>0</v>
      </c>
      <c r="AH16" s="60"/>
      <c r="AI16" s="63"/>
      <c r="AJ16" s="63"/>
      <c r="AK16" s="62">
        <f t="shared" si="8"/>
        <v>0</v>
      </c>
      <c r="AL16" s="60"/>
      <c r="AM16" s="63"/>
      <c r="AN16" s="63"/>
      <c r="AO16" s="62">
        <f t="shared" si="9"/>
        <v>0</v>
      </c>
      <c r="AP16" s="60"/>
      <c r="AQ16" s="63"/>
      <c r="AR16" s="63"/>
      <c r="AS16" s="62">
        <f t="shared" si="10"/>
        <v>0</v>
      </c>
      <c r="AT16" s="60"/>
      <c r="AU16" s="63"/>
      <c r="AV16" s="63"/>
      <c r="AW16" s="62">
        <f t="shared" si="11"/>
        <v>0</v>
      </c>
      <c r="AX16" s="60"/>
      <c r="AY16" s="63"/>
      <c r="AZ16" s="63"/>
      <c r="BA16" s="62">
        <f t="shared" si="12"/>
        <v>0</v>
      </c>
      <c r="BB16" s="64">
        <f t="shared" si="13"/>
        <v>0</v>
      </c>
      <c r="BC16" s="65">
        <f t="shared" si="13"/>
        <v>0</v>
      </c>
      <c r="BD16" s="65">
        <f t="shared" si="13"/>
        <v>0</v>
      </c>
      <c r="BE16" s="66">
        <f t="shared" si="14"/>
        <v>0</v>
      </c>
      <c r="BF16" s="60"/>
      <c r="BG16" s="63"/>
      <c r="BH16" s="63"/>
      <c r="BI16" s="62">
        <f t="shared" si="15"/>
        <v>0</v>
      </c>
      <c r="BJ16" s="60"/>
      <c r="BK16" s="63"/>
      <c r="BL16" s="63"/>
      <c r="BM16" s="62">
        <f t="shared" si="16"/>
        <v>0</v>
      </c>
      <c r="BN16" s="60"/>
      <c r="BO16" s="63"/>
      <c r="BP16" s="63"/>
      <c r="BQ16" s="62">
        <f t="shared" si="17"/>
        <v>0</v>
      </c>
      <c r="BR16" s="67">
        <f t="shared" si="18"/>
        <v>0</v>
      </c>
      <c r="BS16" s="68">
        <f t="shared" si="18"/>
        <v>0</v>
      </c>
      <c r="BT16" s="68">
        <f t="shared" si="18"/>
        <v>0</v>
      </c>
      <c r="BU16" s="69">
        <f t="shared" si="19"/>
        <v>0</v>
      </c>
      <c r="BV16" s="70">
        <f t="shared" ref="BV16:BX17" si="37">B16+F16+J16+N16+R16+BR16+BB16</f>
        <v>0</v>
      </c>
      <c r="BW16" s="81">
        <f t="shared" si="37"/>
        <v>0</v>
      </c>
      <c r="BX16" s="81">
        <f t="shared" si="37"/>
        <v>0</v>
      </c>
      <c r="BY16" s="71">
        <f t="shared" si="20"/>
        <v>0</v>
      </c>
      <c r="BZ16" s="60">
        <v>12720149</v>
      </c>
      <c r="CA16" s="61">
        <v>12720149</v>
      </c>
      <c r="CB16" s="61">
        <v>12720149</v>
      </c>
      <c r="CC16" s="72">
        <f t="shared" si="21"/>
        <v>0</v>
      </c>
      <c r="CD16" s="73">
        <f t="shared" ref="CD16:CF17" si="38">BZ16+BV16</f>
        <v>12720149</v>
      </c>
      <c r="CE16" s="74">
        <f t="shared" si="38"/>
        <v>12720149</v>
      </c>
      <c r="CF16" s="74">
        <f t="shared" si="38"/>
        <v>12720149</v>
      </c>
      <c r="CG16" s="71">
        <f t="shared" si="22"/>
        <v>0</v>
      </c>
      <c r="CH16" s="75">
        <f t="shared" ref="CH16:CJ17" si="39">CD16</f>
        <v>12720149</v>
      </c>
      <c r="CI16" s="75">
        <f t="shared" si="39"/>
        <v>12720149</v>
      </c>
      <c r="CJ16" s="75">
        <f t="shared" si="39"/>
        <v>12720149</v>
      </c>
      <c r="CK16" s="75">
        <f t="shared" si="23"/>
        <v>0</v>
      </c>
      <c r="CL16" s="76">
        <v>8218000</v>
      </c>
      <c r="CM16" s="77">
        <v>8218000</v>
      </c>
      <c r="CN16" s="77">
        <v>8218000</v>
      </c>
      <c r="CO16" s="78">
        <f t="shared" si="24"/>
        <v>0</v>
      </c>
      <c r="CP16" s="79">
        <v>5139</v>
      </c>
      <c r="CQ16" s="77">
        <f>CP16</f>
        <v>5139</v>
      </c>
      <c r="CR16" s="77">
        <f>CQ16</f>
        <v>5139</v>
      </c>
      <c r="CS16" s="78">
        <f>CQ16-CP16</f>
        <v>0</v>
      </c>
      <c r="CT16" s="76"/>
      <c r="CU16" s="77">
        <f>CT16</f>
        <v>0</v>
      </c>
      <c r="CV16" s="77">
        <f>CU16</f>
        <v>0</v>
      </c>
      <c r="CW16" s="78">
        <f>CU16-CT16</f>
        <v>0</v>
      </c>
      <c r="CX16" s="80"/>
      <c r="CY16" s="58">
        <f t="shared" si="26"/>
        <v>8223139</v>
      </c>
    </row>
    <row r="17" spans="1:103" s="1" customFormat="1" ht="14.25" thickBot="1" x14ac:dyDescent="0.3">
      <c r="A17" s="157" t="s">
        <v>44</v>
      </c>
      <c r="B17" s="158"/>
      <c r="C17" s="159"/>
      <c r="D17" s="159"/>
      <c r="E17" s="160">
        <f t="shared" si="0"/>
        <v>0</v>
      </c>
      <c r="F17" s="161">
        <v>0</v>
      </c>
      <c r="G17" s="159">
        <v>0</v>
      </c>
      <c r="H17" s="159">
        <v>0</v>
      </c>
      <c r="I17" s="160">
        <f t="shared" si="1"/>
        <v>0</v>
      </c>
      <c r="J17" s="159"/>
      <c r="K17" s="159"/>
      <c r="L17" s="159"/>
      <c r="M17" s="160">
        <f t="shared" si="2"/>
        <v>0</v>
      </c>
      <c r="N17" s="158"/>
      <c r="O17" s="161"/>
      <c r="P17" s="161"/>
      <c r="Q17" s="160">
        <f t="shared" si="3"/>
        <v>0</v>
      </c>
      <c r="R17" s="158"/>
      <c r="S17" s="161"/>
      <c r="T17" s="161"/>
      <c r="U17" s="160">
        <f t="shared" si="4"/>
        <v>0</v>
      </c>
      <c r="V17" s="158"/>
      <c r="W17" s="161"/>
      <c r="X17" s="161"/>
      <c r="Y17" s="160">
        <f t="shared" si="5"/>
        <v>0</v>
      </c>
      <c r="Z17" s="158"/>
      <c r="AA17" s="161"/>
      <c r="AB17" s="161"/>
      <c r="AC17" s="160">
        <f t="shared" si="6"/>
        <v>0</v>
      </c>
      <c r="AD17" s="158"/>
      <c r="AE17" s="161"/>
      <c r="AF17" s="161"/>
      <c r="AG17" s="160">
        <f t="shared" si="7"/>
        <v>0</v>
      </c>
      <c r="AH17" s="158"/>
      <c r="AI17" s="161"/>
      <c r="AJ17" s="161"/>
      <c r="AK17" s="160">
        <f t="shared" si="8"/>
        <v>0</v>
      </c>
      <c r="AL17" s="158"/>
      <c r="AM17" s="161"/>
      <c r="AN17" s="161"/>
      <c r="AO17" s="160">
        <f t="shared" si="9"/>
        <v>0</v>
      </c>
      <c r="AP17" s="158"/>
      <c r="AQ17" s="161"/>
      <c r="AR17" s="161"/>
      <c r="AS17" s="160">
        <f t="shared" si="10"/>
        <v>0</v>
      </c>
      <c r="AT17" s="158"/>
      <c r="AU17" s="161"/>
      <c r="AV17" s="161"/>
      <c r="AW17" s="160">
        <f t="shared" si="11"/>
        <v>0</v>
      </c>
      <c r="AX17" s="158"/>
      <c r="AY17" s="161"/>
      <c r="AZ17" s="161"/>
      <c r="BA17" s="160">
        <f t="shared" si="12"/>
        <v>0</v>
      </c>
      <c r="BB17" s="162">
        <f t="shared" si="13"/>
        <v>0</v>
      </c>
      <c r="BC17" s="163">
        <f t="shared" si="13"/>
        <v>0</v>
      </c>
      <c r="BD17" s="163">
        <f t="shared" si="13"/>
        <v>0</v>
      </c>
      <c r="BE17" s="164">
        <f t="shared" si="14"/>
        <v>0</v>
      </c>
      <c r="BF17" s="158"/>
      <c r="BG17" s="161"/>
      <c r="BH17" s="161"/>
      <c r="BI17" s="160">
        <f t="shared" si="15"/>
        <v>0</v>
      </c>
      <c r="BJ17" s="158"/>
      <c r="BK17" s="161"/>
      <c r="BL17" s="161"/>
      <c r="BM17" s="160">
        <f t="shared" si="16"/>
        <v>0</v>
      </c>
      <c r="BN17" s="158"/>
      <c r="BO17" s="161"/>
      <c r="BP17" s="161"/>
      <c r="BQ17" s="160">
        <f t="shared" si="17"/>
        <v>0</v>
      </c>
      <c r="BR17" s="165">
        <f t="shared" si="18"/>
        <v>0</v>
      </c>
      <c r="BS17" s="166">
        <f t="shared" si="18"/>
        <v>0</v>
      </c>
      <c r="BT17" s="166">
        <f t="shared" si="18"/>
        <v>0</v>
      </c>
      <c r="BU17" s="167">
        <f t="shared" si="19"/>
        <v>0</v>
      </c>
      <c r="BV17" s="70">
        <f t="shared" si="37"/>
        <v>0</v>
      </c>
      <c r="BW17" s="110">
        <f t="shared" si="37"/>
        <v>0</v>
      </c>
      <c r="BX17" s="110">
        <f t="shared" si="37"/>
        <v>0</v>
      </c>
      <c r="BY17" s="111">
        <f t="shared" si="20"/>
        <v>0</v>
      </c>
      <c r="BZ17" s="158">
        <v>0</v>
      </c>
      <c r="CA17" s="159">
        <v>0</v>
      </c>
      <c r="CB17" s="159">
        <v>14875118</v>
      </c>
      <c r="CC17" s="113">
        <f t="shared" si="21"/>
        <v>14875118</v>
      </c>
      <c r="CD17" s="114">
        <f t="shared" si="38"/>
        <v>0</v>
      </c>
      <c r="CE17" s="115">
        <f t="shared" si="38"/>
        <v>0</v>
      </c>
      <c r="CF17" s="115">
        <f t="shared" si="38"/>
        <v>14875118</v>
      </c>
      <c r="CG17" s="111">
        <f t="shared" si="22"/>
        <v>14875118</v>
      </c>
      <c r="CH17" s="168">
        <f t="shared" si="39"/>
        <v>0</v>
      </c>
      <c r="CI17" s="168">
        <f t="shared" si="39"/>
        <v>0</v>
      </c>
      <c r="CJ17" s="168">
        <f t="shared" si="39"/>
        <v>14875118</v>
      </c>
      <c r="CK17" s="168">
        <f t="shared" si="23"/>
        <v>14875118</v>
      </c>
      <c r="CL17" s="169"/>
      <c r="CM17" s="170">
        <f>CL17</f>
        <v>0</v>
      </c>
      <c r="CN17" s="170">
        <f>CM17</f>
        <v>0</v>
      </c>
      <c r="CO17" s="171">
        <f t="shared" si="24"/>
        <v>0</v>
      </c>
      <c r="CP17" s="172"/>
      <c r="CQ17" s="170">
        <f>CP17</f>
        <v>0</v>
      </c>
      <c r="CR17" s="170">
        <f>CQ17</f>
        <v>0</v>
      </c>
      <c r="CS17" s="171">
        <f>CQ17-CP17</f>
        <v>0</v>
      </c>
      <c r="CT17" s="169"/>
      <c r="CU17" s="170">
        <f>CT17</f>
        <v>0</v>
      </c>
      <c r="CV17" s="170">
        <f>CU17</f>
        <v>0</v>
      </c>
      <c r="CW17" s="171">
        <f>CU17-CT17</f>
        <v>0</v>
      </c>
      <c r="CX17" s="80"/>
      <c r="CY17" s="58">
        <f t="shared" si="26"/>
        <v>0</v>
      </c>
    </row>
    <row r="18" spans="1:103" s="2" customFormat="1" ht="14.25" customHeight="1" thickBot="1" x14ac:dyDescent="0.3">
      <c r="A18" s="121" t="s">
        <v>24</v>
      </c>
      <c r="B18" s="122">
        <f>B15+B14+B12</f>
        <v>0</v>
      </c>
      <c r="C18" s="122">
        <f>C15+C14+C12</f>
        <v>0</v>
      </c>
      <c r="D18" s="122">
        <f>D15+D14+D12</f>
        <v>0</v>
      </c>
      <c r="E18" s="123">
        <f t="shared" si="0"/>
        <v>0</v>
      </c>
      <c r="F18" s="124">
        <f>F15+F14+F12</f>
        <v>1478181</v>
      </c>
      <c r="G18" s="125">
        <f>G15+G14+G12</f>
        <v>1478181</v>
      </c>
      <c r="H18" s="125">
        <f>H15+H14+H12</f>
        <v>1478181</v>
      </c>
      <c r="I18" s="123">
        <f t="shared" si="1"/>
        <v>0</v>
      </c>
      <c r="J18" s="125">
        <f>J15+J14+J12</f>
        <v>0</v>
      </c>
      <c r="K18" s="125">
        <f>K15+K14+K12</f>
        <v>0</v>
      </c>
      <c r="L18" s="125">
        <f>L15+L14+L12</f>
        <v>0</v>
      </c>
      <c r="M18" s="123">
        <f t="shared" si="2"/>
        <v>0</v>
      </c>
      <c r="N18" s="122">
        <f>N15+N14+N12</f>
        <v>0</v>
      </c>
      <c r="O18" s="124">
        <f>O15+O14+O12</f>
        <v>0</v>
      </c>
      <c r="P18" s="124">
        <f>P15+P14+P12</f>
        <v>0</v>
      </c>
      <c r="Q18" s="123">
        <f t="shared" si="3"/>
        <v>0</v>
      </c>
      <c r="R18" s="122">
        <f>R15+R14+R12</f>
        <v>0</v>
      </c>
      <c r="S18" s="124">
        <f>S15+S14+S12</f>
        <v>0</v>
      </c>
      <c r="T18" s="124">
        <f>T15+T14+T12</f>
        <v>0</v>
      </c>
      <c r="U18" s="123">
        <f t="shared" si="4"/>
        <v>0</v>
      </c>
      <c r="V18" s="122">
        <f>V15+V14+V12</f>
        <v>0</v>
      </c>
      <c r="W18" s="124">
        <f>W15+W14+W12</f>
        <v>0</v>
      </c>
      <c r="X18" s="124">
        <f>X15+X14+X12</f>
        <v>0</v>
      </c>
      <c r="Y18" s="123">
        <f t="shared" si="5"/>
        <v>0</v>
      </c>
      <c r="Z18" s="122">
        <f>Z15+Z14+Z12</f>
        <v>0</v>
      </c>
      <c r="AA18" s="124">
        <f>AA15+AA14+AA12</f>
        <v>0</v>
      </c>
      <c r="AB18" s="124">
        <f>AB15+AB14+AB12</f>
        <v>0</v>
      </c>
      <c r="AC18" s="123">
        <f t="shared" si="6"/>
        <v>0</v>
      </c>
      <c r="AD18" s="122">
        <f>AD15+AD14+AD12</f>
        <v>0</v>
      </c>
      <c r="AE18" s="124">
        <f>AE15+AE14+AE12</f>
        <v>0</v>
      </c>
      <c r="AF18" s="124">
        <f>AF15+AF14+AF12</f>
        <v>0</v>
      </c>
      <c r="AG18" s="123">
        <f t="shared" si="7"/>
        <v>0</v>
      </c>
      <c r="AH18" s="122">
        <f>AH15+AH14+AH12</f>
        <v>0</v>
      </c>
      <c r="AI18" s="124">
        <f>AI15+AI14+AI12</f>
        <v>0</v>
      </c>
      <c r="AJ18" s="124">
        <f>AJ15+AJ14+AJ12</f>
        <v>0</v>
      </c>
      <c r="AK18" s="123">
        <f t="shared" si="8"/>
        <v>0</v>
      </c>
      <c r="AL18" s="122">
        <f>AL15+AL14+AL12</f>
        <v>0</v>
      </c>
      <c r="AM18" s="124">
        <f>AM15+AM14+AM12</f>
        <v>0</v>
      </c>
      <c r="AN18" s="124">
        <f>AN15+AN14+AN12</f>
        <v>0</v>
      </c>
      <c r="AO18" s="123">
        <f t="shared" si="9"/>
        <v>0</v>
      </c>
      <c r="AP18" s="122">
        <f>AP15+AP14+AP12</f>
        <v>0</v>
      </c>
      <c r="AQ18" s="124">
        <f>AQ15+AQ14+AQ12</f>
        <v>0</v>
      </c>
      <c r="AR18" s="124">
        <f>AR15+AR14+AR12</f>
        <v>0</v>
      </c>
      <c r="AS18" s="123">
        <f t="shared" si="10"/>
        <v>0</v>
      </c>
      <c r="AT18" s="122">
        <f>AT15+AT14+AT12</f>
        <v>0</v>
      </c>
      <c r="AU18" s="124">
        <f>AU15+AU14+AU12</f>
        <v>0</v>
      </c>
      <c r="AV18" s="124">
        <f>AV15+AV14+AV12</f>
        <v>0</v>
      </c>
      <c r="AW18" s="123">
        <f t="shared" si="11"/>
        <v>0</v>
      </c>
      <c r="AX18" s="122">
        <f>AX15+AX14+AX12</f>
        <v>0</v>
      </c>
      <c r="AY18" s="124">
        <f>AY15+AY14+AY12</f>
        <v>0</v>
      </c>
      <c r="AZ18" s="124">
        <f>AZ15+AZ14+AZ12</f>
        <v>0</v>
      </c>
      <c r="BA18" s="123">
        <f t="shared" si="12"/>
        <v>0</v>
      </c>
      <c r="BB18" s="126">
        <f t="shared" si="13"/>
        <v>0</v>
      </c>
      <c r="BC18" s="127">
        <f t="shared" si="13"/>
        <v>0</v>
      </c>
      <c r="BD18" s="127">
        <f t="shared" si="13"/>
        <v>0</v>
      </c>
      <c r="BE18" s="128">
        <f t="shared" si="14"/>
        <v>0</v>
      </c>
      <c r="BF18" s="122">
        <f>BF15+BF14+BF12</f>
        <v>0</v>
      </c>
      <c r="BG18" s="124">
        <f>BG15+BG14+BG12</f>
        <v>0</v>
      </c>
      <c r="BH18" s="124">
        <f>BH15+BH14+BH12</f>
        <v>0</v>
      </c>
      <c r="BI18" s="123">
        <f t="shared" si="15"/>
        <v>0</v>
      </c>
      <c r="BJ18" s="122">
        <f>BJ15+BJ14+BJ12</f>
        <v>0</v>
      </c>
      <c r="BK18" s="124">
        <f>BK15+BK14+BK12</f>
        <v>0</v>
      </c>
      <c r="BL18" s="124">
        <f>BL15+BL14+BL12</f>
        <v>0</v>
      </c>
      <c r="BM18" s="123">
        <f t="shared" si="16"/>
        <v>0</v>
      </c>
      <c r="BN18" s="122">
        <f>BN15+BN14+BN12</f>
        <v>0</v>
      </c>
      <c r="BO18" s="124">
        <f>BO15+BO14+BO12</f>
        <v>0</v>
      </c>
      <c r="BP18" s="124">
        <f>BP15+BP14+BP12</f>
        <v>0</v>
      </c>
      <c r="BQ18" s="123">
        <f t="shared" si="17"/>
        <v>0</v>
      </c>
      <c r="BR18" s="129">
        <f t="shared" si="18"/>
        <v>0</v>
      </c>
      <c r="BS18" s="130">
        <f t="shared" si="18"/>
        <v>0</v>
      </c>
      <c r="BT18" s="130">
        <f t="shared" si="18"/>
        <v>0</v>
      </c>
      <c r="BU18" s="131">
        <f t="shared" si="19"/>
        <v>0</v>
      </c>
      <c r="BV18" s="132">
        <f>BV15+BV14+BV12</f>
        <v>1478181</v>
      </c>
      <c r="BW18" s="133">
        <f>BW15+BW14+BW12</f>
        <v>1478181</v>
      </c>
      <c r="BX18" s="133">
        <f>BX15+BX14+BX12</f>
        <v>1478181</v>
      </c>
      <c r="BY18" s="134">
        <f t="shared" si="20"/>
        <v>0</v>
      </c>
      <c r="BZ18" s="122">
        <f>BZ15+BZ14+BZ12</f>
        <v>685286219</v>
      </c>
      <c r="CA18" s="135">
        <f>CA15+CA14+CA12</f>
        <v>716579262</v>
      </c>
      <c r="CB18" s="135">
        <f>CB15+CB14+CB12</f>
        <v>866799987</v>
      </c>
      <c r="CC18" s="136">
        <f t="shared" si="21"/>
        <v>150220725</v>
      </c>
      <c r="CD18" s="137">
        <f>CD15+CD14+CD12</f>
        <v>686764400</v>
      </c>
      <c r="CE18" s="135">
        <f>CE15+CE14+CE12</f>
        <v>718057443</v>
      </c>
      <c r="CF18" s="135">
        <f>CF15+CF14+CF12</f>
        <v>868278168</v>
      </c>
      <c r="CG18" s="136">
        <f t="shared" si="22"/>
        <v>150220725</v>
      </c>
      <c r="CH18" s="138">
        <f>CH15+CH14+CH12</f>
        <v>686764400</v>
      </c>
      <c r="CI18" s="138">
        <f>CI15+CI14+CI12</f>
        <v>718057443</v>
      </c>
      <c r="CJ18" s="138">
        <f>CJ15+CJ14+CJ12</f>
        <v>868278168</v>
      </c>
      <c r="CK18" s="138">
        <f t="shared" si="23"/>
        <v>150220725</v>
      </c>
      <c r="CL18" s="139">
        <f>CL15+CL14+CL12</f>
        <v>95567293</v>
      </c>
      <c r="CM18" s="140">
        <f>CM15+CM14+CM12</f>
        <v>96238404</v>
      </c>
      <c r="CN18" s="140">
        <f>CN15+CN14+CN12</f>
        <v>96909515</v>
      </c>
      <c r="CO18" s="141">
        <f t="shared" si="24"/>
        <v>671111</v>
      </c>
      <c r="CP18" s="142">
        <f t="shared" ref="CP18:CW18" si="40">CP15+CP14+CP12</f>
        <v>25379</v>
      </c>
      <c r="CQ18" s="140">
        <f t="shared" si="40"/>
        <v>25379</v>
      </c>
      <c r="CR18" s="140">
        <f t="shared" si="40"/>
        <v>25379</v>
      </c>
      <c r="CS18" s="141">
        <f t="shared" si="40"/>
        <v>0</v>
      </c>
      <c r="CT18" s="139">
        <f t="shared" si="40"/>
        <v>0</v>
      </c>
      <c r="CU18" s="140">
        <f t="shared" si="40"/>
        <v>0</v>
      </c>
      <c r="CV18" s="140">
        <f t="shared" si="40"/>
        <v>0</v>
      </c>
      <c r="CW18" s="141">
        <f t="shared" si="40"/>
        <v>0</v>
      </c>
      <c r="CX18" s="143"/>
      <c r="CY18" s="58">
        <f t="shared" si="26"/>
        <v>96263783</v>
      </c>
    </row>
    <row r="19" spans="1:103" s="2" customFormat="1" ht="15.75" customHeight="1" thickBot="1" x14ac:dyDescent="0.3">
      <c r="A19" s="173" t="s">
        <v>22</v>
      </c>
      <c r="B19" s="122">
        <f>B18+B11</f>
        <v>1450000</v>
      </c>
      <c r="C19" s="122">
        <f>C18+C11</f>
        <v>1450000</v>
      </c>
      <c r="D19" s="122">
        <f>D18+D11</f>
        <v>25992462</v>
      </c>
      <c r="E19" s="123">
        <f t="shared" si="0"/>
        <v>24542462</v>
      </c>
      <c r="F19" s="174">
        <f>F18+F11</f>
        <v>106229228</v>
      </c>
      <c r="G19" s="125">
        <f>G18+G11</f>
        <v>104036428</v>
      </c>
      <c r="H19" s="125">
        <f>H18+H11</f>
        <v>154710242</v>
      </c>
      <c r="I19" s="123">
        <f t="shared" si="1"/>
        <v>50673814</v>
      </c>
      <c r="J19" s="175">
        <f>J18+J11</f>
        <v>3100000</v>
      </c>
      <c r="K19" s="125">
        <f>K18+K11</f>
        <v>2976030</v>
      </c>
      <c r="L19" s="125">
        <f>L18+L11</f>
        <v>4281978</v>
      </c>
      <c r="M19" s="123">
        <f t="shared" si="2"/>
        <v>1305948</v>
      </c>
      <c r="N19" s="176">
        <f>N18+N11</f>
        <v>2200000</v>
      </c>
      <c r="O19" s="124">
        <f>O18+O11</f>
        <v>1994433</v>
      </c>
      <c r="P19" s="124">
        <f>P18+P11</f>
        <v>2878594</v>
      </c>
      <c r="Q19" s="123">
        <f t="shared" si="3"/>
        <v>884161</v>
      </c>
      <c r="R19" s="176">
        <f>R18+R11</f>
        <v>101460000</v>
      </c>
      <c r="S19" s="124">
        <f>S18+S11</f>
        <v>100905000</v>
      </c>
      <c r="T19" s="124">
        <f>T18+T11</f>
        <v>100905000</v>
      </c>
      <c r="U19" s="123">
        <f t="shared" si="4"/>
        <v>0</v>
      </c>
      <c r="V19" s="176">
        <f>V18+V11</f>
        <v>400000</v>
      </c>
      <c r="W19" s="124">
        <f>W18+W11</f>
        <v>100000</v>
      </c>
      <c r="X19" s="124">
        <f>X18+X11</f>
        <v>4452134</v>
      </c>
      <c r="Y19" s="123">
        <f t="shared" si="5"/>
        <v>4352134</v>
      </c>
      <c r="Z19" s="176">
        <f>Z18+Z11</f>
        <v>0</v>
      </c>
      <c r="AA19" s="124">
        <f>AA18+AA11</f>
        <v>0</v>
      </c>
      <c r="AB19" s="124">
        <f>AB18+AB11</f>
        <v>0</v>
      </c>
      <c r="AC19" s="123">
        <f t="shared" si="6"/>
        <v>0</v>
      </c>
      <c r="AD19" s="176">
        <f>AD18+AD11</f>
        <v>436900</v>
      </c>
      <c r="AE19" s="124">
        <f>AE18+AE11</f>
        <v>136900</v>
      </c>
      <c r="AF19" s="124">
        <f>AF18+AF11</f>
        <v>136900</v>
      </c>
      <c r="AG19" s="123">
        <f t="shared" si="7"/>
        <v>0</v>
      </c>
      <c r="AH19" s="176">
        <f>AH18+AH11</f>
        <v>0</v>
      </c>
      <c r="AI19" s="124">
        <f>AI18+AI11</f>
        <v>88664</v>
      </c>
      <c r="AJ19" s="124">
        <f>AJ18+AJ11</f>
        <v>88664</v>
      </c>
      <c r="AK19" s="123">
        <f t="shared" si="8"/>
        <v>0</v>
      </c>
      <c r="AL19" s="176">
        <f>AL18+AL11</f>
        <v>0</v>
      </c>
      <c r="AM19" s="124">
        <f>AM18+AM11</f>
        <v>-9251</v>
      </c>
      <c r="AN19" s="124">
        <f>AN18+AN11</f>
        <v>-9251</v>
      </c>
      <c r="AO19" s="123">
        <f t="shared" si="9"/>
        <v>0</v>
      </c>
      <c r="AP19" s="176">
        <f>AP18+AP11</f>
        <v>0</v>
      </c>
      <c r="AQ19" s="124">
        <f>AQ18+AQ11</f>
        <v>0</v>
      </c>
      <c r="AR19" s="124">
        <f>AR18+AR11</f>
        <v>0</v>
      </c>
      <c r="AS19" s="123">
        <f t="shared" si="10"/>
        <v>0</v>
      </c>
      <c r="AT19" s="176">
        <f>AT18+AT11</f>
        <v>120000</v>
      </c>
      <c r="AU19" s="124">
        <f>AU18+AU11</f>
        <v>120000</v>
      </c>
      <c r="AV19" s="124">
        <f>AV18+AV11</f>
        <v>120000</v>
      </c>
      <c r="AW19" s="123">
        <f t="shared" si="11"/>
        <v>0</v>
      </c>
      <c r="AX19" s="176">
        <f>AX18+AX11</f>
        <v>70000</v>
      </c>
      <c r="AY19" s="124">
        <f>AY18+AY11</f>
        <v>70000</v>
      </c>
      <c r="AZ19" s="124">
        <f>AZ18+AZ11</f>
        <v>195089</v>
      </c>
      <c r="BA19" s="123">
        <f t="shared" si="12"/>
        <v>125089</v>
      </c>
      <c r="BB19" s="177">
        <f t="shared" si="13"/>
        <v>1026900</v>
      </c>
      <c r="BC19" s="127">
        <f t="shared" si="13"/>
        <v>506313</v>
      </c>
      <c r="BD19" s="127">
        <f t="shared" si="13"/>
        <v>4983536</v>
      </c>
      <c r="BE19" s="128">
        <f t="shared" si="14"/>
        <v>4477223</v>
      </c>
      <c r="BF19" s="176">
        <f>BF18+BF11</f>
        <v>700000</v>
      </c>
      <c r="BG19" s="124">
        <f>BG18+BG11</f>
        <v>638217</v>
      </c>
      <c r="BH19" s="124">
        <f>BH18+BH11</f>
        <v>823126</v>
      </c>
      <c r="BI19" s="123">
        <f t="shared" si="15"/>
        <v>184909</v>
      </c>
      <c r="BJ19" s="176">
        <f>BJ18+BJ11</f>
        <v>100000</v>
      </c>
      <c r="BK19" s="124">
        <f>BK18+BK11</f>
        <v>214572</v>
      </c>
      <c r="BL19" s="124">
        <f>BL18+BL11</f>
        <v>505225</v>
      </c>
      <c r="BM19" s="123">
        <f t="shared" si="16"/>
        <v>290653</v>
      </c>
      <c r="BN19" s="176">
        <f>BN18+BN11</f>
        <v>60000</v>
      </c>
      <c r="BO19" s="124">
        <f>BO18+BO11</f>
        <v>60000</v>
      </c>
      <c r="BP19" s="124">
        <f>BP18+BP11</f>
        <v>60000</v>
      </c>
      <c r="BQ19" s="123">
        <f t="shared" si="17"/>
        <v>0</v>
      </c>
      <c r="BR19" s="178">
        <f t="shared" si="18"/>
        <v>860000</v>
      </c>
      <c r="BS19" s="130">
        <f t="shared" si="18"/>
        <v>912789</v>
      </c>
      <c r="BT19" s="130">
        <f t="shared" si="18"/>
        <v>1388351</v>
      </c>
      <c r="BU19" s="131">
        <f t="shared" si="19"/>
        <v>475562</v>
      </c>
      <c r="BV19" s="179">
        <f>BV18+BV11</f>
        <v>216326128</v>
      </c>
      <c r="BW19" s="133">
        <f>BW18+BW11</f>
        <v>212780993</v>
      </c>
      <c r="BX19" s="133">
        <f>BX18+BX11</f>
        <v>295140163</v>
      </c>
      <c r="BY19" s="134">
        <f t="shared" si="20"/>
        <v>82359170</v>
      </c>
      <c r="BZ19" s="176">
        <f>BZ18+BZ11</f>
        <v>2563695556</v>
      </c>
      <c r="CA19" s="135">
        <f>CA18+CA11</f>
        <v>2472852194</v>
      </c>
      <c r="CB19" s="135">
        <f>CB18+CB11</f>
        <v>2677777116</v>
      </c>
      <c r="CC19" s="136">
        <f t="shared" si="21"/>
        <v>204924922</v>
      </c>
      <c r="CD19" s="180">
        <f>CD18+CD11</f>
        <v>2780021684</v>
      </c>
      <c r="CE19" s="135">
        <f>CE18+CE11</f>
        <v>2685553774</v>
      </c>
      <c r="CF19" s="135">
        <f>CF18+CF11</f>
        <v>2972917279</v>
      </c>
      <c r="CG19" s="136">
        <f t="shared" si="22"/>
        <v>287363505</v>
      </c>
      <c r="CH19" s="181">
        <f>CH18+CH11</f>
        <v>2780021684</v>
      </c>
      <c r="CI19" s="181">
        <f>CI18+CI11</f>
        <v>2685553774</v>
      </c>
      <c r="CJ19" s="181">
        <f>CJ18+CJ11</f>
        <v>2972917279</v>
      </c>
      <c r="CK19" s="181">
        <f t="shared" si="23"/>
        <v>287363505</v>
      </c>
      <c r="CL19" s="182">
        <f>CL18+CL11</f>
        <v>1632744583</v>
      </c>
      <c r="CM19" s="140">
        <f>CM18+CM11</f>
        <v>1694280694</v>
      </c>
      <c r="CN19" s="140">
        <f>CN18+CN11</f>
        <v>1694951805</v>
      </c>
      <c r="CO19" s="141">
        <f t="shared" si="24"/>
        <v>671111</v>
      </c>
      <c r="CP19" s="183">
        <f t="shared" ref="CP19:CW19" si="41">CP18+CP11</f>
        <v>137688</v>
      </c>
      <c r="CQ19" s="140">
        <f t="shared" si="41"/>
        <v>138788</v>
      </c>
      <c r="CR19" s="140">
        <f t="shared" si="41"/>
        <v>139888</v>
      </c>
      <c r="CS19" s="141">
        <f t="shared" si="41"/>
        <v>1100</v>
      </c>
      <c r="CT19" s="182">
        <f t="shared" si="41"/>
        <v>0</v>
      </c>
      <c r="CU19" s="140">
        <f t="shared" si="41"/>
        <v>0</v>
      </c>
      <c r="CV19" s="140">
        <f t="shared" si="41"/>
        <v>0</v>
      </c>
      <c r="CW19" s="141">
        <f t="shared" si="41"/>
        <v>0</v>
      </c>
      <c r="CX19" s="143"/>
      <c r="CY19" s="58">
        <f t="shared" si="26"/>
        <v>1694419482</v>
      </c>
    </row>
    <row r="20" spans="1:103" s="1" customFormat="1" ht="13.5" x14ac:dyDescent="0.25">
      <c r="A20" s="184" t="s">
        <v>14</v>
      </c>
      <c r="B20" s="185">
        <f>SUM(B21:B22)</f>
        <v>2662305</v>
      </c>
      <c r="C20" s="186">
        <f>SUM(C21:C22)</f>
        <v>2662305</v>
      </c>
      <c r="D20" s="186">
        <f>SUM(D21:D22)</f>
        <v>6840417</v>
      </c>
      <c r="E20" s="187">
        <f t="shared" si="0"/>
        <v>4178112</v>
      </c>
      <c r="F20" s="188">
        <f>SUM(F21:F22)</f>
        <v>41277028</v>
      </c>
      <c r="G20" s="186">
        <f>SUM(G21:G22)</f>
        <v>41277028</v>
      </c>
      <c r="H20" s="186">
        <f>SUM(H21:H22)</f>
        <v>54937649</v>
      </c>
      <c r="I20" s="187">
        <f t="shared" si="1"/>
        <v>13660621</v>
      </c>
      <c r="J20" s="186">
        <f>SUM(J21:J22)</f>
        <v>1400000</v>
      </c>
      <c r="K20" s="186">
        <f>SUM(K21:K22)</f>
        <v>1400000</v>
      </c>
      <c r="L20" s="186">
        <f>SUM(L21:L22)</f>
        <v>9921246</v>
      </c>
      <c r="M20" s="187">
        <f t="shared" si="2"/>
        <v>8521246</v>
      </c>
      <c r="N20" s="185">
        <f>SUM(N21:N22)</f>
        <v>0</v>
      </c>
      <c r="O20" s="188">
        <f>SUM(O21:O22)</f>
        <v>0</v>
      </c>
      <c r="P20" s="188">
        <f>SUM(P21:P22)</f>
        <v>20851045</v>
      </c>
      <c r="Q20" s="187">
        <f t="shared" si="3"/>
        <v>20851045</v>
      </c>
      <c r="R20" s="185">
        <f>SUM(R21:R22)</f>
        <v>0</v>
      </c>
      <c r="S20" s="188">
        <f>SUM(S21:S22)</f>
        <v>0</v>
      </c>
      <c r="T20" s="188">
        <f>SUM(T21:T22)</f>
        <v>19474386</v>
      </c>
      <c r="U20" s="187">
        <f t="shared" si="4"/>
        <v>19474386</v>
      </c>
      <c r="V20" s="185">
        <f>SUM(V21:V22)</f>
        <v>0</v>
      </c>
      <c r="W20" s="188">
        <f>SUM(W21:W22)</f>
        <v>0</v>
      </c>
      <c r="X20" s="188">
        <f>SUM(X21:X22)</f>
        <v>8358021</v>
      </c>
      <c r="Y20" s="187">
        <f t="shared" si="5"/>
        <v>8358021</v>
      </c>
      <c r="Z20" s="185">
        <f>SUM(Z21:Z22)</f>
        <v>0</v>
      </c>
      <c r="AA20" s="188">
        <f>SUM(AA21:AA22)</f>
        <v>0</v>
      </c>
      <c r="AB20" s="188">
        <f>SUM(AB21:AB22)</f>
        <v>1061599</v>
      </c>
      <c r="AC20" s="187">
        <f t="shared" si="6"/>
        <v>1061599</v>
      </c>
      <c r="AD20" s="185">
        <f>SUM(AD21:AD22)</f>
        <v>0</v>
      </c>
      <c r="AE20" s="188">
        <f>SUM(AE21:AE22)</f>
        <v>0</v>
      </c>
      <c r="AF20" s="188">
        <f>SUM(AF21:AF22)</f>
        <v>2815980</v>
      </c>
      <c r="AG20" s="187">
        <f t="shared" si="7"/>
        <v>2815980</v>
      </c>
      <c r="AH20" s="185">
        <f>SUM(AH21:AH22)</f>
        <v>0</v>
      </c>
      <c r="AI20" s="188">
        <f>SUM(AI21:AI22)</f>
        <v>0</v>
      </c>
      <c r="AJ20" s="188">
        <f>SUM(AJ21:AJ22)</f>
        <v>0</v>
      </c>
      <c r="AK20" s="187">
        <f t="shared" si="8"/>
        <v>0</v>
      </c>
      <c r="AL20" s="185">
        <f>SUM(AL21:AL22)</f>
        <v>0</v>
      </c>
      <c r="AM20" s="188">
        <f>SUM(AM21:AM22)</f>
        <v>0</v>
      </c>
      <c r="AN20" s="188">
        <f>SUM(AN21:AN22)</f>
        <v>0</v>
      </c>
      <c r="AO20" s="187">
        <f t="shared" si="9"/>
        <v>0</v>
      </c>
      <c r="AP20" s="185">
        <f>SUM(AP21:AP22)</f>
        <v>0</v>
      </c>
      <c r="AQ20" s="188">
        <f>SUM(AQ21:AQ22)</f>
        <v>0</v>
      </c>
      <c r="AR20" s="188">
        <f>SUM(AR21:AR22)</f>
        <v>0</v>
      </c>
      <c r="AS20" s="187">
        <f t="shared" si="10"/>
        <v>0</v>
      </c>
      <c r="AT20" s="185">
        <f>SUM(AT21:AT22)</f>
        <v>0</v>
      </c>
      <c r="AU20" s="188">
        <f>SUM(AU21:AU22)</f>
        <v>0</v>
      </c>
      <c r="AV20" s="188">
        <f>SUM(AV21:AV22)</f>
        <v>1923041</v>
      </c>
      <c r="AW20" s="187">
        <f t="shared" si="11"/>
        <v>1923041</v>
      </c>
      <c r="AX20" s="185">
        <f>SUM(AX21:AX22)</f>
        <v>0</v>
      </c>
      <c r="AY20" s="188">
        <f>SUM(AY21:AY22)</f>
        <v>0</v>
      </c>
      <c r="AZ20" s="188">
        <f>SUM(AZ21:AZ22)</f>
        <v>1335590</v>
      </c>
      <c r="BA20" s="187">
        <f t="shared" si="12"/>
        <v>1335590</v>
      </c>
      <c r="BB20" s="189">
        <f t="shared" si="13"/>
        <v>0</v>
      </c>
      <c r="BC20" s="190">
        <f t="shared" si="13"/>
        <v>0</v>
      </c>
      <c r="BD20" s="190">
        <f t="shared" si="13"/>
        <v>15494231</v>
      </c>
      <c r="BE20" s="191">
        <f t="shared" si="14"/>
        <v>15494231</v>
      </c>
      <c r="BF20" s="185">
        <f>SUM(BF21:BF22)</f>
        <v>0</v>
      </c>
      <c r="BG20" s="188">
        <f>SUM(BG21:BG22)</f>
        <v>0</v>
      </c>
      <c r="BH20" s="188">
        <f>SUM(BH21:BH22)</f>
        <v>3233357</v>
      </c>
      <c r="BI20" s="187">
        <f t="shared" si="15"/>
        <v>3233357</v>
      </c>
      <c r="BJ20" s="185">
        <f>SUM(BJ21:BJ22)</f>
        <v>0</v>
      </c>
      <c r="BK20" s="188">
        <f>SUM(BK21:BK22)</f>
        <v>0</v>
      </c>
      <c r="BL20" s="188">
        <f>SUM(BL21:BL22)</f>
        <v>-1006602</v>
      </c>
      <c r="BM20" s="187">
        <f t="shared" si="16"/>
        <v>-1006602</v>
      </c>
      <c r="BN20" s="185">
        <f>SUM(BN21:BN22)</f>
        <v>0</v>
      </c>
      <c r="BO20" s="188">
        <f>SUM(BO21:BO22)</f>
        <v>0</v>
      </c>
      <c r="BP20" s="188">
        <f>SUM(BP21:BP22)</f>
        <v>579306</v>
      </c>
      <c r="BQ20" s="187">
        <f t="shared" si="17"/>
        <v>579306</v>
      </c>
      <c r="BR20" s="192">
        <f t="shared" si="18"/>
        <v>0</v>
      </c>
      <c r="BS20" s="193">
        <f t="shared" si="18"/>
        <v>0</v>
      </c>
      <c r="BT20" s="193">
        <f t="shared" si="18"/>
        <v>2806061</v>
      </c>
      <c r="BU20" s="194">
        <f t="shared" si="19"/>
        <v>2806061</v>
      </c>
      <c r="BV20" s="195">
        <f>SUM(BV21:BV22)</f>
        <v>45339333</v>
      </c>
      <c r="BW20" s="196">
        <f>SUM(BW21:BW22)</f>
        <v>45339333</v>
      </c>
      <c r="BX20" s="196">
        <f>SUM(BX21:BX22)</f>
        <v>130325035</v>
      </c>
      <c r="BY20" s="197">
        <f t="shared" si="20"/>
        <v>84985702</v>
      </c>
      <c r="BZ20" s="185">
        <f>SUM(BZ21:BZ22)</f>
        <v>1210000000</v>
      </c>
      <c r="CA20" s="198">
        <f>SUM(CA21:CA22)</f>
        <v>1210000000</v>
      </c>
      <c r="CB20" s="198">
        <f>SUM(CB21:CB22)</f>
        <v>1240083774</v>
      </c>
      <c r="CC20" s="199">
        <f t="shared" si="21"/>
        <v>30083774</v>
      </c>
      <c r="CD20" s="200">
        <f>SUM(CD21:CD22)</f>
        <v>1255339333</v>
      </c>
      <c r="CE20" s="201">
        <f>SUM(CE21:CE22)</f>
        <v>1255339333</v>
      </c>
      <c r="CF20" s="201">
        <f>SUM(CF21:CF22)</f>
        <v>1370408809</v>
      </c>
      <c r="CG20" s="197">
        <f t="shared" si="22"/>
        <v>115069476</v>
      </c>
      <c r="CH20" s="202">
        <f>SUM(CH21:CH22)</f>
        <v>1255339333</v>
      </c>
      <c r="CI20" s="202">
        <f>SUM(CI21:CI22)</f>
        <v>1255339333</v>
      </c>
      <c r="CJ20" s="202">
        <f>SUM(CJ21:CJ22)</f>
        <v>1370408809</v>
      </c>
      <c r="CK20" s="202">
        <f t="shared" si="23"/>
        <v>115069476</v>
      </c>
      <c r="CL20" s="203">
        <f>SUM(CL21:CL22)</f>
        <v>105275000</v>
      </c>
      <c r="CM20" s="204">
        <f>SUM(CM21:CM22)</f>
        <v>160247720</v>
      </c>
      <c r="CN20" s="204">
        <f>SUM(CN21:CN22)</f>
        <v>160247720</v>
      </c>
      <c r="CO20" s="205">
        <f t="shared" si="24"/>
        <v>0</v>
      </c>
      <c r="CP20" s="206">
        <f t="shared" ref="CP20:CW20" si="42">SUM(CP21:CP22)</f>
        <v>0</v>
      </c>
      <c r="CQ20" s="204">
        <f t="shared" si="42"/>
        <v>0</v>
      </c>
      <c r="CR20" s="204">
        <f t="shared" si="42"/>
        <v>0</v>
      </c>
      <c r="CS20" s="205">
        <f t="shared" si="42"/>
        <v>0</v>
      </c>
      <c r="CT20" s="203">
        <f t="shared" si="42"/>
        <v>0</v>
      </c>
      <c r="CU20" s="204">
        <f t="shared" si="42"/>
        <v>0</v>
      </c>
      <c r="CV20" s="204">
        <f t="shared" si="42"/>
        <v>0</v>
      </c>
      <c r="CW20" s="205">
        <f t="shared" si="42"/>
        <v>0</v>
      </c>
      <c r="CX20" s="58"/>
      <c r="CY20" s="58">
        <f t="shared" si="26"/>
        <v>160247720</v>
      </c>
    </row>
    <row r="21" spans="1:103" s="1" customFormat="1" ht="13.5" x14ac:dyDescent="0.25">
      <c r="A21" s="147" t="s">
        <v>25</v>
      </c>
      <c r="B21" s="60">
        <v>495000</v>
      </c>
      <c r="C21" s="61">
        <v>495000</v>
      </c>
      <c r="D21" s="61">
        <f>495000+4178112</f>
        <v>4673112</v>
      </c>
      <c r="E21" s="62">
        <f t="shared" si="0"/>
        <v>4178112</v>
      </c>
      <c r="F21" s="63">
        <v>41277028</v>
      </c>
      <c r="G21" s="61">
        <v>37277028</v>
      </c>
      <c r="H21" s="61">
        <v>50937649</v>
      </c>
      <c r="I21" s="62">
        <f t="shared" si="1"/>
        <v>13660621</v>
      </c>
      <c r="J21" s="61">
        <v>0</v>
      </c>
      <c r="K21" s="61">
        <v>0</v>
      </c>
      <c r="L21" s="61">
        <v>8521246</v>
      </c>
      <c r="M21" s="62">
        <f t="shared" si="2"/>
        <v>8521246</v>
      </c>
      <c r="N21" s="60"/>
      <c r="O21" s="63"/>
      <c r="P21" s="63">
        <v>20851045</v>
      </c>
      <c r="Q21" s="62">
        <f t="shared" si="3"/>
        <v>20851045</v>
      </c>
      <c r="R21" s="60">
        <v>0</v>
      </c>
      <c r="S21" s="63">
        <v>0</v>
      </c>
      <c r="T21" s="63">
        <v>19474386</v>
      </c>
      <c r="U21" s="62">
        <f t="shared" si="4"/>
        <v>19474386</v>
      </c>
      <c r="V21" s="60"/>
      <c r="W21" s="63">
        <v>0</v>
      </c>
      <c r="X21" s="63">
        <v>8358021</v>
      </c>
      <c r="Y21" s="62">
        <f t="shared" si="5"/>
        <v>8358021</v>
      </c>
      <c r="Z21" s="60"/>
      <c r="AA21" s="63">
        <v>0</v>
      </c>
      <c r="AB21" s="63">
        <v>1061599</v>
      </c>
      <c r="AC21" s="62">
        <f t="shared" si="6"/>
        <v>1061599</v>
      </c>
      <c r="AD21" s="60"/>
      <c r="AE21" s="63">
        <v>0</v>
      </c>
      <c r="AF21" s="63">
        <v>2815980</v>
      </c>
      <c r="AG21" s="62">
        <f t="shared" si="7"/>
        <v>2815980</v>
      </c>
      <c r="AH21" s="60"/>
      <c r="AI21" s="63">
        <v>0</v>
      </c>
      <c r="AJ21" s="63">
        <v>0</v>
      </c>
      <c r="AK21" s="62">
        <f t="shared" si="8"/>
        <v>0</v>
      </c>
      <c r="AL21" s="60"/>
      <c r="AM21" s="63">
        <v>0</v>
      </c>
      <c r="AN21" s="63">
        <v>0</v>
      </c>
      <c r="AO21" s="62">
        <f t="shared" si="9"/>
        <v>0</v>
      </c>
      <c r="AP21" s="60"/>
      <c r="AQ21" s="63">
        <v>0</v>
      </c>
      <c r="AR21" s="63">
        <v>0</v>
      </c>
      <c r="AS21" s="62">
        <f t="shared" si="10"/>
        <v>0</v>
      </c>
      <c r="AT21" s="60"/>
      <c r="AU21" s="63">
        <v>0</v>
      </c>
      <c r="AV21" s="63">
        <v>1923041</v>
      </c>
      <c r="AW21" s="62">
        <f t="shared" si="11"/>
        <v>1923041</v>
      </c>
      <c r="AX21" s="60"/>
      <c r="AY21" s="63">
        <v>0</v>
      </c>
      <c r="AZ21" s="63">
        <v>1335590</v>
      </c>
      <c r="BA21" s="62">
        <f t="shared" si="12"/>
        <v>1335590</v>
      </c>
      <c r="BB21" s="64">
        <f t="shared" si="13"/>
        <v>0</v>
      </c>
      <c r="BC21" s="65">
        <f t="shared" si="13"/>
        <v>0</v>
      </c>
      <c r="BD21" s="65">
        <f t="shared" si="13"/>
        <v>15494231</v>
      </c>
      <c r="BE21" s="66">
        <f t="shared" si="14"/>
        <v>15494231</v>
      </c>
      <c r="BF21" s="60"/>
      <c r="BG21" s="63">
        <v>0</v>
      </c>
      <c r="BH21" s="63">
        <v>3233357</v>
      </c>
      <c r="BI21" s="62">
        <f t="shared" si="15"/>
        <v>3233357</v>
      </c>
      <c r="BJ21" s="60"/>
      <c r="BK21" s="63">
        <v>0</v>
      </c>
      <c r="BL21" s="63">
        <v>-1006602</v>
      </c>
      <c r="BM21" s="62">
        <f t="shared" si="16"/>
        <v>-1006602</v>
      </c>
      <c r="BN21" s="60"/>
      <c r="BO21" s="63">
        <v>0</v>
      </c>
      <c r="BP21" s="63">
        <v>579306</v>
      </c>
      <c r="BQ21" s="62">
        <f t="shared" si="17"/>
        <v>579306</v>
      </c>
      <c r="BR21" s="67">
        <f t="shared" si="18"/>
        <v>0</v>
      </c>
      <c r="BS21" s="68">
        <f t="shared" si="18"/>
        <v>0</v>
      </c>
      <c r="BT21" s="68">
        <f t="shared" si="18"/>
        <v>2806061</v>
      </c>
      <c r="BU21" s="69">
        <f t="shared" si="19"/>
        <v>2806061</v>
      </c>
      <c r="BV21" s="70">
        <f t="shared" ref="BV21:BX27" si="43">B21+F21+J21+N21+R21+BR21+BB21</f>
        <v>41772028</v>
      </c>
      <c r="BW21" s="81">
        <f t="shared" si="43"/>
        <v>37772028</v>
      </c>
      <c r="BX21" s="81">
        <f t="shared" si="43"/>
        <v>122757730</v>
      </c>
      <c r="BY21" s="71">
        <f t="shared" si="20"/>
        <v>84985702</v>
      </c>
      <c r="BZ21" s="60">
        <v>333788817</v>
      </c>
      <c r="CA21" s="61">
        <v>333788817</v>
      </c>
      <c r="CB21" s="61">
        <f>333788817+30083774-7500000</f>
        <v>356372591</v>
      </c>
      <c r="CC21" s="72">
        <f t="shared" si="21"/>
        <v>22583774</v>
      </c>
      <c r="CD21" s="73">
        <f t="shared" ref="CD21:CF22" si="44">BZ21+BV21</f>
        <v>375560845</v>
      </c>
      <c r="CE21" s="74">
        <f t="shared" si="44"/>
        <v>371560845</v>
      </c>
      <c r="CF21" s="74">
        <f t="shared" si="44"/>
        <v>479130321</v>
      </c>
      <c r="CG21" s="71">
        <f t="shared" si="22"/>
        <v>107569476</v>
      </c>
      <c r="CH21" s="75">
        <f t="shared" ref="CH21:CJ22" si="45">CD21</f>
        <v>375560845</v>
      </c>
      <c r="CI21" s="75">
        <f t="shared" si="45"/>
        <v>371560845</v>
      </c>
      <c r="CJ21" s="75">
        <f t="shared" si="45"/>
        <v>479130321</v>
      </c>
      <c r="CK21" s="75">
        <f t="shared" si="23"/>
        <v>107569476</v>
      </c>
      <c r="CL21" s="76">
        <v>85000000</v>
      </c>
      <c r="CM21" s="77">
        <f>CL21+54972720</f>
        <v>139972720</v>
      </c>
      <c r="CN21" s="77">
        <f>CM21+0</f>
        <v>139972720</v>
      </c>
      <c r="CO21" s="78">
        <f t="shared" si="24"/>
        <v>0</v>
      </c>
      <c r="CP21" s="79"/>
      <c r="CQ21" s="77">
        <f t="shared" ref="CQ21:CR27" si="46">CP21</f>
        <v>0</v>
      </c>
      <c r="CR21" s="77">
        <f t="shared" si="46"/>
        <v>0</v>
      </c>
      <c r="CS21" s="78">
        <f t="shared" ref="CS21:CS27" si="47">CQ21-CP21</f>
        <v>0</v>
      </c>
      <c r="CT21" s="76"/>
      <c r="CU21" s="77">
        <f t="shared" ref="CU21:CV27" si="48">CT21</f>
        <v>0</v>
      </c>
      <c r="CV21" s="77">
        <f t="shared" si="48"/>
        <v>0</v>
      </c>
      <c r="CW21" s="78">
        <f t="shared" ref="CW21:CW27" si="49">CU21-CT21</f>
        <v>0</v>
      </c>
      <c r="CX21" s="80"/>
      <c r="CY21" s="58">
        <f t="shared" si="26"/>
        <v>139972720</v>
      </c>
    </row>
    <row r="22" spans="1:103" s="1" customFormat="1" ht="13.5" x14ac:dyDescent="0.25">
      <c r="A22" s="207" t="s">
        <v>26</v>
      </c>
      <c r="B22" s="60">
        <v>2167305</v>
      </c>
      <c r="C22" s="61">
        <v>2167305</v>
      </c>
      <c r="D22" s="61">
        <v>2167305</v>
      </c>
      <c r="E22" s="62">
        <f t="shared" si="0"/>
        <v>0</v>
      </c>
      <c r="F22" s="161"/>
      <c r="G22" s="61">
        <v>4000000</v>
      </c>
      <c r="H22" s="61">
        <v>4000000</v>
      </c>
      <c r="I22" s="62">
        <f t="shared" si="1"/>
        <v>0</v>
      </c>
      <c r="J22" s="159">
        <v>1400000</v>
      </c>
      <c r="K22" s="61">
        <v>1400000</v>
      </c>
      <c r="L22" s="61">
        <v>1400000</v>
      </c>
      <c r="M22" s="62">
        <f t="shared" si="2"/>
        <v>0</v>
      </c>
      <c r="N22" s="158"/>
      <c r="O22" s="63"/>
      <c r="P22" s="63"/>
      <c r="Q22" s="62">
        <f t="shared" si="3"/>
        <v>0</v>
      </c>
      <c r="R22" s="158">
        <v>0</v>
      </c>
      <c r="S22" s="63">
        <v>0</v>
      </c>
      <c r="T22" s="63">
        <v>0</v>
      </c>
      <c r="U22" s="62">
        <f t="shared" si="4"/>
        <v>0</v>
      </c>
      <c r="V22" s="158"/>
      <c r="W22" s="63"/>
      <c r="X22" s="63"/>
      <c r="Y22" s="62">
        <f t="shared" si="5"/>
        <v>0</v>
      </c>
      <c r="Z22" s="158"/>
      <c r="AA22" s="63"/>
      <c r="AB22" s="63"/>
      <c r="AC22" s="62">
        <f t="shared" si="6"/>
        <v>0</v>
      </c>
      <c r="AD22" s="158"/>
      <c r="AE22" s="63"/>
      <c r="AF22" s="63"/>
      <c r="AG22" s="62">
        <f t="shared" si="7"/>
        <v>0</v>
      </c>
      <c r="AH22" s="158"/>
      <c r="AI22" s="63"/>
      <c r="AJ22" s="63"/>
      <c r="AK22" s="62">
        <f t="shared" si="8"/>
        <v>0</v>
      </c>
      <c r="AL22" s="158"/>
      <c r="AM22" s="63"/>
      <c r="AN22" s="63"/>
      <c r="AO22" s="62">
        <f t="shared" si="9"/>
        <v>0</v>
      </c>
      <c r="AP22" s="158"/>
      <c r="AQ22" s="63"/>
      <c r="AR22" s="63"/>
      <c r="AS22" s="62">
        <f t="shared" si="10"/>
        <v>0</v>
      </c>
      <c r="AT22" s="158"/>
      <c r="AU22" s="63"/>
      <c r="AV22" s="63"/>
      <c r="AW22" s="62">
        <f t="shared" si="11"/>
        <v>0</v>
      </c>
      <c r="AX22" s="158"/>
      <c r="AY22" s="63"/>
      <c r="AZ22" s="63"/>
      <c r="BA22" s="62">
        <f t="shared" si="12"/>
        <v>0</v>
      </c>
      <c r="BB22" s="162">
        <f t="shared" si="13"/>
        <v>0</v>
      </c>
      <c r="BC22" s="65">
        <f t="shared" si="13"/>
        <v>0</v>
      </c>
      <c r="BD22" s="65">
        <f t="shared" si="13"/>
        <v>0</v>
      </c>
      <c r="BE22" s="66">
        <f t="shared" si="14"/>
        <v>0</v>
      </c>
      <c r="BF22" s="158"/>
      <c r="BG22" s="63"/>
      <c r="BH22" s="63"/>
      <c r="BI22" s="62">
        <f t="shared" si="15"/>
        <v>0</v>
      </c>
      <c r="BJ22" s="158"/>
      <c r="BK22" s="63"/>
      <c r="BL22" s="63"/>
      <c r="BM22" s="62">
        <f t="shared" si="16"/>
        <v>0</v>
      </c>
      <c r="BN22" s="158"/>
      <c r="BO22" s="63"/>
      <c r="BP22" s="63"/>
      <c r="BQ22" s="62">
        <f t="shared" si="17"/>
        <v>0</v>
      </c>
      <c r="BR22" s="165">
        <f t="shared" si="18"/>
        <v>0</v>
      </c>
      <c r="BS22" s="68">
        <f t="shared" si="18"/>
        <v>0</v>
      </c>
      <c r="BT22" s="68">
        <f t="shared" si="18"/>
        <v>0</v>
      </c>
      <c r="BU22" s="69">
        <f t="shared" si="19"/>
        <v>0</v>
      </c>
      <c r="BV22" s="208">
        <f t="shared" si="43"/>
        <v>3567305</v>
      </c>
      <c r="BW22" s="81">
        <f t="shared" si="43"/>
        <v>7567305</v>
      </c>
      <c r="BX22" s="81">
        <f t="shared" si="43"/>
        <v>7567305</v>
      </c>
      <c r="BY22" s="71">
        <f t="shared" si="20"/>
        <v>0</v>
      </c>
      <c r="BZ22" s="158">
        <v>876211183</v>
      </c>
      <c r="CA22" s="61">
        <v>876211183</v>
      </c>
      <c r="CB22" s="61">
        <f>876211183+7500000</f>
        <v>883711183</v>
      </c>
      <c r="CC22" s="72">
        <f t="shared" si="21"/>
        <v>7500000</v>
      </c>
      <c r="CD22" s="114">
        <f t="shared" si="44"/>
        <v>879778488</v>
      </c>
      <c r="CE22" s="74">
        <f t="shared" si="44"/>
        <v>883778488</v>
      </c>
      <c r="CF22" s="74">
        <f t="shared" si="44"/>
        <v>891278488</v>
      </c>
      <c r="CG22" s="71">
        <f t="shared" si="22"/>
        <v>7500000</v>
      </c>
      <c r="CH22" s="168">
        <f t="shared" si="45"/>
        <v>879778488</v>
      </c>
      <c r="CI22" s="168">
        <f t="shared" si="45"/>
        <v>883778488</v>
      </c>
      <c r="CJ22" s="168">
        <f t="shared" si="45"/>
        <v>891278488</v>
      </c>
      <c r="CK22" s="168">
        <f t="shared" si="23"/>
        <v>7500000</v>
      </c>
      <c r="CL22" s="169">
        <v>20275000</v>
      </c>
      <c r="CM22" s="77">
        <f t="shared" ref="CM22:CN27" si="50">CL22</f>
        <v>20275000</v>
      </c>
      <c r="CN22" s="77">
        <f t="shared" si="50"/>
        <v>20275000</v>
      </c>
      <c r="CO22" s="78">
        <f t="shared" si="24"/>
        <v>0</v>
      </c>
      <c r="CP22" s="172"/>
      <c r="CQ22" s="77">
        <f t="shared" si="46"/>
        <v>0</v>
      </c>
      <c r="CR22" s="77">
        <f t="shared" si="46"/>
        <v>0</v>
      </c>
      <c r="CS22" s="78">
        <f t="shared" si="47"/>
        <v>0</v>
      </c>
      <c r="CT22" s="169"/>
      <c r="CU22" s="77">
        <f t="shared" si="48"/>
        <v>0</v>
      </c>
      <c r="CV22" s="77">
        <f t="shared" si="48"/>
        <v>0</v>
      </c>
      <c r="CW22" s="78">
        <f t="shared" si="49"/>
        <v>0</v>
      </c>
      <c r="CX22" s="80"/>
      <c r="CY22" s="58">
        <f t="shared" si="26"/>
        <v>20275000</v>
      </c>
    </row>
    <row r="23" spans="1:103" s="1" customFormat="1" ht="14.25" thickBot="1" x14ac:dyDescent="0.3">
      <c r="A23" s="82" t="s">
        <v>41</v>
      </c>
      <c r="B23" s="83">
        <f>B24+B25+B26</f>
        <v>45390952</v>
      </c>
      <c r="C23" s="84">
        <f>C24+C25+C26</f>
        <v>42529165</v>
      </c>
      <c r="D23" s="84">
        <f>D24+D25+D26</f>
        <v>43052115</v>
      </c>
      <c r="E23" s="85">
        <f t="shared" si="0"/>
        <v>522950</v>
      </c>
      <c r="F23" s="86">
        <f>F24+F25+F26</f>
        <v>68051670</v>
      </c>
      <c r="G23" s="84">
        <f>G24+G25+G26</f>
        <v>46609796</v>
      </c>
      <c r="H23" s="84">
        <f>H24+H25+H26</f>
        <v>47305632</v>
      </c>
      <c r="I23" s="85">
        <f t="shared" si="1"/>
        <v>695836</v>
      </c>
      <c r="J23" s="84">
        <f>J24+J25+J26</f>
        <v>52954784</v>
      </c>
      <c r="K23" s="84">
        <f>K24+K25+K26</f>
        <v>47954169</v>
      </c>
      <c r="L23" s="84">
        <f>L24+L25+L26</f>
        <v>48463437</v>
      </c>
      <c r="M23" s="85">
        <f t="shared" si="2"/>
        <v>509268</v>
      </c>
      <c r="N23" s="83">
        <f>N24+N25+N26</f>
        <v>384068859</v>
      </c>
      <c r="O23" s="86">
        <f>O24+O25+O26</f>
        <v>360869143</v>
      </c>
      <c r="P23" s="86">
        <f>P24+P25+P26</f>
        <v>360877856</v>
      </c>
      <c r="Q23" s="85">
        <f t="shared" si="3"/>
        <v>8713</v>
      </c>
      <c r="R23" s="83">
        <f>R24+R25+R26</f>
        <v>178263177</v>
      </c>
      <c r="S23" s="86">
        <f>S24+S25+S26</f>
        <v>194236796</v>
      </c>
      <c r="T23" s="86">
        <f>T24+T25+T26</f>
        <v>202708530</v>
      </c>
      <c r="U23" s="85">
        <f t="shared" si="4"/>
        <v>8471734</v>
      </c>
      <c r="V23" s="83">
        <f>V24+V25+V26</f>
        <v>92486622</v>
      </c>
      <c r="W23" s="86">
        <f>W24+W25+W26</f>
        <v>84151064</v>
      </c>
      <c r="X23" s="86">
        <f>X24+X25+X26</f>
        <v>84196914</v>
      </c>
      <c r="Y23" s="85">
        <f t="shared" si="5"/>
        <v>45850</v>
      </c>
      <c r="Z23" s="83">
        <f>Z24+Z25+Z26</f>
        <v>23934867</v>
      </c>
      <c r="AA23" s="86">
        <f>AA24+AA25+AA26</f>
        <v>23589984</v>
      </c>
      <c r="AB23" s="86">
        <f>AB24+AB25+AB26</f>
        <v>24430824</v>
      </c>
      <c r="AC23" s="85">
        <f t="shared" si="6"/>
        <v>840840</v>
      </c>
      <c r="AD23" s="83">
        <f>AD24+AD25+AD26</f>
        <v>53928603</v>
      </c>
      <c r="AE23" s="86">
        <f>AE24+AE25+AE26</f>
        <v>51121756</v>
      </c>
      <c r="AF23" s="86">
        <f>AF24+AF25+AF26</f>
        <v>51121756</v>
      </c>
      <c r="AG23" s="85">
        <f t="shared" si="7"/>
        <v>0</v>
      </c>
      <c r="AH23" s="83">
        <f>AH24+AH25+AH26</f>
        <v>0</v>
      </c>
      <c r="AI23" s="86">
        <f>AI24+AI25+AI26</f>
        <v>28705563</v>
      </c>
      <c r="AJ23" s="86">
        <f>AJ24+AJ25+AJ26</f>
        <v>27564125</v>
      </c>
      <c r="AK23" s="85">
        <f t="shared" si="8"/>
        <v>-1141438</v>
      </c>
      <c r="AL23" s="83">
        <f>AL24+AL25+AL26</f>
        <v>0</v>
      </c>
      <c r="AM23" s="86">
        <f>AM24+AM25+AM26</f>
        <v>4713368</v>
      </c>
      <c r="AN23" s="86">
        <f>AN24+AN25+AN26</f>
        <v>6288544</v>
      </c>
      <c r="AO23" s="85">
        <f t="shared" si="9"/>
        <v>1575176</v>
      </c>
      <c r="AP23" s="83">
        <f>AP24+AP25+AP26</f>
        <v>0</v>
      </c>
      <c r="AQ23" s="86">
        <f>AQ24+AQ25+AQ26</f>
        <v>7541429</v>
      </c>
      <c r="AR23" s="86">
        <f>AR24+AR25+AR26</f>
        <v>5324611</v>
      </c>
      <c r="AS23" s="85">
        <f t="shared" si="10"/>
        <v>-2216818</v>
      </c>
      <c r="AT23" s="83">
        <f>AT24+AT25+AT26</f>
        <v>20610600</v>
      </c>
      <c r="AU23" s="86">
        <f>AU24+AU25+AU26</f>
        <v>20610600</v>
      </c>
      <c r="AV23" s="86">
        <f>AV24+AV25+AV26</f>
        <v>20610600</v>
      </c>
      <c r="AW23" s="85">
        <f t="shared" si="11"/>
        <v>0</v>
      </c>
      <c r="AX23" s="83">
        <f>AX24+AX25+AX26</f>
        <v>17257369</v>
      </c>
      <c r="AY23" s="86">
        <f>AY24+AY25+AY26</f>
        <v>17257369</v>
      </c>
      <c r="AZ23" s="86">
        <f>AZ24+AZ25+AZ26</f>
        <v>17257369</v>
      </c>
      <c r="BA23" s="85">
        <f t="shared" si="12"/>
        <v>0</v>
      </c>
      <c r="BB23" s="87">
        <f t="shared" si="13"/>
        <v>208218061</v>
      </c>
      <c r="BC23" s="88">
        <f t="shared" si="13"/>
        <v>237691133</v>
      </c>
      <c r="BD23" s="88">
        <f t="shared" si="13"/>
        <v>236794743</v>
      </c>
      <c r="BE23" s="89">
        <f t="shared" si="14"/>
        <v>-896390</v>
      </c>
      <c r="BF23" s="83">
        <f>BF24+BF25+BF26</f>
        <v>87797311</v>
      </c>
      <c r="BG23" s="86">
        <f>BG24+BG25+BG26</f>
        <v>82822879</v>
      </c>
      <c r="BH23" s="86">
        <f>BH24+BH25+BH26</f>
        <v>55275594</v>
      </c>
      <c r="BI23" s="85">
        <f t="shared" si="15"/>
        <v>-27547285</v>
      </c>
      <c r="BJ23" s="83">
        <f>BJ24+BJ25+BJ26</f>
        <v>19714529</v>
      </c>
      <c r="BK23" s="86">
        <f>BK24+BK25+BK26</f>
        <v>18679784</v>
      </c>
      <c r="BL23" s="86">
        <f>BL24+BL25+BL26</f>
        <v>12391240</v>
      </c>
      <c r="BM23" s="85">
        <f t="shared" si="16"/>
        <v>-6288544</v>
      </c>
      <c r="BN23" s="83">
        <f>BN24+BN25+BN26</f>
        <v>15364650</v>
      </c>
      <c r="BO23" s="86">
        <f>BO24+BO25+BO26</f>
        <v>15364650</v>
      </c>
      <c r="BP23" s="86">
        <f>BP24+BP25+BP26</f>
        <v>10040039</v>
      </c>
      <c r="BQ23" s="85">
        <f t="shared" si="17"/>
        <v>-5324611</v>
      </c>
      <c r="BR23" s="90">
        <f t="shared" si="18"/>
        <v>122876490</v>
      </c>
      <c r="BS23" s="91">
        <f t="shared" si="18"/>
        <v>116867313</v>
      </c>
      <c r="BT23" s="91">
        <f t="shared" si="18"/>
        <v>77706873</v>
      </c>
      <c r="BU23" s="92">
        <f t="shared" si="19"/>
        <v>-39160440</v>
      </c>
      <c r="BV23" s="70">
        <f t="shared" si="43"/>
        <v>1059823993</v>
      </c>
      <c r="BW23" s="81">
        <f t="shared" si="43"/>
        <v>1046757515</v>
      </c>
      <c r="BX23" s="81">
        <f t="shared" si="43"/>
        <v>1016909186</v>
      </c>
      <c r="BY23" s="71">
        <f t="shared" si="20"/>
        <v>-29848329</v>
      </c>
      <c r="BZ23" s="83">
        <f>BZ24+BZ25+BZ26</f>
        <v>0</v>
      </c>
      <c r="CA23" s="93">
        <f>CA24+CA25+CA26</f>
        <v>0</v>
      </c>
      <c r="CB23" s="93">
        <f>CB24+CB25+CB26</f>
        <v>0</v>
      </c>
      <c r="CC23" s="72">
        <f t="shared" si="21"/>
        <v>0</v>
      </c>
      <c r="CD23" s="73">
        <f>BZ23+BV23</f>
        <v>1059823993</v>
      </c>
      <c r="CE23" s="74">
        <v>1005797155</v>
      </c>
      <c r="CF23" s="74">
        <f>CB23+BX23</f>
        <v>1016909186</v>
      </c>
      <c r="CG23" s="71">
        <f t="shared" si="22"/>
        <v>11112031</v>
      </c>
      <c r="CH23" s="94">
        <f>BV23-CD23</f>
        <v>0</v>
      </c>
      <c r="CI23" s="94">
        <v>0</v>
      </c>
      <c r="CJ23" s="94">
        <f>CF23-BX23</f>
        <v>0</v>
      </c>
      <c r="CK23" s="94">
        <f t="shared" si="23"/>
        <v>0</v>
      </c>
      <c r="CL23" s="209"/>
      <c r="CM23" s="210">
        <f t="shared" si="50"/>
        <v>0</v>
      </c>
      <c r="CN23" s="210">
        <f t="shared" si="50"/>
        <v>0</v>
      </c>
      <c r="CO23" s="211">
        <f t="shared" si="24"/>
        <v>0</v>
      </c>
      <c r="CP23" s="212"/>
      <c r="CQ23" s="210">
        <f t="shared" si="46"/>
        <v>0</v>
      </c>
      <c r="CR23" s="210">
        <f t="shared" si="46"/>
        <v>0</v>
      </c>
      <c r="CS23" s="211">
        <f t="shared" si="47"/>
        <v>0</v>
      </c>
      <c r="CT23" s="209"/>
      <c r="CU23" s="210">
        <f t="shared" si="48"/>
        <v>0</v>
      </c>
      <c r="CV23" s="210">
        <f t="shared" si="48"/>
        <v>0</v>
      </c>
      <c r="CW23" s="211">
        <f t="shared" si="49"/>
        <v>0</v>
      </c>
      <c r="CX23" s="58"/>
      <c r="CY23" s="58">
        <f t="shared" si="26"/>
        <v>0</v>
      </c>
    </row>
    <row r="24" spans="1:103" s="1" customFormat="1" ht="14.25" thickBot="1" x14ac:dyDescent="0.3">
      <c r="A24" s="213" t="s">
        <v>59</v>
      </c>
      <c r="B24" s="83">
        <v>7186995</v>
      </c>
      <c r="C24" s="84">
        <v>10479898</v>
      </c>
      <c r="D24" s="84">
        <v>11002848</v>
      </c>
      <c r="E24" s="85">
        <f t="shared" si="0"/>
        <v>522950</v>
      </c>
      <c r="F24" s="86">
        <v>7186995</v>
      </c>
      <c r="G24" s="84">
        <v>8547639</v>
      </c>
      <c r="H24" s="84">
        <v>9243475</v>
      </c>
      <c r="I24" s="85">
        <f t="shared" si="1"/>
        <v>695836</v>
      </c>
      <c r="J24" s="84">
        <v>32369000</v>
      </c>
      <c r="K24" s="84">
        <v>33588909</v>
      </c>
      <c r="L24" s="84">
        <v>34098177</v>
      </c>
      <c r="M24" s="85">
        <f t="shared" si="2"/>
        <v>509268</v>
      </c>
      <c r="N24" s="83">
        <v>191186000</v>
      </c>
      <c r="O24" s="86">
        <v>193796237</v>
      </c>
      <c r="P24" s="86">
        <v>193804950</v>
      </c>
      <c r="Q24" s="85">
        <f t="shared" si="3"/>
        <v>8713</v>
      </c>
      <c r="R24" s="83">
        <v>118826345</v>
      </c>
      <c r="S24" s="86">
        <f>118826345+950000+15228200</f>
        <v>135004545</v>
      </c>
      <c r="T24" s="86">
        <v>143271698</v>
      </c>
      <c r="U24" s="85">
        <f t="shared" si="4"/>
        <v>8267153</v>
      </c>
      <c r="V24" s="83">
        <v>75903617</v>
      </c>
      <c r="W24" s="86">
        <f>75979758</f>
        <v>75979758</v>
      </c>
      <c r="X24" s="86">
        <f>76017046+8562</f>
        <v>76025608</v>
      </c>
      <c r="Y24" s="85">
        <f t="shared" si="5"/>
        <v>45850</v>
      </c>
      <c r="Z24" s="83">
        <v>17410700</v>
      </c>
      <c r="AA24" s="86">
        <v>17410700</v>
      </c>
      <c r="AB24" s="86">
        <v>18251540</v>
      </c>
      <c r="AC24" s="85">
        <f t="shared" si="6"/>
        <v>840840</v>
      </c>
      <c r="AD24" s="83">
        <v>41035824</v>
      </c>
      <c r="AE24" s="86">
        <v>41035824</v>
      </c>
      <c r="AF24" s="86">
        <v>41035824</v>
      </c>
      <c r="AG24" s="85">
        <f t="shared" si="7"/>
        <v>0</v>
      </c>
      <c r="AH24" s="83"/>
      <c r="AI24" s="86">
        <v>28705563</v>
      </c>
      <c r="AJ24" s="86">
        <v>27564125</v>
      </c>
      <c r="AK24" s="85">
        <f t="shared" si="8"/>
        <v>-1141438</v>
      </c>
      <c r="AL24" s="83"/>
      <c r="AM24" s="86">
        <v>4713368</v>
      </c>
      <c r="AN24" s="86">
        <v>6288544</v>
      </c>
      <c r="AO24" s="85">
        <f t="shared" si="9"/>
        <v>1575176</v>
      </c>
      <c r="AP24" s="83"/>
      <c r="AQ24" s="86">
        <f>5297731+2243698</f>
        <v>7541429</v>
      </c>
      <c r="AR24" s="86">
        <v>5324611</v>
      </c>
      <c r="AS24" s="85">
        <f t="shared" si="10"/>
        <v>-2216818</v>
      </c>
      <c r="AT24" s="83">
        <v>19544600</v>
      </c>
      <c r="AU24" s="86">
        <v>19544600</v>
      </c>
      <c r="AV24" s="86">
        <v>19544600</v>
      </c>
      <c r="AW24" s="85">
        <f t="shared" si="11"/>
        <v>0</v>
      </c>
      <c r="AX24" s="83">
        <v>12297483</v>
      </c>
      <c r="AY24" s="86">
        <v>12297483</v>
      </c>
      <c r="AZ24" s="86">
        <v>12297483</v>
      </c>
      <c r="BA24" s="85">
        <f t="shared" si="12"/>
        <v>0</v>
      </c>
      <c r="BB24" s="87">
        <f t="shared" si="13"/>
        <v>166192224</v>
      </c>
      <c r="BC24" s="88">
        <f t="shared" si="13"/>
        <v>207228725</v>
      </c>
      <c r="BD24" s="88">
        <f t="shared" si="13"/>
        <v>206332335</v>
      </c>
      <c r="BE24" s="89">
        <f t="shared" si="14"/>
        <v>-896390</v>
      </c>
      <c r="BF24" s="83">
        <v>84457383</v>
      </c>
      <c r="BG24" s="86">
        <v>84510259</v>
      </c>
      <c r="BH24" s="86">
        <f>84510259-27538723-8562</f>
        <v>56962974</v>
      </c>
      <c r="BI24" s="85">
        <f t="shared" si="15"/>
        <v>-27547285</v>
      </c>
      <c r="BJ24" s="83">
        <v>16363992</v>
      </c>
      <c r="BK24" s="86">
        <v>16363992</v>
      </c>
      <c r="BL24" s="86">
        <f>16363992-6288544</f>
        <v>10075448</v>
      </c>
      <c r="BM24" s="85">
        <f t="shared" si="16"/>
        <v>-6288544</v>
      </c>
      <c r="BN24" s="83">
        <v>11115133</v>
      </c>
      <c r="BO24" s="86">
        <v>11115133</v>
      </c>
      <c r="BP24" s="86">
        <f>11115133-5324611</f>
        <v>5790522</v>
      </c>
      <c r="BQ24" s="85">
        <f t="shared" si="17"/>
        <v>-5324611</v>
      </c>
      <c r="BR24" s="90">
        <f t="shared" si="18"/>
        <v>111936508</v>
      </c>
      <c r="BS24" s="91">
        <f t="shared" si="18"/>
        <v>111989384</v>
      </c>
      <c r="BT24" s="91">
        <f t="shared" si="18"/>
        <v>72828944</v>
      </c>
      <c r="BU24" s="92">
        <f t="shared" si="19"/>
        <v>-39160440</v>
      </c>
      <c r="BV24" s="70">
        <f t="shared" si="43"/>
        <v>634884067</v>
      </c>
      <c r="BW24" s="81">
        <f t="shared" si="43"/>
        <v>700635337</v>
      </c>
      <c r="BX24" s="81">
        <f t="shared" si="43"/>
        <v>670582427</v>
      </c>
      <c r="BY24" s="71">
        <f t="shared" si="20"/>
        <v>-30052910</v>
      </c>
      <c r="BZ24" s="83"/>
      <c r="CA24" s="93">
        <v>0</v>
      </c>
      <c r="CB24" s="93">
        <f>BZ24</f>
        <v>0</v>
      </c>
      <c r="CC24" s="72">
        <f t="shared" si="21"/>
        <v>0</v>
      </c>
      <c r="CD24" s="73">
        <f>BZ24+BV24</f>
        <v>634884067</v>
      </c>
      <c r="CE24" s="74">
        <v>656329198</v>
      </c>
      <c r="CF24" s="74">
        <f>CB24+BX24</f>
        <v>670582427</v>
      </c>
      <c r="CG24" s="71">
        <f t="shared" si="22"/>
        <v>14253229</v>
      </c>
      <c r="CH24" s="94">
        <f>BV24-CD24</f>
        <v>0</v>
      </c>
      <c r="CI24" s="94">
        <v>0</v>
      </c>
      <c r="CJ24" s="94">
        <f>CF24-BX24</f>
        <v>0</v>
      </c>
      <c r="CK24" s="94">
        <f t="shared" si="23"/>
        <v>0</v>
      </c>
      <c r="CL24" s="209"/>
      <c r="CM24" s="210">
        <f t="shared" si="50"/>
        <v>0</v>
      </c>
      <c r="CN24" s="210">
        <f t="shared" si="50"/>
        <v>0</v>
      </c>
      <c r="CO24" s="211">
        <f t="shared" si="24"/>
        <v>0</v>
      </c>
      <c r="CP24" s="212"/>
      <c r="CQ24" s="210">
        <f t="shared" si="46"/>
        <v>0</v>
      </c>
      <c r="CR24" s="210">
        <f t="shared" si="46"/>
        <v>0</v>
      </c>
      <c r="CS24" s="211">
        <f t="shared" si="47"/>
        <v>0</v>
      </c>
      <c r="CT24" s="209"/>
      <c r="CU24" s="210">
        <f t="shared" si="48"/>
        <v>0</v>
      </c>
      <c r="CV24" s="210">
        <f t="shared" si="48"/>
        <v>0</v>
      </c>
      <c r="CW24" s="211">
        <f t="shared" si="49"/>
        <v>0</v>
      </c>
      <c r="CX24" s="58"/>
      <c r="CY24" s="58">
        <f t="shared" si="26"/>
        <v>0</v>
      </c>
    </row>
    <row r="25" spans="1:103" s="1" customFormat="1" ht="14.25" thickBot="1" x14ac:dyDescent="0.3">
      <c r="A25" s="213" t="s">
        <v>72</v>
      </c>
      <c r="B25" s="83">
        <v>37346427</v>
      </c>
      <c r="C25" s="84">
        <v>31191737</v>
      </c>
      <c r="D25" s="84">
        <v>31191737</v>
      </c>
      <c r="E25" s="85">
        <f t="shared" si="0"/>
        <v>0</v>
      </c>
      <c r="F25" s="86">
        <v>59492775</v>
      </c>
      <c r="G25" s="84">
        <v>36690257</v>
      </c>
      <c r="H25" s="84">
        <v>36690257</v>
      </c>
      <c r="I25" s="85">
        <f t="shared" si="1"/>
        <v>0</v>
      </c>
      <c r="J25" s="84">
        <v>19445784</v>
      </c>
      <c r="K25" s="84">
        <v>13225260</v>
      </c>
      <c r="L25" s="84">
        <v>13225260</v>
      </c>
      <c r="M25" s="85">
        <f t="shared" si="2"/>
        <v>0</v>
      </c>
      <c r="N25" s="83">
        <v>187632859</v>
      </c>
      <c r="O25" s="86">
        <v>163072906</v>
      </c>
      <c r="P25" s="86">
        <v>163072906</v>
      </c>
      <c r="Q25" s="85">
        <f t="shared" si="3"/>
        <v>0</v>
      </c>
      <c r="R25" s="83">
        <v>57435832</v>
      </c>
      <c r="S25" s="86">
        <v>57231251</v>
      </c>
      <c r="T25" s="86">
        <v>57435832</v>
      </c>
      <c r="U25" s="85">
        <f t="shared" si="4"/>
        <v>204581</v>
      </c>
      <c r="V25" s="83">
        <v>15533005</v>
      </c>
      <c r="W25" s="86">
        <v>8171306</v>
      </c>
      <c r="X25" s="86">
        <f>8171306</f>
        <v>8171306</v>
      </c>
      <c r="Y25" s="85">
        <f t="shared" si="5"/>
        <v>0</v>
      </c>
      <c r="Z25" s="83">
        <v>5538583</v>
      </c>
      <c r="AA25" s="86">
        <v>5244500</v>
      </c>
      <c r="AB25" s="86">
        <v>5244500</v>
      </c>
      <c r="AC25" s="85">
        <f t="shared" si="6"/>
        <v>0</v>
      </c>
      <c r="AD25" s="83">
        <v>8762779</v>
      </c>
      <c r="AE25" s="86">
        <v>5955932</v>
      </c>
      <c r="AF25" s="86">
        <v>5955932</v>
      </c>
      <c r="AG25" s="85">
        <f t="shared" si="7"/>
        <v>0</v>
      </c>
      <c r="AH25" s="83"/>
      <c r="AI25" s="86"/>
      <c r="AJ25" s="86"/>
      <c r="AK25" s="85">
        <f t="shared" si="8"/>
        <v>0</v>
      </c>
      <c r="AL25" s="83"/>
      <c r="AM25" s="86"/>
      <c r="AN25" s="86"/>
      <c r="AO25" s="85">
        <f t="shared" si="9"/>
        <v>0</v>
      </c>
      <c r="AP25" s="83"/>
      <c r="AQ25" s="86"/>
      <c r="AR25" s="86"/>
      <c r="AS25" s="85">
        <f t="shared" si="10"/>
        <v>0</v>
      </c>
      <c r="AT25" s="83">
        <v>0</v>
      </c>
      <c r="AU25" s="86">
        <v>0</v>
      </c>
      <c r="AV25" s="86">
        <v>0</v>
      </c>
      <c r="AW25" s="85">
        <f t="shared" si="11"/>
        <v>0</v>
      </c>
      <c r="AX25" s="83">
        <v>4655086</v>
      </c>
      <c r="AY25" s="86">
        <v>4655086</v>
      </c>
      <c r="AZ25" s="86">
        <v>4655086</v>
      </c>
      <c r="BA25" s="85">
        <f t="shared" si="12"/>
        <v>0</v>
      </c>
      <c r="BB25" s="87">
        <f t="shared" si="13"/>
        <v>34489453</v>
      </c>
      <c r="BC25" s="88">
        <f t="shared" si="13"/>
        <v>24026824</v>
      </c>
      <c r="BD25" s="88">
        <f t="shared" si="13"/>
        <v>24026824</v>
      </c>
      <c r="BE25" s="89">
        <f t="shared" si="14"/>
        <v>0</v>
      </c>
      <c r="BF25" s="83">
        <v>1869928</v>
      </c>
      <c r="BG25" s="86">
        <v>-2454346</v>
      </c>
      <c r="BH25" s="86">
        <v>-2454346</v>
      </c>
      <c r="BI25" s="85">
        <f t="shared" si="15"/>
        <v>0</v>
      </c>
      <c r="BJ25" s="83">
        <v>2870537</v>
      </c>
      <c r="BK25" s="86">
        <v>1835792</v>
      </c>
      <c r="BL25" s="86">
        <v>1835792</v>
      </c>
      <c r="BM25" s="85">
        <f t="shared" si="16"/>
        <v>0</v>
      </c>
      <c r="BN25" s="83">
        <v>4249517</v>
      </c>
      <c r="BO25" s="86">
        <v>4249517</v>
      </c>
      <c r="BP25" s="86">
        <v>4249517</v>
      </c>
      <c r="BQ25" s="85">
        <f t="shared" si="17"/>
        <v>0</v>
      </c>
      <c r="BR25" s="90">
        <f t="shared" si="18"/>
        <v>8989982</v>
      </c>
      <c r="BS25" s="91">
        <f t="shared" si="18"/>
        <v>3630963</v>
      </c>
      <c r="BT25" s="91">
        <f t="shared" si="18"/>
        <v>3630963</v>
      </c>
      <c r="BU25" s="92">
        <f t="shared" si="19"/>
        <v>0</v>
      </c>
      <c r="BV25" s="70">
        <f t="shared" si="43"/>
        <v>404833112</v>
      </c>
      <c r="BW25" s="81">
        <f t="shared" si="43"/>
        <v>329069198</v>
      </c>
      <c r="BX25" s="81">
        <f t="shared" si="43"/>
        <v>329273779</v>
      </c>
      <c r="BY25" s="71">
        <f t="shared" si="20"/>
        <v>204581</v>
      </c>
      <c r="BZ25" s="83"/>
      <c r="CA25" s="93">
        <v>0</v>
      </c>
      <c r="CB25" s="93">
        <f>BZ25</f>
        <v>0</v>
      </c>
      <c r="CC25" s="72">
        <f t="shared" si="21"/>
        <v>0</v>
      </c>
      <c r="CD25" s="73">
        <f>BZ25+BV25</f>
        <v>404833112</v>
      </c>
      <c r="CE25" s="74">
        <v>332414977</v>
      </c>
      <c r="CF25" s="74">
        <f>CB25+BX25</f>
        <v>329273779</v>
      </c>
      <c r="CG25" s="71">
        <f t="shared" si="22"/>
        <v>-3141198</v>
      </c>
      <c r="CH25" s="94">
        <f>BV25-CD25</f>
        <v>0</v>
      </c>
      <c r="CI25" s="94">
        <v>0</v>
      </c>
      <c r="CJ25" s="94">
        <f>CF25-BX25</f>
        <v>0</v>
      </c>
      <c r="CK25" s="94">
        <f t="shared" si="23"/>
        <v>0</v>
      </c>
      <c r="CL25" s="209"/>
      <c r="CM25" s="210">
        <f t="shared" si="50"/>
        <v>0</v>
      </c>
      <c r="CN25" s="210">
        <f t="shared" si="50"/>
        <v>0</v>
      </c>
      <c r="CO25" s="211">
        <f t="shared" si="24"/>
        <v>0</v>
      </c>
      <c r="CP25" s="212"/>
      <c r="CQ25" s="210">
        <f t="shared" si="46"/>
        <v>0</v>
      </c>
      <c r="CR25" s="210">
        <f t="shared" si="46"/>
        <v>0</v>
      </c>
      <c r="CS25" s="211">
        <f t="shared" si="47"/>
        <v>0</v>
      </c>
      <c r="CT25" s="209"/>
      <c r="CU25" s="210">
        <f t="shared" si="48"/>
        <v>0</v>
      </c>
      <c r="CV25" s="210">
        <f t="shared" si="48"/>
        <v>0</v>
      </c>
      <c r="CW25" s="211">
        <f t="shared" si="49"/>
        <v>0</v>
      </c>
      <c r="CX25" s="58"/>
      <c r="CY25" s="58">
        <f t="shared" si="26"/>
        <v>0</v>
      </c>
    </row>
    <row r="26" spans="1:103" s="1" customFormat="1" ht="14.25" thickBot="1" x14ac:dyDescent="0.3">
      <c r="A26" s="213" t="s">
        <v>60</v>
      </c>
      <c r="B26" s="83">
        <v>857530</v>
      </c>
      <c r="C26" s="84">
        <v>857530</v>
      </c>
      <c r="D26" s="84">
        <v>857530</v>
      </c>
      <c r="E26" s="85">
        <f t="shared" si="0"/>
        <v>0</v>
      </c>
      <c r="F26" s="86">
        <v>1371900</v>
      </c>
      <c r="G26" s="84">
        <v>1371900</v>
      </c>
      <c r="H26" s="84">
        <v>1371900</v>
      </c>
      <c r="I26" s="85">
        <f t="shared" si="1"/>
        <v>0</v>
      </c>
      <c r="J26" s="84">
        <v>1140000</v>
      </c>
      <c r="K26" s="84">
        <v>1140000</v>
      </c>
      <c r="L26" s="84">
        <v>1140000</v>
      </c>
      <c r="M26" s="85">
        <f t="shared" si="2"/>
        <v>0</v>
      </c>
      <c r="N26" s="83">
        <v>5250000</v>
      </c>
      <c r="O26" s="86">
        <v>4000000</v>
      </c>
      <c r="P26" s="86">
        <v>4000000</v>
      </c>
      <c r="Q26" s="85">
        <f t="shared" si="3"/>
        <v>0</v>
      </c>
      <c r="R26" s="83">
        <v>2001000</v>
      </c>
      <c r="S26" s="86">
        <v>2001000</v>
      </c>
      <c r="T26" s="86">
        <v>2001000</v>
      </c>
      <c r="U26" s="85">
        <f t="shared" si="4"/>
        <v>0</v>
      </c>
      <c r="V26" s="83">
        <v>1050000</v>
      </c>
      <c r="W26" s="86">
        <v>0</v>
      </c>
      <c r="X26" s="86">
        <v>0</v>
      </c>
      <c r="Y26" s="85">
        <f t="shared" si="5"/>
        <v>0</v>
      </c>
      <c r="Z26" s="83">
        <v>985584</v>
      </c>
      <c r="AA26" s="86">
        <v>934784</v>
      </c>
      <c r="AB26" s="86">
        <v>934784</v>
      </c>
      <c r="AC26" s="85">
        <f t="shared" si="6"/>
        <v>0</v>
      </c>
      <c r="AD26" s="83">
        <v>4130000</v>
      </c>
      <c r="AE26" s="86">
        <v>4130000</v>
      </c>
      <c r="AF26" s="86">
        <v>4130000</v>
      </c>
      <c r="AG26" s="85">
        <f t="shared" si="7"/>
        <v>0</v>
      </c>
      <c r="AH26" s="83"/>
      <c r="AI26" s="86"/>
      <c r="AJ26" s="86"/>
      <c r="AK26" s="85">
        <f t="shared" si="8"/>
        <v>0</v>
      </c>
      <c r="AL26" s="83"/>
      <c r="AM26" s="86"/>
      <c r="AN26" s="86"/>
      <c r="AO26" s="85">
        <f t="shared" si="9"/>
        <v>0</v>
      </c>
      <c r="AP26" s="83"/>
      <c r="AQ26" s="86"/>
      <c r="AR26" s="86"/>
      <c r="AS26" s="85">
        <f t="shared" si="10"/>
        <v>0</v>
      </c>
      <c r="AT26" s="83">
        <v>1066000</v>
      </c>
      <c r="AU26" s="86">
        <v>1066000</v>
      </c>
      <c r="AV26" s="86">
        <v>1066000</v>
      </c>
      <c r="AW26" s="85">
        <f t="shared" si="11"/>
        <v>0</v>
      </c>
      <c r="AX26" s="83">
        <v>304800</v>
      </c>
      <c r="AY26" s="86">
        <v>304800</v>
      </c>
      <c r="AZ26" s="86">
        <v>304800</v>
      </c>
      <c r="BA26" s="85">
        <f t="shared" si="12"/>
        <v>0</v>
      </c>
      <c r="BB26" s="87">
        <f t="shared" si="13"/>
        <v>7536384</v>
      </c>
      <c r="BC26" s="88">
        <f t="shared" si="13"/>
        <v>6435584</v>
      </c>
      <c r="BD26" s="88">
        <f t="shared" si="13"/>
        <v>6435584</v>
      </c>
      <c r="BE26" s="89">
        <f t="shared" si="14"/>
        <v>0</v>
      </c>
      <c r="BF26" s="83">
        <v>1470000</v>
      </c>
      <c r="BG26" s="86">
        <v>766966</v>
      </c>
      <c r="BH26" s="86">
        <v>766966</v>
      </c>
      <c r="BI26" s="85">
        <f t="shared" si="15"/>
        <v>0</v>
      </c>
      <c r="BJ26" s="83">
        <v>480000</v>
      </c>
      <c r="BK26" s="86">
        <v>480000</v>
      </c>
      <c r="BL26" s="86">
        <v>480000</v>
      </c>
      <c r="BM26" s="85">
        <f t="shared" si="16"/>
        <v>0</v>
      </c>
      <c r="BN26" s="83">
        <v>0</v>
      </c>
      <c r="BO26" s="86">
        <v>0</v>
      </c>
      <c r="BP26" s="86">
        <v>0</v>
      </c>
      <c r="BQ26" s="85">
        <f t="shared" si="17"/>
        <v>0</v>
      </c>
      <c r="BR26" s="90">
        <f t="shared" si="18"/>
        <v>1950000</v>
      </c>
      <c r="BS26" s="91">
        <f t="shared" si="18"/>
        <v>1246966</v>
      </c>
      <c r="BT26" s="91">
        <f t="shared" si="18"/>
        <v>1246966</v>
      </c>
      <c r="BU26" s="92">
        <f t="shared" si="19"/>
        <v>0</v>
      </c>
      <c r="BV26" s="70">
        <f t="shared" si="43"/>
        <v>20106814</v>
      </c>
      <c r="BW26" s="81">
        <f t="shared" si="43"/>
        <v>17052980</v>
      </c>
      <c r="BX26" s="81">
        <f t="shared" si="43"/>
        <v>17052980</v>
      </c>
      <c r="BY26" s="71">
        <f t="shared" si="20"/>
        <v>0</v>
      </c>
      <c r="BZ26" s="83"/>
      <c r="CA26" s="93">
        <f>BY26</f>
        <v>0</v>
      </c>
      <c r="CB26" s="93">
        <f>BZ26</f>
        <v>0</v>
      </c>
      <c r="CC26" s="72">
        <f t="shared" si="21"/>
        <v>0</v>
      </c>
      <c r="CD26" s="73">
        <f>BZ26+BV26</f>
        <v>20106814</v>
      </c>
      <c r="CE26" s="74">
        <f>CA26+BW26</f>
        <v>17052980</v>
      </c>
      <c r="CF26" s="74">
        <f>CB26+BX26</f>
        <v>17052980</v>
      </c>
      <c r="CG26" s="71">
        <f t="shared" si="22"/>
        <v>0</v>
      </c>
      <c r="CH26" s="94">
        <f>BV26-CD26</f>
        <v>0</v>
      </c>
      <c r="CI26" s="94">
        <f>CE26-BW26</f>
        <v>0</v>
      </c>
      <c r="CJ26" s="94">
        <f>CF26-BX26</f>
        <v>0</v>
      </c>
      <c r="CK26" s="94">
        <f t="shared" si="23"/>
        <v>0</v>
      </c>
      <c r="CL26" s="209"/>
      <c r="CM26" s="210">
        <f t="shared" si="50"/>
        <v>0</v>
      </c>
      <c r="CN26" s="210">
        <f t="shared" si="50"/>
        <v>0</v>
      </c>
      <c r="CO26" s="211">
        <f t="shared" si="24"/>
        <v>0</v>
      </c>
      <c r="CP26" s="212"/>
      <c r="CQ26" s="210">
        <f t="shared" si="46"/>
        <v>0</v>
      </c>
      <c r="CR26" s="210">
        <f t="shared" si="46"/>
        <v>0</v>
      </c>
      <c r="CS26" s="211">
        <f t="shared" si="47"/>
        <v>0</v>
      </c>
      <c r="CT26" s="209"/>
      <c r="CU26" s="210">
        <f t="shared" si="48"/>
        <v>0</v>
      </c>
      <c r="CV26" s="210">
        <f t="shared" si="48"/>
        <v>0</v>
      </c>
      <c r="CW26" s="211">
        <f t="shared" si="49"/>
        <v>0</v>
      </c>
      <c r="CX26" s="58"/>
      <c r="CY26" s="58">
        <f t="shared" si="26"/>
        <v>0</v>
      </c>
    </row>
    <row r="27" spans="1:103" s="1" customFormat="1" ht="14.25" thickBot="1" x14ac:dyDescent="0.3">
      <c r="A27" s="214" t="s">
        <v>61</v>
      </c>
      <c r="B27" s="215">
        <v>0</v>
      </c>
      <c r="C27" s="216"/>
      <c r="D27" s="216"/>
      <c r="E27" s="217">
        <f t="shared" si="0"/>
        <v>0</v>
      </c>
      <c r="F27" s="218"/>
      <c r="G27" s="216"/>
      <c r="H27" s="216"/>
      <c r="I27" s="217">
        <f t="shared" si="1"/>
        <v>0</v>
      </c>
      <c r="J27" s="216"/>
      <c r="K27" s="216"/>
      <c r="L27" s="216"/>
      <c r="M27" s="217">
        <f t="shared" si="2"/>
        <v>0</v>
      </c>
      <c r="N27" s="215"/>
      <c r="O27" s="218"/>
      <c r="P27" s="218"/>
      <c r="Q27" s="217">
        <f t="shared" si="3"/>
        <v>0</v>
      </c>
      <c r="R27" s="215"/>
      <c r="S27" s="218"/>
      <c r="T27" s="218"/>
      <c r="U27" s="217">
        <f t="shared" si="4"/>
        <v>0</v>
      </c>
      <c r="V27" s="215"/>
      <c r="W27" s="218"/>
      <c r="X27" s="218"/>
      <c r="Y27" s="217">
        <f t="shared" si="5"/>
        <v>0</v>
      </c>
      <c r="Z27" s="215"/>
      <c r="AA27" s="218"/>
      <c r="AB27" s="218"/>
      <c r="AC27" s="217">
        <f t="shared" si="6"/>
        <v>0</v>
      </c>
      <c r="AD27" s="215"/>
      <c r="AE27" s="218"/>
      <c r="AF27" s="218"/>
      <c r="AG27" s="217">
        <f t="shared" si="7"/>
        <v>0</v>
      </c>
      <c r="AH27" s="215"/>
      <c r="AI27" s="218"/>
      <c r="AJ27" s="218"/>
      <c r="AK27" s="217">
        <f t="shared" si="8"/>
        <v>0</v>
      </c>
      <c r="AL27" s="215"/>
      <c r="AM27" s="218"/>
      <c r="AN27" s="218"/>
      <c r="AO27" s="217">
        <f t="shared" si="9"/>
        <v>0</v>
      </c>
      <c r="AP27" s="215"/>
      <c r="AQ27" s="218"/>
      <c r="AR27" s="218"/>
      <c r="AS27" s="217">
        <f t="shared" si="10"/>
        <v>0</v>
      </c>
      <c r="AT27" s="215"/>
      <c r="AU27" s="218"/>
      <c r="AV27" s="218"/>
      <c r="AW27" s="217">
        <f t="shared" si="11"/>
        <v>0</v>
      </c>
      <c r="AX27" s="215"/>
      <c r="AY27" s="218"/>
      <c r="AZ27" s="218"/>
      <c r="BA27" s="217">
        <f t="shared" si="12"/>
        <v>0</v>
      </c>
      <c r="BB27" s="219">
        <f t="shared" si="13"/>
        <v>0</v>
      </c>
      <c r="BC27" s="220">
        <f t="shared" si="13"/>
        <v>0</v>
      </c>
      <c r="BD27" s="220">
        <f t="shared" si="13"/>
        <v>0</v>
      </c>
      <c r="BE27" s="221">
        <f t="shared" si="14"/>
        <v>0</v>
      </c>
      <c r="BF27" s="215"/>
      <c r="BG27" s="218"/>
      <c r="BH27" s="218"/>
      <c r="BI27" s="217">
        <f t="shared" si="15"/>
        <v>0</v>
      </c>
      <c r="BJ27" s="215"/>
      <c r="BK27" s="218"/>
      <c r="BL27" s="218"/>
      <c r="BM27" s="217">
        <f t="shared" si="16"/>
        <v>0</v>
      </c>
      <c r="BN27" s="215"/>
      <c r="BO27" s="218"/>
      <c r="BP27" s="218"/>
      <c r="BQ27" s="217">
        <f t="shared" si="17"/>
        <v>0</v>
      </c>
      <c r="BR27" s="222">
        <f t="shared" si="18"/>
        <v>0</v>
      </c>
      <c r="BS27" s="223">
        <f t="shared" si="18"/>
        <v>0</v>
      </c>
      <c r="BT27" s="223">
        <f t="shared" si="18"/>
        <v>0</v>
      </c>
      <c r="BU27" s="224">
        <f t="shared" si="19"/>
        <v>0</v>
      </c>
      <c r="BV27" s="225">
        <f t="shared" si="43"/>
        <v>0</v>
      </c>
      <c r="BW27" s="226">
        <f t="shared" si="43"/>
        <v>0</v>
      </c>
      <c r="BX27" s="226">
        <f t="shared" si="43"/>
        <v>0</v>
      </c>
      <c r="BY27" s="227">
        <f t="shared" si="20"/>
        <v>0</v>
      </c>
      <c r="BZ27" s="215">
        <v>0</v>
      </c>
      <c r="CA27" s="228">
        <v>0</v>
      </c>
      <c r="CB27" s="228">
        <v>0</v>
      </c>
      <c r="CC27" s="229">
        <f t="shared" si="21"/>
        <v>0</v>
      </c>
      <c r="CD27" s="230">
        <f>BZ27+BV27</f>
        <v>0</v>
      </c>
      <c r="CE27" s="231">
        <f>CA27+BW27</f>
        <v>0</v>
      </c>
      <c r="CF27" s="231">
        <f>CB27+BX27</f>
        <v>0</v>
      </c>
      <c r="CG27" s="227">
        <f t="shared" si="22"/>
        <v>0</v>
      </c>
      <c r="CH27" s="232">
        <f>CD27-BV27</f>
        <v>0</v>
      </c>
      <c r="CI27" s="232">
        <f>CE27-BW27</f>
        <v>0</v>
      </c>
      <c r="CJ27" s="232">
        <f>CF27-BX27</f>
        <v>0</v>
      </c>
      <c r="CK27" s="232">
        <f t="shared" si="23"/>
        <v>0</v>
      </c>
      <c r="CL27" s="209"/>
      <c r="CM27" s="210">
        <f t="shared" si="50"/>
        <v>0</v>
      </c>
      <c r="CN27" s="210">
        <f t="shared" si="50"/>
        <v>0</v>
      </c>
      <c r="CO27" s="211">
        <f t="shared" si="24"/>
        <v>0</v>
      </c>
      <c r="CP27" s="212"/>
      <c r="CQ27" s="210">
        <f t="shared" si="46"/>
        <v>0</v>
      </c>
      <c r="CR27" s="210">
        <f t="shared" si="46"/>
        <v>0</v>
      </c>
      <c r="CS27" s="211">
        <f t="shared" si="47"/>
        <v>0</v>
      </c>
      <c r="CT27" s="209"/>
      <c r="CU27" s="210">
        <f t="shared" si="48"/>
        <v>0</v>
      </c>
      <c r="CV27" s="210">
        <f t="shared" si="48"/>
        <v>0</v>
      </c>
      <c r="CW27" s="211">
        <f t="shared" si="49"/>
        <v>0</v>
      </c>
      <c r="CX27" s="58"/>
      <c r="CY27" s="58">
        <f t="shared" si="26"/>
        <v>0</v>
      </c>
    </row>
    <row r="28" spans="1:103" s="2" customFormat="1" ht="15.75" customHeight="1" thickBot="1" x14ac:dyDescent="0.3">
      <c r="A28" s="121" t="s">
        <v>27</v>
      </c>
      <c r="B28" s="122">
        <f>SUM(B20+B23+B27)</f>
        <v>48053257</v>
      </c>
      <c r="C28" s="122">
        <f>SUM(C20+C23+C27)</f>
        <v>45191470</v>
      </c>
      <c r="D28" s="122">
        <f>SUM(D20+D23+D27)</f>
        <v>49892532</v>
      </c>
      <c r="E28" s="123">
        <f t="shared" si="0"/>
        <v>4701062</v>
      </c>
      <c r="F28" s="124">
        <f>SUM(F20+F23+F27)</f>
        <v>109328698</v>
      </c>
      <c r="G28" s="125">
        <f>SUM(G20+G23+G27)</f>
        <v>87886824</v>
      </c>
      <c r="H28" s="125">
        <f>SUM(H20+H23+H27)</f>
        <v>102243281</v>
      </c>
      <c r="I28" s="123">
        <f t="shared" si="1"/>
        <v>14356457</v>
      </c>
      <c r="J28" s="125">
        <f>SUM(J20+J23+J27)</f>
        <v>54354784</v>
      </c>
      <c r="K28" s="125">
        <f>SUM(K20+K23+K27)</f>
        <v>49354169</v>
      </c>
      <c r="L28" s="125">
        <f>SUM(L20+L23+L27)</f>
        <v>58384683</v>
      </c>
      <c r="M28" s="123">
        <f t="shared" si="2"/>
        <v>9030514</v>
      </c>
      <c r="N28" s="122">
        <f>SUM(N20+N23+N27)</f>
        <v>384068859</v>
      </c>
      <c r="O28" s="124">
        <f>SUM(O20+O23+O27)</f>
        <v>360869143</v>
      </c>
      <c r="P28" s="124">
        <f>SUM(P20+P23+P27)</f>
        <v>381728901</v>
      </c>
      <c r="Q28" s="123">
        <f t="shared" si="3"/>
        <v>20859758</v>
      </c>
      <c r="R28" s="122">
        <f>SUM(R20+R23+R27)</f>
        <v>178263177</v>
      </c>
      <c r="S28" s="124">
        <f>SUM(S20+S23+S27)</f>
        <v>194236796</v>
      </c>
      <c r="T28" s="124">
        <f>SUM(T20+T23+T27)</f>
        <v>222182916</v>
      </c>
      <c r="U28" s="123">
        <f t="shared" si="4"/>
        <v>27946120</v>
      </c>
      <c r="V28" s="122">
        <f>SUM(V20+V23+V27)</f>
        <v>92486622</v>
      </c>
      <c r="W28" s="124">
        <f>SUM(W20+W23+W27)</f>
        <v>84151064</v>
      </c>
      <c r="X28" s="124">
        <f>SUM(X20+X23+X27)</f>
        <v>92554935</v>
      </c>
      <c r="Y28" s="123">
        <f t="shared" si="5"/>
        <v>8403871</v>
      </c>
      <c r="Z28" s="122">
        <f>SUM(Z20+Z23+Z27)</f>
        <v>23934867</v>
      </c>
      <c r="AA28" s="124">
        <f>SUM(AA20+AA23+AA27)</f>
        <v>23589984</v>
      </c>
      <c r="AB28" s="124">
        <f>SUM(AB20+AB23+AB27)</f>
        <v>25492423</v>
      </c>
      <c r="AC28" s="123">
        <f t="shared" si="6"/>
        <v>1902439</v>
      </c>
      <c r="AD28" s="122">
        <f>SUM(AD20+AD23+AD27)</f>
        <v>53928603</v>
      </c>
      <c r="AE28" s="124">
        <f>SUM(AE20+AE23+AE27)</f>
        <v>51121756</v>
      </c>
      <c r="AF28" s="124">
        <f>SUM(AF20+AF23+AF27)</f>
        <v>53937736</v>
      </c>
      <c r="AG28" s="123">
        <f t="shared" si="7"/>
        <v>2815980</v>
      </c>
      <c r="AH28" s="122">
        <f>SUM(AH20+AH23+AH27)</f>
        <v>0</v>
      </c>
      <c r="AI28" s="124">
        <f>SUM(AI20+AI23+AI27)</f>
        <v>28705563</v>
      </c>
      <c r="AJ28" s="124">
        <f>SUM(AJ20+AJ23+AJ27)</f>
        <v>27564125</v>
      </c>
      <c r="AK28" s="123">
        <f t="shared" si="8"/>
        <v>-1141438</v>
      </c>
      <c r="AL28" s="122">
        <f>SUM(AL20+AL23+AL27)</f>
        <v>0</v>
      </c>
      <c r="AM28" s="124">
        <f>SUM(AM20+AM23+AM27)</f>
        <v>4713368</v>
      </c>
      <c r="AN28" s="124">
        <f>SUM(AN20+AN23+AN27)</f>
        <v>6288544</v>
      </c>
      <c r="AO28" s="123">
        <f t="shared" si="9"/>
        <v>1575176</v>
      </c>
      <c r="AP28" s="122">
        <f>SUM(AP20+AP23+AP27)</f>
        <v>0</v>
      </c>
      <c r="AQ28" s="124">
        <f>SUM(AQ20+AQ23+AQ27)</f>
        <v>7541429</v>
      </c>
      <c r="AR28" s="124">
        <f>SUM(AR20+AR23+AR27)</f>
        <v>5324611</v>
      </c>
      <c r="AS28" s="123">
        <f t="shared" si="10"/>
        <v>-2216818</v>
      </c>
      <c r="AT28" s="122">
        <f>SUM(AT20+AT23+AT27)</f>
        <v>20610600</v>
      </c>
      <c r="AU28" s="124">
        <f>SUM(AU20+AU23+AU27)</f>
        <v>20610600</v>
      </c>
      <c r="AV28" s="124">
        <f>SUM(AV20+AV23+AV27)</f>
        <v>22533641</v>
      </c>
      <c r="AW28" s="123">
        <f t="shared" si="11"/>
        <v>1923041</v>
      </c>
      <c r="AX28" s="122">
        <f>SUM(AX20+AX23+AX27)</f>
        <v>17257369</v>
      </c>
      <c r="AY28" s="124">
        <f>SUM(AY20+AY23+AY27)</f>
        <v>17257369</v>
      </c>
      <c r="AZ28" s="124">
        <f>SUM(AZ20+AZ23+AZ27)</f>
        <v>18592959</v>
      </c>
      <c r="BA28" s="123">
        <f t="shared" si="12"/>
        <v>1335590</v>
      </c>
      <c r="BB28" s="126">
        <f t="shared" si="13"/>
        <v>208218061</v>
      </c>
      <c r="BC28" s="127">
        <f t="shared" si="13"/>
        <v>237691133</v>
      </c>
      <c r="BD28" s="127">
        <f t="shared" si="13"/>
        <v>252288974</v>
      </c>
      <c r="BE28" s="128">
        <f t="shared" si="14"/>
        <v>14597841</v>
      </c>
      <c r="BF28" s="122">
        <f>SUM(BF20+BF23+BF27)</f>
        <v>87797311</v>
      </c>
      <c r="BG28" s="124">
        <f>SUM(BG20+BG23+BG27)</f>
        <v>82822879</v>
      </c>
      <c r="BH28" s="124">
        <f>SUM(BH20+BH23+BH27)</f>
        <v>58508951</v>
      </c>
      <c r="BI28" s="123">
        <f t="shared" si="15"/>
        <v>-24313928</v>
      </c>
      <c r="BJ28" s="122">
        <f>SUM(BJ20+BJ23+BJ27)</f>
        <v>19714529</v>
      </c>
      <c r="BK28" s="124">
        <f>SUM(BK20+BK23+BK27)</f>
        <v>18679784</v>
      </c>
      <c r="BL28" s="124">
        <f>SUM(BL20+BL23+BL27)</f>
        <v>11384638</v>
      </c>
      <c r="BM28" s="123">
        <f t="shared" si="16"/>
        <v>-7295146</v>
      </c>
      <c r="BN28" s="122">
        <f>SUM(BN20+BN23+BN27)</f>
        <v>15364650</v>
      </c>
      <c r="BO28" s="124">
        <f>SUM(BO20+BO23+BO27)</f>
        <v>15364650</v>
      </c>
      <c r="BP28" s="124">
        <f>SUM(BP20+BP23+BP27)</f>
        <v>10619345</v>
      </c>
      <c r="BQ28" s="123">
        <f t="shared" si="17"/>
        <v>-4745305</v>
      </c>
      <c r="BR28" s="129">
        <f t="shared" si="18"/>
        <v>122876490</v>
      </c>
      <c r="BS28" s="130">
        <f t="shared" si="18"/>
        <v>116867313</v>
      </c>
      <c r="BT28" s="130">
        <f t="shared" si="18"/>
        <v>80512934</v>
      </c>
      <c r="BU28" s="131">
        <f t="shared" si="19"/>
        <v>-36354379</v>
      </c>
      <c r="BV28" s="132">
        <f>SUM(BV20+BV23+BV27)</f>
        <v>1105163326</v>
      </c>
      <c r="BW28" s="133">
        <f>SUM(BW20+BW23+BW27)</f>
        <v>1092096848</v>
      </c>
      <c r="BX28" s="133">
        <f>SUM(BX20+BX23+BX27)</f>
        <v>1147234221</v>
      </c>
      <c r="BY28" s="134">
        <f t="shared" si="20"/>
        <v>55137373</v>
      </c>
      <c r="BZ28" s="122">
        <f>SUM(BZ20+BZ23+BZ27)</f>
        <v>1210000000</v>
      </c>
      <c r="CA28" s="135">
        <f>SUM(CA20+CA23+CA27)</f>
        <v>1210000000</v>
      </c>
      <c r="CB28" s="135">
        <f>SUM(CB20+CB23+CB27)</f>
        <v>1240083774</v>
      </c>
      <c r="CC28" s="136">
        <f t="shared" si="21"/>
        <v>30083774</v>
      </c>
      <c r="CD28" s="137">
        <f>SUM(CD20+CD23+CD27)</f>
        <v>2315163326</v>
      </c>
      <c r="CE28" s="135">
        <f>SUM(CE20+CE23+CE27)</f>
        <v>2261136488</v>
      </c>
      <c r="CF28" s="135">
        <f>SUM(CF20+CF23+CF27)</f>
        <v>2387317995</v>
      </c>
      <c r="CG28" s="136">
        <f t="shared" si="22"/>
        <v>126181507</v>
      </c>
      <c r="CH28" s="138">
        <f>SUM(CH20+CH23+CH27)</f>
        <v>1255339333</v>
      </c>
      <c r="CI28" s="138">
        <f>SUM(CI20+CI23+CI27)</f>
        <v>1255339333</v>
      </c>
      <c r="CJ28" s="138">
        <f>SUM(CJ20+CJ23+CJ27)</f>
        <v>1370408809</v>
      </c>
      <c r="CK28" s="138">
        <f t="shared" si="23"/>
        <v>115069476</v>
      </c>
      <c r="CL28" s="139">
        <f>SUM(CL20+CL27)</f>
        <v>105275000</v>
      </c>
      <c r="CM28" s="140">
        <f>SUM(CM20+CM27)</f>
        <v>160247720</v>
      </c>
      <c r="CN28" s="140">
        <f>SUM(CN20+CN27)</f>
        <v>160247720</v>
      </c>
      <c r="CO28" s="141">
        <f t="shared" si="24"/>
        <v>0</v>
      </c>
      <c r="CP28" s="142">
        <f t="shared" ref="CP28:CW28" si="51">SUM(CP20+CP27)</f>
        <v>0</v>
      </c>
      <c r="CQ28" s="140">
        <f t="shared" si="51"/>
        <v>0</v>
      </c>
      <c r="CR28" s="140">
        <f t="shared" si="51"/>
        <v>0</v>
      </c>
      <c r="CS28" s="141">
        <f t="shared" si="51"/>
        <v>0</v>
      </c>
      <c r="CT28" s="139">
        <f t="shared" si="51"/>
        <v>0</v>
      </c>
      <c r="CU28" s="140">
        <f t="shared" si="51"/>
        <v>0</v>
      </c>
      <c r="CV28" s="140">
        <f t="shared" si="51"/>
        <v>0</v>
      </c>
      <c r="CW28" s="141">
        <f t="shared" si="51"/>
        <v>0</v>
      </c>
      <c r="CX28" s="143"/>
      <c r="CY28" s="58">
        <f t="shared" si="26"/>
        <v>160247720</v>
      </c>
    </row>
    <row r="29" spans="1:103" s="2" customFormat="1" ht="15.75" customHeight="1" thickBot="1" x14ac:dyDescent="0.3">
      <c r="A29" s="233" t="s">
        <v>3</v>
      </c>
      <c r="B29" s="122">
        <f>B28+B19</f>
        <v>49503257</v>
      </c>
      <c r="C29" s="122">
        <f>C28+C19</f>
        <v>46641470</v>
      </c>
      <c r="D29" s="122">
        <f>D28+D19</f>
        <v>75884994</v>
      </c>
      <c r="E29" s="123">
        <f t="shared" si="0"/>
        <v>29243524</v>
      </c>
      <c r="F29" s="234">
        <f>F28+F19</f>
        <v>215557926</v>
      </c>
      <c r="G29" s="125">
        <f>G28+G19</f>
        <v>191923252</v>
      </c>
      <c r="H29" s="125">
        <f>H28+H19</f>
        <v>256953523</v>
      </c>
      <c r="I29" s="123">
        <f t="shared" si="1"/>
        <v>65030271</v>
      </c>
      <c r="J29" s="235">
        <f>J28+J19</f>
        <v>57454784</v>
      </c>
      <c r="K29" s="125">
        <f>K28+K19</f>
        <v>52330199</v>
      </c>
      <c r="L29" s="125">
        <f>L28+L19</f>
        <v>62666661</v>
      </c>
      <c r="M29" s="123">
        <f t="shared" si="2"/>
        <v>10336462</v>
      </c>
      <c r="N29" s="236">
        <f>N28+N19</f>
        <v>386268859</v>
      </c>
      <c r="O29" s="124">
        <f>O28+O19</f>
        <v>362863576</v>
      </c>
      <c r="P29" s="124">
        <f>P28+P19</f>
        <v>384607495</v>
      </c>
      <c r="Q29" s="123">
        <f t="shared" si="3"/>
        <v>21743919</v>
      </c>
      <c r="R29" s="236">
        <f>R28+R19</f>
        <v>279723177</v>
      </c>
      <c r="S29" s="124">
        <f>S28+S19</f>
        <v>295141796</v>
      </c>
      <c r="T29" s="124">
        <f>T28+T19</f>
        <v>323087916</v>
      </c>
      <c r="U29" s="123">
        <f t="shared" si="4"/>
        <v>27946120</v>
      </c>
      <c r="V29" s="236">
        <f>V28+V19</f>
        <v>92886622</v>
      </c>
      <c r="W29" s="124">
        <f>W28+W19</f>
        <v>84251064</v>
      </c>
      <c r="X29" s="124">
        <f>X28+X19</f>
        <v>97007069</v>
      </c>
      <c r="Y29" s="123">
        <f t="shared" si="5"/>
        <v>12756005</v>
      </c>
      <c r="Z29" s="236">
        <f>Z28+Z19</f>
        <v>23934867</v>
      </c>
      <c r="AA29" s="124">
        <f>AA28+AA19</f>
        <v>23589984</v>
      </c>
      <c r="AB29" s="124">
        <f>AB28+AB19</f>
        <v>25492423</v>
      </c>
      <c r="AC29" s="123">
        <f t="shared" si="6"/>
        <v>1902439</v>
      </c>
      <c r="AD29" s="236">
        <f>AD28+AD19</f>
        <v>54365503</v>
      </c>
      <c r="AE29" s="124">
        <f>AE28+AE19</f>
        <v>51258656</v>
      </c>
      <c r="AF29" s="124">
        <f>AF28+AF19</f>
        <v>54074636</v>
      </c>
      <c r="AG29" s="123">
        <f t="shared" si="7"/>
        <v>2815980</v>
      </c>
      <c r="AH29" s="236">
        <f>AH28+AH19</f>
        <v>0</v>
      </c>
      <c r="AI29" s="124">
        <f>AI28+AI19</f>
        <v>28794227</v>
      </c>
      <c r="AJ29" s="124">
        <f>AJ28+AJ19</f>
        <v>27652789</v>
      </c>
      <c r="AK29" s="123">
        <f t="shared" si="8"/>
        <v>-1141438</v>
      </c>
      <c r="AL29" s="236">
        <f>AL28+AL19</f>
        <v>0</v>
      </c>
      <c r="AM29" s="124">
        <f>AM28+AM19</f>
        <v>4704117</v>
      </c>
      <c r="AN29" s="124">
        <f>AN28+AN19</f>
        <v>6279293</v>
      </c>
      <c r="AO29" s="123">
        <f t="shared" si="9"/>
        <v>1575176</v>
      </c>
      <c r="AP29" s="236">
        <f>AP28+AP19</f>
        <v>0</v>
      </c>
      <c r="AQ29" s="124">
        <f>AQ28+AQ19</f>
        <v>7541429</v>
      </c>
      <c r="AR29" s="124">
        <f>AR28+AR19</f>
        <v>5324611</v>
      </c>
      <c r="AS29" s="123">
        <f t="shared" si="10"/>
        <v>-2216818</v>
      </c>
      <c r="AT29" s="236">
        <f>AT28+AT19</f>
        <v>20730600</v>
      </c>
      <c r="AU29" s="124">
        <f>AU28+AU19</f>
        <v>20730600</v>
      </c>
      <c r="AV29" s="124">
        <f>AV28+AV19</f>
        <v>22653641</v>
      </c>
      <c r="AW29" s="123">
        <f t="shared" si="11"/>
        <v>1923041</v>
      </c>
      <c r="AX29" s="236">
        <f>AX28+AX19</f>
        <v>17327369</v>
      </c>
      <c r="AY29" s="124">
        <f>AY28+AY19</f>
        <v>17327369</v>
      </c>
      <c r="AZ29" s="124">
        <f>AZ28+AZ19</f>
        <v>18788048</v>
      </c>
      <c r="BA29" s="123">
        <f t="shared" si="12"/>
        <v>1460679</v>
      </c>
      <c r="BB29" s="237">
        <f t="shared" si="13"/>
        <v>209244961</v>
      </c>
      <c r="BC29" s="127">
        <f t="shared" si="13"/>
        <v>238197446</v>
      </c>
      <c r="BD29" s="127">
        <f t="shared" si="13"/>
        <v>257272510</v>
      </c>
      <c r="BE29" s="128">
        <f t="shared" si="14"/>
        <v>19075064</v>
      </c>
      <c r="BF29" s="236">
        <f>BF28+BF19</f>
        <v>88497311</v>
      </c>
      <c r="BG29" s="124">
        <f>BG28+BG19</f>
        <v>83461096</v>
      </c>
      <c r="BH29" s="124">
        <f>BH28+BH19</f>
        <v>59332077</v>
      </c>
      <c r="BI29" s="123">
        <f t="shared" si="15"/>
        <v>-24129019</v>
      </c>
      <c r="BJ29" s="236">
        <f>BJ28+BJ19</f>
        <v>19814529</v>
      </c>
      <c r="BK29" s="124">
        <f>BK28+BK19</f>
        <v>18894356</v>
      </c>
      <c r="BL29" s="124">
        <f>BL28+BL19</f>
        <v>11889863</v>
      </c>
      <c r="BM29" s="123">
        <f t="shared" si="16"/>
        <v>-7004493</v>
      </c>
      <c r="BN29" s="236">
        <f>BN28+BN19</f>
        <v>15424650</v>
      </c>
      <c r="BO29" s="124">
        <f>BO28+BO19</f>
        <v>15424650</v>
      </c>
      <c r="BP29" s="124">
        <f>BP28+BP19</f>
        <v>10679345</v>
      </c>
      <c r="BQ29" s="123">
        <f t="shared" si="17"/>
        <v>-4745305</v>
      </c>
      <c r="BR29" s="238">
        <f t="shared" si="18"/>
        <v>123736490</v>
      </c>
      <c r="BS29" s="130">
        <f t="shared" si="18"/>
        <v>117780102</v>
      </c>
      <c r="BT29" s="130">
        <f t="shared" si="18"/>
        <v>81901285</v>
      </c>
      <c r="BU29" s="131">
        <f t="shared" si="19"/>
        <v>-35878817</v>
      </c>
      <c r="BV29" s="225">
        <f>BV28+BV19</f>
        <v>1321489454</v>
      </c>
      <c r="BW29" s="133">
        <f>BW28+BW19</f>
        <v>1304877841</v>
      </c>
      <c r="BX29" s="133">
        <f>BX28+BX19</f>
        <v>1442374384</v>
      </c>
      <c r="BY29" s="134">
        <f t="shared" si="20"/>
        <v>137496543</v>
      </c>
      <c r="BZ29" s="236">
        <f>BZ28+BZ19</f>
        <v>3773695556</v>
      </c>
      <c r="CA29" s="135">
        <f>CA28+CA19</f>
        <v>3682852194</v>
      </c>
      <c r="CB29" s="135">
        <f>CB28+CB19</f>
        <v>3917860890</v>
      </c>
      <c r="CC29" s="136">
        <f t="shared" si="21"/>
        <v>235008696</v>
      </c>
      <c r="CD29" s="230">
        <f>CD28+CD19</f>
        <v>5095185010</v>
      </c>
      <c r="CE29" s="135">
        <f>CE28+CE19</f>
        <v>4946690262</v>
      </c>
      <c r="CF29" s="135">
        <f>CF28+CF19</f>
        <v>5360235274</v>
      </c>
      <c r="CG29" s="136">
        <f t="shared" si="22"/>
        <v>413545012</v>
      </c>
      <c r="CH29" s="239">
        <f>CH28+CH19</f>
        <v>4035361017</v>
      </c>
      <c r="CI29" s="239">
        <f>CI28+CI19</f>
        <v>3940893107</v>
      </c>
      <c r="CJ29" s="239">
        <f>CJ28+CJ19</f>
        <v>4343326088</v>
      </c>
      <c r="CK29" s="239">
        <f t="shared" si="23"/>
        <v>402432981</v>
      </c>
      <c r="CL29" s="240">
        <f>CL28+CL19</f>
        <v>1738019583</v>
      </c>
      <c r="CM29" s="140">
        <f>CM28+CM19</f>
        <v>1854528414</v>
      </c>
      <c r="CN29" s="140">
        <f>CN28+CN19</f>
        <v>1855199525</v>
      </c>
      <c r="CO29" s="141">
        <f t="shared" si="24"/>
        <v>671111</v>
      </c>
      <c r="CP29" s="241">
        <f t="shared" ref="CP29:CW29" si="52">CP28+CP19</f>
        <v>137688</v>
      </c>
      <c r="CQ29" s="140">
        <f t="shared" si="52"/>
        <v>138788</v>
      </c>
      <c r="CR29" s="140">
        <f t="shared" si="52"/>
        <v>139888</v>
      </c>
      <c r="CS29" s="141">
        <f t="shared" si="52"/>
        <v>1100</v>
      </c>
      <c r="CT29" s="240">
        <f t="shared" si="52"/>
        <v>0</v>
      </c>
      <c r="CU29" s="140">
        <f t="shared" si="52"/>
        <v>0</v>
      </c>
      <c r="CV29" s="140">
        <f t="shared" si="52"/>
        <v>0</v>
      </c>
      <c r="CW29" s="141">
        <f t="shared" si="52"/>
        <v>0</v>
      </c>
      <c r="CX29" s="143"/>
      <c r="CY29" s="58">
        <f t="shared" si="26"/>
        <v>1854667202</v>
      </c>
    </row>
    <row r="30" spans="1:103" s="1" customFormat="1" ht="7.5" customHeight="1" thickBot="1" x14ac:dyDescent="0.3">
      <c r="F30" s="242"/>
      <c r="G30" s="243"/>
      <c r="H30" s="243"/>
      <c r="I30" s="244"/>
      <c r="BV30" s="245"/>
      <c r="CD30" s="246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58">
        <f>SUM(CL30:CT30)</f>
        <v>0</v>
      </c>
    </row>
    <row r="31" spans="1:103" s="1" customFormat="1" ht="25.5" customHeight="1" x14ac:dyDescent="0.25">
      <c r="A31" s="388" t="s">
        <v>57</v>
      </c>
      <c r="B31" s="390" t="s">
        <v>10</v>
      </c>
      <c r="C31" s="391"/>
      <c r="D31" s="392"/>
      <c r="E31" s="393"/>
      <c r="F31" s="394" t="s">
        <v>37</v>
      </c>
      <c r="G31" s="395"/>
      <c r="H31" s="396"/>
      <c r="I31" s="397"/>
      <c r="J31" s="398" t="s">
        <v>13</v>
      </c>
      <c r="K31" s="399"/>
      <c r="L31" s="400"/>
      <c r="M31" s="401"/>
      <c r="N31" s="394" t="s">
        <v>9</v>
      </c>
      <c r="O31" s="395"/>
      <c r="P31" s="396"/>
      <c r="Q31" s="397"/>
      <c r="R31" s="394" t="s">
        <v>55</v>
      </c>
      <c r="S31" s="395"/>
      <c r="T31" s="396"/>
      <c r="U31" s="397"/>
      <c r="V31" s="376" t="s">
        <v>75</v>
      </c>
      <c r="W31" s="377"/>
      <c r="X31" s="378"/>
      <c r="Y31" s="379"/>
      <c r="Z31" s="376" t="s">
        <v>76</v>
      </c>
      <c r="AA31" s="377"/>
      <c r="AB31" s="378"/>
      <c r="AC31" s="379"/>
      <c r="AD31" s="376" t="s">
        <v>77</v>
      </c>
      <c r="AE31" s="377"/>
      <c r="AF31" s="378"/>
      <c r="AG31" s="379"/>
      <c r="AH31" s="376" t="s">
        <v>78</v>
      </c>
      <c r="AI31" s="377"/>
      <c r="AJ31" s="378"/>
      <c r="AK31" s="379"/>
      <c r="AL31" s="376" t="s">
        <v>79</v>
      </c>
      <c r="AM31" s="377"/>
      <c r="AN31" s="378"/>
      <c r="AO31" s="379"/>
      <c r="AP31" s="376" t="s">
        <v>80</v>
      </c>
      <c r="AQ31" s="377"/>
      <c r="AR31" s="378"/>
      <c r="AS31" s="379"/>
      <c r="AT31" s="376" t="s">
        <v>81</v>
      </c>
      <c r="AU31" s="377"/>
      <c r="AV31" s="378"/>
      <c r="AW31" s="379"/>
      <c r="AX31" s="376" t="s">
        <v>82</v>
      </c>
      <c r="AY31" s="377"/>
      <c r="AZ31" s="378"/>
      <c r="BA31" s="379"/>
      <c r="BB31" s="376" t="s">
        <v>83</v>
      </c>
      <c r="BC31" s="377"/>
      <c r="BD31" s="378"/>
      <c r="BE31" s="379"/>
      <c r="BF31" s="380" t="s">
        <v>64</v>
      </c>
      <c r="BG31" s="381"/>
      <c r="BH31" s="382"/>
      <c r="BI31" s="383"/>
      <c r="BJ31" s="380" t="s">
        <v>65</v>
      </c>
      <c r="BK31" s="381"/>
      <c r="BL31" s="382"/>
      <c r="BM31" s="383"/>
      <c r="BN31" s="380" t="s">
        <v>66</v>
      </c>
      <c r="BO31" s="381"/>
      <c r="BP31" s="382"/>
      <c r="BQ31" s="383"/>
      <c r="BR31" s="380" t="s">
        <v>58</v>
      </c>
      <c r="BS31" s="381"/>
      <c r="BT31" s="382"/>
      <c r="BU31" s="383"/>
      <c r="BV31" s="384" t="s">
        <v>1</v>
      </c>
      <c r="BW31" s="385"/>
      <c r="BX31" s="386"/>
      <c r="BY31" s="387"/>
      <c r="BZ31" s="364" t="s">
        <v>8</v>
      </c>
      <c r="CA31" s="365"/>
      <c r="CB31" s="366"/>
      <c r="CC31" s="367"/>
      <c r="CD31" s="368" t="s">
        <v>42</v>
      </c>
      <c r="CE31" s="369"/>
      <c r="CF31" s="370"/>
      <c r="CG31" s="371"/>
      <c r="CH31" s="364" t="s">
        <v>50</v>
      </c>
      <c r="CI31" s="365"/>
      <c r="CJ31" s="366"/>
      <c r="CK31" s="367"/>
      <c r="CL31" s="372" t="s">
        <v>51</v>
      </c>
      <c r="CM31" s="373"/>
      <c r="CN31" s="374"/>
      <c r="CO31" s="375"/>
      <c r="CP31" s="372" t="s">
        <v>53</v>
      </c>
      <c r="CQ31" s="373"/>
      <c r="CR31" s="374"/>
      <c r="CS31" s="375"/>
      <c r="CT31" s="372" t="s">
        <v>54</v>
      </c>
      <c r="CU31" s="373"/>
      <c r="CV31" s="374"/>
      <c r="CW31" s="375"/>
      <c r="CX31" s="11"/>
      <c r="CY31" s="58">
        <f>SUM(CL31:CT31)</f>
        <v>0</v>
      </c>
    </row>
    <row r="32" spans="1:103" s="1" customFormat="1" ht="26.25" thickBot="1" x14ac:dyDescent="0.25">
      <c r="A32" s="389"/>
      <c r="B32" s="13" t="s">
        <v>67</v>
      </c>
      <c r="C32" s="14" t="s">
        <v>68</v>
      </c>
      <c r="D32" s="14" t="s">
        <v>84</v>
      </c>
      <c r="E32" s="15" t="s">
        <v>69</v>
      </c>
      <c r="F32" s="13" t="s">
        <v>67</v>
      </c>
      <c r="G32" s="14" t="s">
        <v>68</v>
      </c>
      <c r="H32" s="14" t="s">
        <v>84</v>
      </c>
      <c r="I32" s="15" t="s">
        <v>69</v>
      </c>
      <c r="J32" s="16" t="s">
        <v>67</v>
      </c>
      <c r="K32" s="14" t="s">
        <v>68</v>
      </c>
      <c r="L32" s="14" t="s">
        <v>84</v>
      </c>
      <c r="M32" s="15" t="s">
        <v>69</v>
      </c>
      <c r="N32" s="17" t="s">
        <v>67</v>
      </c>
      <c r="O32" s="14" t="s">
        <v>68</v>
      </c>
      <c r="P32" s="14" t="s">
        <v>84</v>
      </c>
      <c r="Q32" s="15" t="s">
        <v>69</v>
      </c>
      <c r="R32" s="17" t="s">
        <v>67</v>
      </c>
      <c r="S32" s="14" t="s">
        <v>68</v>
      </c>
      <c r="T32" s="14" t="s">
        <v>84</v>
      </c>
      <c r="U32" s="15" t="s">
        <v>69</v>
      </c>
      <c r="V32" s="18" t="s">
        <v>67</v>
      </c>
      <c r="W32" s="19" t="s">
        <v>68</v>
      </c>
      <c r="X32" s="19" t="s">
        <v>84</v>
      </c>
      <c r="Y32" s="20" t="s">
        <v>69</v>
      </c>
      <c r="Z32" s="18" t="s">
        <v>67</v>
      </c>
      <c r="AA32" s="19" t="s">
        <v>68</v>
      </c>
      <c r="AB32" s="19" t="s">
        <v>84</v>
      </c>
      <c r="AC32" s="20" t="s">
        <v>69</v>
      </c>
      <c r="AD32" s="18" t="s">
        <v>67</v>
      </c>
      <c r="AE32" s="19" t="s">
        <v>68</v>
      </c>
      <c r="AF32" s="19" t="s">
        <v>84</v>
      </c>
      <c r="AG32" s="20" t="s">
        <v>69</v>
      </c>
      <c r="AH32" s="17" t="s">
        <v>67</v>
      </c>
      <c r="AI32" s="19" t="s">
        <v>85</v>
      </c>
      <c r="AJ32" s="19" t="s">
        <v>84</v>
      </c>
      <c r="AK32" s="20" t="s">
        <v>69</v>
      </c>
      <c r="AL32" s="17" t="s">
        <v>67</v>
      </c>
      <c r="AM32" s="19" t="s">
        <v>85</v>
      </c>
      <c r="AN32" s="19" t="s">
        <v>84</v>
      </c>
      <c r="AO32" s="20" t="s">
        <v>69</v>
      </c>
      <c r="AP32" s="17" t="s">
        <v>67</v>
      </c>
      <c r="AQ32" s="19" t="s">
        <v>85</v>
      </c>
      <c r="AR32" s="19" t="s">
        <v>84</v>
      </c>
      <c r="AS32" s="20" t="s">
        <v>69</v>
      </c>
      <c r="AT32" s="18" t="s">
        <v>67</v>
      </c>
      <c r="AU32" s="19" t="s">
        <v>68</v>
      </c>
      <c r="AV32" s="19" t="s">
        <v>84</v>
      </c>
      <c r="AW32" s="20" t="s">
        <v>69</v>
      </c>
      <c r="AX32" s="18" t="s">
        <v>67</v>
      </c>
      <c r="AY32" s="19" t="s">
        <v>68</v>
      </c>
      <c r="AZ32" s="19" t="s">
        <v>84</v>
      </c>
      <c r="BA32" s="20" t="s">
        <v>69</v>
      </c>
      <c r="BB32" s="21" t="s">
        <v>67</v>
      </c>
      <c r="BC32" s="22" t="s">
        <v>68</v>
      </c>
      <c r="BD32" s="22" t="s">
        <v>84</v>
      </c>
      <c r="BE32" s="23" t="s">
        <v>69</v>
      </c>
      <c r="BF32" s="18" t="s">
        <v>67</v>
      </c>
      <c r="BG32" s="19" t="s">
        <v>68</v>
      </c>
      <c r="BH32" s="19" t="s">
        <v>86</v>
      </c>
      <c r="BI32" s="20" t="s">
        <v>69</v>
      </c>
      <c r="BJ32" s="18" t="s">
        <v>67</v>
      </c>
      <c r="BK32" s="19" t="s">
        <v>68</v>
      </c>
      <c r="BL32" s="19" t="s">
        <v>86</v>
      </c>
      <c r="BM32" s="20" t="s">
        <v>69</v>
      </c>
      <c r="BN32" s="18" t="s">
        <v>67</v>
      </c>
      <c r="BO32" s="19" t="s">
        <v>68</v>
      </c>
      <c r="BP32" s="19" t="s">
        <v>86</v>
      </c>
      <c r="BQ32" s="20" t="s">
        <v>69</v>
      </c>
      <c r="BR32" s="24" t="s">
        <v>67</v>
      </c>
      <c r="BS32" s="25" t="s">
        <v>68</v>
      </c>
      <c r="BT32" s="25" t="s">
        <v>86</v>
      </c>
      <c r="BU32" s="26" t="s">
        <v>69</v>
      </c>
      <c r="BV32" s="27" t="s">
        <v>67</v>
      </c>
      <c r="BW32" s="28" t="s">
        <v>68</v>
      </c>
      <c r="BX32" s="28" t="s">
        <v>84</v>
      </c>
      <c r="BY32" s="29" t="s">
        <v>69</v>
      </c>
      <c r="BZ32" s="17" t="s">
        <v>67</v>
      </c>
      <c r="CA32" s="14" t="s">
        <v>68</v>
      </c>
      <c r="CB32" s="14" t="s">
        <v>84</v>
      </c>
      <c r="CC32" s="15" t="s">
        <v>69</v>
      </c>
      <c r="CD32" s="30" t="s">
        <v>67</v>
      </c>
      <c r="CE32" s="28" t="s">
        <v>68</v>
      </c>
      <c r="CF32" s="28" t="s">
        <v>84</v>
      </c>
      <c r="CG32" s="29" t="s">
        <v>69</v>
      </c>
      <c r="CH32" s="13" t="s">
        <v>67</v>
      </c>
      <c r="CI32" s="14" t="s">
        <v>68</v>
      </c>
      <c r="CJ32" s="14" t="s">
        <v>84</v>
      </c>
      <c r="CK32" s="15" t="s">
        <v>69</v>
      </c>
      <c r="CL32" s="31" t="s">
        <v>67</v>
      </c>
      <c r="CM32" s="32" t="s">
        <v>70</v>
      </c>
      <c r="CN32" s="32" t="s">
        <v>71</v>
      </c>
      <c r="CO32" s="33" t="s">
        <v>69</v>
      </c>
      <c r="CP32" s="34" t="s">
        <v>67</v>
      </c>
      <c r="CQ32" s="32" t="s">
        <v>70</v>
      </c>
      <c r="CR32" s="32" t="s">
        <v>71</v>
      </c>
      <c r="CS32" s="33" t="s">
        <v>69</v>
      </c>
      <c r="CT32" s="34" t="s">
        <v>67</v>
      </c>
      <c r="CU32" s="32" t="s">
        <v>70</v>
      </c>
      <c r="CV32" s="32" t="s">
        <v>71</v>
      </c>
      <c r="CW32" s="33" t="s">
        <v>69</v>
      </c>
      <c r="CX32" s="35"/>
      <c r="CY32" s="58"/>
    </row>
    <row r="33" spans="1:103" s="1" customFormat="1" ht="13.5" x14ac:dyDescent="0.25">
      <c r="A33" s="248" t="s">
        <v>4</v>
      </c>
      <c r="B33" s="37">
        <v>26832449</v>
      </c>
      <c r="C33" s="38">
        <v>24408806</v>
      </c>
      <c r="D33" s="38">
        <v>24859131</v>
      </c>
      <c r="E33" s="53">
        <f t="shared" ref="E33:E52" si="53">D33-C33</f>
        <v>450325</v>
      </c>
      <c r="F33" s="38">
        <v>60499780</v>
      </c>
      <c r="G33" s="38">
        <v>62469099</v>
      </c>
      <c r="H33" s="38">
        <v>69863875</v>
      </c>
      <c r="I33" s="39">
        <f t="shared" ref="I33:I52" si="54">H33-G33</f>
        <v>7394776</v>
      </c>
      <c r="J33" s="38">
        <v>36619513</v>
      </c>
      <c r="K33" s="38">
        <v>33228375</v>
      </c>
      <c r="L33" s="38">
        <v>34097297</v>
      </c>
      <c r="M33" s="39">
        <f t="shared" ref="M33:M52" si="55">L33-K33</f>
        <v>868922</v>
      </c>
      <c r="N33" s="37">
        <v>253482614</v>
      </c>
      <c r="O33" s="144">
        <v>236739628</v>
      </c>
      <c r="P33" s="144">
        <v>237092300</v>
      </c>
      <c r="Q33" s="39">
        <f t="shared" ref="Q33:Q52" si="56">P33-O33</f>
        <v>352672</v>
      </c>
      <c r="R33" s="37">
        <v>168524508</v>
      </c>
      <c r="S33" s="144">
        <v>170796092</v>
      </c>
      <c r="T33" s="144">
        <v>179765403</v>
      </c>
      <c r="U33" s="39">
        <f t="shared" ref="U33:U52" si="57">T33-S33</f>
        <v>8969311</v>
      </c>
      <c r="V33" s="37">
        <v>69158924</v>
      </c>
      <c r="W33" s="144">
        <v>63725761</v>
      </c>
      <c r="X33" s="144">
        <v>63754761</v>
      </c>
      <c r="Y33" s="39">
        <f t="shared" ref="Y33:Y52" si="58">X33-W33</f>
        <v>29000</v>
      </c>
      <c r="Z33" s="37">
        <v>16849970</v>
      </c>
      <c r="AA33" s="144">
        <v>16583561</v>
      </c>
      <c r="AB33" s="144">
        <v>17306563</v>
      </c>
      <c r="AC33" s="39">
        <f t="shared" ref="AC33:AC52" si="59">AB33-AA33</f>
        <v>723002</v>
      </c>
      <c r="AD33" s="37">
        <v>38979188</v>
      </c>
      <c r="AE33" s="144">
        <v>36363826</v>
      </c>
      <c r="AF33" s="144">
        <v>36363826</v>
      </c>
      <c r="AG33" s="39">
        <f t="shared" ref="AG33:AG52" si="60">AF33-AE33</f>
        <v>0</v>
      </c>
      <c r="AH33" s="37"/>
      <c r="AI33" s="144">
        <f>20206722+82440+362245+234617+25000</f>
        <v>20911024</v>
      </c>
      <c r="AJ33" s="144">
        <v>20916324</v>
      </c>
      <c r="AK33" s="39">
        <f t="shared" ref="AK33:AK52" si="61">AJ33-AI33</f>
        <v>5300</v>
      </c>
      <c r="AL33" s="37"/>
      <c r="AM33" s="144">
        <f>3631892+98868+54135+175272+296720</f>
        <v>4256887</v>
      </c>
      <c r="AN33" s="144">
        <v>4256887</v>
      </c>
      <c r="AO33" s="39">
        <f t="shared" ref="AO33:AO52" si="62">AN33-AM33</f>
        <v>0</v>
      </c>
      <c r="AP33" s="37"/>
      <c r="AQ33" s="144">
        <f>5025436+79290+156335+54135+98240+100000</f>
        <v>5513436</v>
      </c>
      <c r="AR33" s="144">
        <v>5513436</v>
      </c>
      <c r="AS33" s="39">
        <f t="shared" ref="AS33:AS52" si="63">AR33-AQ33</f>
        <v>0</v>
      </c>
      <c r="AT33" s="37">
        <v>13891564</v>
      </c>
      <c r="AU33" s="144">
        <v>13891564</v>
      </c>
      <c r="AV33" s="144">
        <v>13891564</v>
      </c>
      <c r="AW33" s="39">
        <f t="shared" ref="AW33:AW52" si="64">AV33-AU33</f>
        <v>0</v>
      </c>
      <c r="AX33" s="37">
        <v>12944416</v>
      </c>
      <c r="AY33" s="144">
        <v>12944416</v>
      </c>
      <c r="AZ33" s="144">
        <v>13060040</v>
      </c>
      <c r="BA33" s="39">
        <f t="shared" ref="BA33:BA52" si="65">AZ33-AY33</f>
        <v>115624</v>
      </c>
      <c r="BB33" s="40">
        <f t="shared" ref="BB33:BD52" si="66">V33+Z33+AD33+AT33+AX33+AP33+AL33+AH33</f>
        <v>151824062</v>
      </c>
      <c r="BC33" s="145">
        <f t="shared" si="66"/>
        <v>174190475</v>
      </c>
      <c r="BD33" s="145">
        <f t="shared" si="66"/>
        <v>175063401</v>
      </c>
      <c r="BE33" s="42">
        <f t="shared" ref="BE33:BE52" si="67">BD33-BC33</f>
        <v>872926</v>
      </c>
      <c r="BF33" s="37">
        <v>65047136</v>
      </c>
      <c r="BG33" s="144">
        <v>61413822</v>
      </c>
      <c r="BH33" s="144">
        <v>40763116</v>
      </c>
      <c r="BI33" s="39">
        <f t="shared" ref="BI33:BI52" si="68">BH33-BG33</f>
        <v>-20650706</v>
      </c>
      <c r="BJ33" s="37">
        <v>14223619</v>
      </c>
      <c r="BK33" s="144">
        <v>13447858</v>
      </c>
      <c r="BL33" s="144">
        <v>9458989</v>
      </c>
      <c r="BM33" s="39">
        <f t="shared" ref="BM33:BM52" si="69">BL33-BK33</f>
        <v>-3988869</v>
      </c>
      <c r="BN33" s="37">
        <v>11210052</v>
      </c>
      <c r="BO33" s="144">
        <v>11210052</v>
      </c>
      <c r="BP33" s="144">
        <v>5696616</v>
      </c>
      <c r="BQ33" s="39">
        <f t="shared" ref="BQ33:BQ52" si="70">BP33-BO33</f>
        <v>-5513436</v>
      </c>
      <c r="BR33" s="43">
        <f t="shared" ref="BR33:BT52" si="71">BF33+BJ33+BN33</f>
        <v>90480807</v>
      </c>
      <c r="BS33" s="146">
        <f t="shared" si="71"/>
        <v>86071732</v>
      </c>
      <c r="BT33" s="146">
        <f t="shared" si="71"/>
        <v>55918721</v>
      </c>
      <c r="BU33" s="45">
        <f t="shared" ref="BU33:BU52" si="72">BT33-BS33</f>
        <v>-30153011</v>
      </c>
      <c r="BV33" s="46">
        <f t="shared" ref="BV33:BX36" si="73">B33+F33+J33+N33+R33+BR33+BB33</f>
        <v>788263733</v>
      </c>
      <c r="BW33" s="47">
        <f t="shared" si="73"/>
        <v>787904207</v>
      </c>
      <c r="BX33" s="47">
        <f t="shared" si="73"/>
        <v>776660128</v>
      </c>
      <c r="BY33" s="249">
        <f t="shared" ref="BY33:BY52" si="74">BX33-BW33</f>
        <v>-11244079</v>
      </c>
      <c r="BZ33" s="37">
        <v>45190533</v>
      </c>
      <c r="CA33" s="49">
        <v>42685896</v>
      </c>
      <c r="CB33" s="49">
        <v>42952889</v>
      </c>
      <c r="CC33" s="39">
        <f t="shared" ref="CC33:CC52" si="75">CB33-CA33</f>
        <v>266993</v>
      </c>
      <c r="CD33" s="51">
        <f>BZ33+BV33</f>
        <v>833454266</v>
      </c>
      <c r="CE33" s="52">
        <v>799908756</v>
      </c>
      <c r="CF33" s="52">
        <f>CB33+BX33</f>
        <v>819613017</v>
      </c>
      <c r="CG33" s="249">
        <f t="shared" ref="CG33:CG52" si="76">CF33-CE33</f>
        <v>19704261</v>
      </c>
      <c r="CH33" s="39">
        <f t="shared" ref="CH33:CJ36" si="77">CD33</f>
        <v>833454266</v>
      </c>
      <c r="CI33" s="39">
        <f t="shared" si="77"/>
        <v>799908756</v>
      </c>
      <c r="CJ33" s="39">
        <f t="shared" si="77"/>
        <v>819613017</v>
      </c>
      <c r="CK33" s="39">
        <f t="shared" ref="CK33:CK52" si="78">CJ33-CI33</f>
        <v>19704261</v>
      </c>
      <c r="CL33" s="54">
        <v>354351</v>
      </c>
      <c r="CM33" s="57">
        <f>CL33+1756+1323+1927+2902+16049+1213</f>
        <v>379521</v>
      </c>
      <c r="CN33" s="57">
        <f>CM33+1756+1323+1927+2902+16049+1213</f>
        <v>404691</v>
      </c>
      <c r="CO33" s="56">
        <f t="shared" ref="CO33:CO52" si="79">CN33-CM33</f>
        <v>25170</v>
      </c>
      <c r="CP33" s="55">
        <v>24557</v>
      </c>
      <c r="CQ33" s="57">
        <f>CP33-124+1722</f>
        <v>26155</v>
      </c>
      <c r="CR33" s="57">
        <f>CQ33-124+1722</f>
        <v>27753</v>
      </c>
      <c r="CS33" s="56">
        <f>CQ33-CP33</f>
        <v>1598</v>
      </c>
      <c r="CT33" s="54">
        <v>56088</v>
      </c>
      <c r="CU33" s="57">
        <f t="shared" ref="CU33:CV36" si="80">CT33</f>
        <v>56088</v>
      </c>
      <c r="CV33" s="57">
        <f t="shared" si="80"/>
        <v>56088</v>
      </c>
      <c r="CW33" s="56">
        <f>CU33-CT33</f>
        <v>0</v>
      </c>
      <c r="CX33" s="58"/>
      <c r="CY33" s="58">
        <f t="shared" ref="CY33:CY53" si="81">CU33+CQ33+CM33</f>
        <v>461764</v>
      </c>
    </row>
    <row r="34" spans="1:103" s="1" customFormat="1" ht="13.5" x14ac:dyDescent="0.25">
      <c r="A34" s="250" t="s">
        <v>5</v>
      </c>
      <c r="B34" s="83">
        <v>4686503</v>
      </c>
      <c r="C34" s="84">
        <v>4269029</v>
      </c>
      <c r="D34" s="84">
        <v>4341654</v>
      </c>
      <c r="E34" s="94">
        <f t="shared" si="53"/>
        <v>72625</v>
      </c>
      <c r="F34" s="84">
        <v>10570912</v>
      </c>
      <c r="G34" s="84">
        <v>10648516</v>
      </c>
      <c r="H34" s="84">
        <v>11913403</v>
      </c>
      <c r="I34" s="85">
        <f t="shared" si="54"/>
        <v>1264887</v>
      </c>
      <c r="J34" s="84">
        <v>6373871</v>
      </c>
      <c r="K34" s="84">
        <v>5780424</v>
      </c>
      <c r="L34" s="84">
        <v>5917996</v>
      </c>
      <c r="M34" s="85">
        <f t="shared" si="55"/>
        <v>137572</v>
      </c>
      <c r="N34" s="83">
        <v>52306748</v>
      </c>
      <c r="O34" s="86">
        <v>49074661</v>
      </c>
      <c r="P34" s="86">
        <v>49114863</v>
      </c>
      <c r="Q34" s="85">
        <f t="shared" si="56"/>
        <v>40202</v>
      </c>
      <c r="R34" s="83">
        <v>32113014</v>
      </c>
      <c r="S34" s="86">
        <v>32609774</v>
      </c>
      <c r="T34" s="86">
        <v>34046823</v>
      </c>
      <c r="U34" s="85">
        <f t="shared" si="57"/>
        <v>1437049</v>
      </c>
      <c r="V34" s="83">
        <v>13958798</v>
      </c>
      <c r="W34" s="86">
        <v>13076403</v>
      </c>
      <c r="X34" s="86">
        <v>13084691</v>
      </c>
      <c r="Y34" s="85">
        <f t="shared" si="58"/>
        <v>8288</v>
      </c>
      <c r="Z34" s="83">
        <v>2929797</v>
      </c>
      <c r="AA34" s="86">
        <v>2902123</v>
      </c>
      <c r="AB34" s="86">
        <v>3019961</v>
      </c>
      <c r="AC34" s="85">
        <f t="shared" si="59"/>
        <v>117838</v>
      </c>
      <c r="AD34" s="83">
        <v>6754130</v>
      </c>
      <c r="AE34" s="86">
        <v>6357895</v>
      </c>
      <c r="AF34" s="86">
        <v>6357895</v>
      </c>
      <c r="AG34" s="85">
        <f t="shared" si="60"/>
        <v>0</v>
      </c>
      <c r="AH34" s="83"/>
      <c r="AI34" s="86">
        <v>2193211</v>
      </c>
      <c r="AJ34" s="86">
        <v>2194032</v>
      </c>
      <c r="AK34" s="85">
        <f t="shared" si="61"/>
        <v>821</v>
      </c>
      <c r="AL34" s="83"/>
      <c r="AM34" s="86">
        <v>735050</v>
      </c>
      <c r="AN34" s="86">
        <v>735050</v>
      </c>
      <c r="AO34" s="85">
        <f t="shared" si="62"/>
        <v>0</v>
      </c>
      <c r="AP34" s="83"/>
      <c r="AQ34" s="86">
        <v>725701</v>
      </c>
      <c r="AR34" s="86">
        <v>725701</v>
      </c>
      <c r="AS34" s="85">
        <f t="shared" si="63"/>
        <v>0</v>
      </c>
      <c r="AT34" s="83">
        <v>2411393</v>
      </c>
      <c r="AU34" s="86">
        <v>2411393</v>
      </c>
      <c r="AV34" s="86">
        <v>2411393</v>
      </c>
      <c r="AW34" s="85">
        <f t="shared" si="64"/>
        <v>0</v>
      </c>
      <c r="AX34" s="83">
        <v>2251753</v>
      </c>
      <c r="AY34" s="86">
        <v>2251753</v>
      </c>
      <c r="AZ34" s="86">
        <v>2261218</v>
      </c>
      <c r="BA34" s="85">
        <f t="shared" si="65"/>
        <v>9465</v>
      </c>
      <c r="BB34" s="87">
        <f t="shared" si="66"/>
        <v>28305871</v>
      </c>
      <c r="BC34" s="88">
        <f t="shared" si="66"/>
        <v>30653529</v>
      </c>
      <c r="BD34" s="88">
        <f t="shared" si="66"/>
        <v>30789941</v>
      </c>
      <c r="BE34" s="89">
        <f t="shared" si="67"/>
        <v>136412</v>
      </c>
      <c r="BF34" s="83">
        <v>11337975</v>
      </c>
      <c r="BG34" s="86">
        <v>10738108</v>
      </c>
      <c r="BH34" s="86">
        <v>8568182</v>
      </c>
      <c r="BI34" s="85">
        <f t="shared" si="68"/>
        <v>-2169926</v>
      </c>
      <c r="BJ34" s="83">
        <v>2466010</v>
      </c>
      <c r="BK34" s="86">
        <v>2321598</v>
      </c>
      <c r="BL34" s="86">
        <v>1609183</v>
      </c>
      <c r="BM34" s="85">
        <f t="shared" si="69"/>
        <v>-712415</v>
      </c>
      <c r="BN34" s="83">
        <v>1950449</v>
      </c>
      <c r="BO34" s="86">
        <v>1950449</v>
      </c>
      <c r="BP34" s="86">
        <v>1224748</v>
      </c>
      <c r="BQ34" s="85">
        <f t="shared" si="70"/>
        <v>-725701</v>
      </c>
      <c r="BR34" s="90">
        <f t="shared" si="71"/>
        <v>15754434</v>
      </c>
      <c r="BS34" s="91">
        <f t="shared" si="71"/>
        <v>15010155</v>
      </c>
      <c r="BT34" s="91">
        <f t="shared" si="71"/>
        <v>11402113</v>
      </c>
      <c r="BU34" s="92">
        <f t="shared" si="72"/>
        <v>-3608042</v>
      </c>
      <c r="BV34" s="46">
        <f t="shared" si="73"/>
        <v>150111353</v>
      </c>
      <c r="BW34" s="81">
        <f t="shared" si="73"/>
        <v>148046088</v>
      </c>
      <c r="BX34" s="81">
        <f t="shared" si="73"/>
        <v>147526793</v>
      </c>
      <c r="BY34" s="251">
        <f t="shared" si="74"/>
        <v>-519295</v>
      </c>
      <c r="BZ34" s="83">
        <v>8252401</v>
      </c>
      <c r="CA34" s="93">
        <v>8159455</v>
      </c>
      <c r="CB34" s="93">
        <v>8193345</v>
      </c>
      <c r="CC34" s="85">
        <f t="shared" si="75"/>
        <v>33890</v>
      </c>
      <c r="CD34" s="73">
        <f>BZ34+BV34</f>
        <v>158363754</v>
      </c>
      <c r="CE34" s="74">
        <v>152551581</v>
      </c>
      <c r="CF34" s="74">
        <f>CB34+BX34</f>
        <v>155720138</v>
      </c>
      <c r="CG34" s="251">
        <f t="shared" si="76"/>
        <v>3168557</v>
      </c>
      <c r="CH34" s="85">
        <f t="shared" si="77"/>
        <v>158363754</v>
      </c>
      <c r="CI34" s="85">
        <f t="shared" si="77"/>
        <v>152551581</v>
      </c>
      <c r="CJ34" s="85">
        <f t="shared" si="77"/>
        <v>155720138</v>
      </c>
      <c r="CK34" s="85">
        <f t="shared" si="78"/>
        <v>3168557</v>
      </c>
      <c r="CL34" s="95">
        <v>83871</v>
      </c>
      <c r="CM34" s="96">
        <f>CL34+299+453+405+578+2237+229</f>
        <v>88072</v>
      </c>
      <c r="CN34" s="96">
        <f>CM34+299+453+405+578+2237+229</f>
        <v>92273</v>
      </c>
      <c r="CO34" s="97">
        <f t="shared" si="79"/>
        <v>4201</v>
      </c>
      <c r="CP34" s="98">
        <v>6300</v>
      </c>
      <c r="CQ34" s="96">
        <f>CP34+124+43</f>
        <v>6467</v>
      </c>
      <c r="CR34" s="96">
        <f>CQ34+124+43</f>
        <v>6634</v>
      </c>
      <c r="CS34" s="97">
        <f>CQ34-CP34</f>
        <v>167</v>
      </c>
      <c r="CT34" s="95">
        <v>13885</v>
      </c>
      <c r="CU34" s="96">
        <f t="shared" si="80"/>
        <v>13885</v>
      </c>
      <c r="CV34" s="96">
        <f t="shared" si="80"/>
        <v>13885</v>
      </c>
      <c r="CW34" s="97">
        <f>CU34-CT34</f>
        <v>0</v>
      </c>
      <c r="CX34" s="58"/>
      <c r="CY34" s="58">
        <f t="shared" si="81"/>
        <v>108424</v>
      </c>
    </row>
    <row r="35" spans="1:103" s="1" customFormat="1" ht="13.5" x14ac:dyDescent="0.25">
      <c r="A35" s="250" t="s">
        <v>0</v>
      </c>
      <c r="B35" s="83">
        <v>14959470</v>
      </c>
      <c r="C35" s="84">
        <v>16203926</v>
      </c>
      <c r="D35" s="84">
        <v>16420578</v>
      </c>
      <c r="E35" s="94">
        <f t="shared" si="53"/>
        <v>216652</v>
      </c>
      <c r="F35" s="84">
        <v>141637153</v>
      </c>
      <c r="G35" s="84">
        <v>106956343</v>
      </c>
      <c r="H35" s="84">
        <v>143057390</v>
      </c>
      <c r="I35" s="85">
        <f t="shared" si="54"/>
        <v>36101047</v>
      </c>
      <c r="J35" s="84">
        <v>11921400</v>
      </c>
      <c r="K35" s="84">
        <v>11921400</v>
      </c>
      <c r="L35" s="84">
        <v>12885782</v>
      </c>
      <c r="M35" s="85">
        <f t="shared" si="55"/>
        <v>964382</v>
      </c>
      <c r="N35" s="83">
        <v>75229497</v>
      </c>
      <c r="O35" s="86">
        <v>73049287</v>
      </c>
      <c r="P35" s="86">
        <v>73400332</v>
      </c>
      <c r="Q35" s="85">
        <f t="shared" si="56"/>
        <v>351045</v>
      </c>
      <c r="R35" s="83">
        <v>77084655</v>
      </c>
      <c r="S35" s="86">
        <v>89734930</v>
      </c>
      <c r="T35" s="86">
        <v>87800304</v>
      </c>
      <c r="U35" s="85">
        <f t="shared" si="57"/>
        <v>-1934626</v>
      </c>
      <c r="V35" s="83">
        <v>8718900</v>
      </c>
      <c r="W35" s="86">
        <v>7448900</v>
      </c>
      <c r="X35" s="86">
        <f>7448900-4</f>
        <v>7448896</v>
      </c>
      <c r="Y35" s="85">
        <f t="shared" si="58"/>
        <v>-4</v>
      </c>
      <c r="Z35" s="83">
        <v>3169516</v>
      </c>
      <c r="AA35" s="86">
        <v>3169516</v>
      </c>
      <c r="AB35" s="86">
        <v>3169516</v>
      </c>
      <c r="AC35" s="85">
        <f t="shared" si="59"/>
        <v>0</v>
      </c>
      <c r="AD35" s="83">
        <v>4502185</v>
      </c>
      <c r="AE35" s="86">
        <v>4406935</v>
      </c>
      <c r="AF35" s="86">
        <v>4406935</v>
      </c>
      <c r="AG35" s="85">
        <f t="shared" si="60"/>
        <v>0</v>
      </c>
      <c r="AH35" s="83"/>
      <c r="AI35" s="86">
        <f>176071+754014+41127+49629+2083346+263766+184500+409970+144818+898214+26238+4</f>
        <v>5031697</v>
      </c>
      <c r="AJ35" s="86">
        <v>5031693</v>
      </c>
      <c r="AK35" s="85">
        <f t="shared" si="61"/>
        <v>-4</v>
      </c>
      <c r="AL35" s="83"/>
      <c r="AM35" s="86">
        <v>1830230</v>
      </c>
      <c r="AN35" s="86">
        <v>1830230</v>
      </c>
      <c r="AO35" s="85">
        <f t="shared" si="62"/>
        <v>0</v>
      </c>
      <c r="AP35" s="83"/>
      <c r="AQ35" s="86">
        <f>19560+161930+15053+45367+362730+280000+50000+85416+1704+274579+4973</f>
        <v>1301312</v>
      </c>
      <c r="AR35" s="86">
        <v>1301312</v>
      </c>
      <c r="AS35" s="85">
        <f t="shared" si="63"/>
        <v>0</v>
      </c>
      <c r="AT35" s="83">
        <v>3361643</v>
      </c>
      <c r="AU35" s="86">
        <v>3361643</v>
      </c>
      <c r="AV35" s="86">
        <v>3361643</v>
      </c>
      <c r="AW35" s="85">
        <f t="shared" si="64"/>
        <v>0</v>
      </c>
      <c r="AX35" s="83">
        <v>1826400</v>
      </c>
      <c r="AY35" s="86">
        <v>1826400</v>
      </c>
      <c r="AZ35" s="86">
        <v>1826400</v>
      </c>
      <c r="BA35" s="85">
        <f t="shared" si="65"/>
        <v>0</v>
      </c>
      <c r="BB35" s="87">
        <f t="shared" si="66"/>
        <v>21578644</v>
      </c>
      <c r="BC35" s="88">
        <f t="shared" si="66"/>
        <v>28376633</v>
      </c>
      <c r="BD35" s="88">
        <f t="shared" si="66"/>
        <v>28376625</v>
      </c>
      <c r="BE35" s="89">
        <f t="shared" si="67"/>
        <v>-8</v>
      </c>
      <c r="BF35" s="83">
        <v>10642200</v>
      </c>
      <c r="BG35" s="86">
        <v>10542200</v>
      </c>
      <c r="BH35" s="86">
        <f>5510507+4</f>
        <v>5510511</v>
      </c>
      <c r="BI35" s="85">
        <f t="shared" si="68"/>
        <v>-5031689</v>
      </c>
      <c r="BJ35" s="83">
        <v>2644900</v>
      </c>
      <c r="BK35" s="86">
        <v>2644900</v>
      </c>
      <c r="BL35" s="86">
        <v>814670</v>
      </c>
      <c r="BM35" s="85">
        <f t="shared" si="69"/>
        <v>-1830230</v>
      </c>
      <c r="BN35" s="83">
        <v>2264149</v>
      </c>
      <c r="BO35" s="86">
        <v>2244149</v>
      </c>
      <c r="BP35" s="86">
        <v>942837</v>
      </c>
      <c r="BQ35" s="85">
        <f t="shared" si="70"/>
        <v>-1301312</v>
      </c>
      <c r="BR35" s="90">
        <f t="shared" si="71"/>
        <v>15551249</v>
      </c>
      <c r="BS35" s="91">
        <f t="shared" si="71"/>
        <v>15431249</v>
      </c>
      <c r="BT35" s="91">
        <f t="shared" si="71"/>
        <v>7268018</v>
      </c>
      <c r="BU35" s="92">
        <f t="shared" si="72"/>
        <v>-8163231</v>
      </c>
      <c r="BV35" s="46">
        <f t="shared" si="73"/>
        <v>357962068</v>
      </c>
      <c r="BW35" s="81">
        <f t="shared" si="73"/>
        <v>341673768</v>
      </c>
      <c r="BX35" s="81">
        <f t="shared" si="73"/>
        <v>369209029</v>
      </c>
      <c r="BY35" s="251">
        <f t="shared" si="74"/>
        <v>27535261</v>
      </c>
      <c r="BZ35" s="83">
        <v>966230808</v>
      </c>
      <c r="CA35" s="93">
        <v>946173267</v>
      </c>
      <c r="CB35" s="93">
        <v>947513884</v>
      </c>
      <c r="CC35" s="85">
        <f t="shared" si="75"/>
        <v>1340617</v>
      </c>
      <c r="CD35" s="73">
        <f>BZ35+BV35</f>
        <v>1324192876</v>
      </c>
      <c r="CE35" s="74">
        <v>1279683796</v>
      </c>
      <c r="CF35" s="74">
        <f>CB35+BX35</f>
        <v>1316722913</v>
      </c>
      <c r="CG35" s="251">
        <f t="shared" si="76"/>
        <v>37039117</v>
      </c>
      <c r="CH35" s="85">
        <f t="shared" si="77"/>
        <v>1324192876</v>
      </c>
      <c r="CI35" s="85">
        <f t="shared" si="77"/>
        <v>1279683796</v>
      </c>
      <c r="CJ35" s="85">
        <f t="shared" si="77"/>
        <v>1316722913</v>
      </c>
      <c r="CK35" s="85">
        <f t="shared" si="78"/>
        <v>37039117</v>
      </c>
      <c r="CL35" s="95">
        <v>626581</v>
      </c>
      <c r="CM35" s="96">
        <f>CL35+2089+8501+4402+1000-699+19829</f>
        <v>661703</v>
      </c>
      <c r="CN35" s="96">
        <f>CM35+2089+8501+4402+1000-699+19829</f>
        <v>696825</v>
      </c>
      <c r="CO35" s="97">
        <f t="shared" si="79"/>
        <v>35122</v>
      </c>
      <c r="CP35" s="98">
        <v>98506</v>
      </c>
      <c r="CQ35" s="96">
        <f>CP35+1100+7615</f>
        <v>107221</v>
      </c>
      <c r="CR35" s="96">
        <f>CQ35+1100+7615</f>
        <v>115936</v>
      </c>
      <c r="CS35" s="97">
        <f>CQ35-CP35</f>
        <v>8715</v>
      </c>
      <c r="CT35" s="95">
        <v>19530</v>
      </c>
      <c r="CU35" s="96">
        <f t="shared" si="80"/>
        <v>19530</v>
      </c>
      <c r="CV35" s="96">
        <f t="shared" si="80"/>
        <v>19530</v>
      </c>
      <c r="CW35" s="97">
        <f>CU35-CT35</f>
        <v>0</v>
      </c>
      <c r="CX35" s="58"/>
      <c r="CY35" s="58">
        <f t="shared" si="81"/>
        <v>788454</v>
      </c>
    </row>
    <row r="36" spans="1:103" s="1" customFormat="1" ht="13.5" x14ac:dyDescent="0.25">
      <c r="A36" s="250" t="s">
        <v>6</v>
      </c>
      <c r="B36" s="83"/>
      <c r="C36" s="84"/>
      <c r="D36" s="84"/>
      <c r="E36" s="94">
        <f t="shared" si="53"/>
        <v>0</v>
      </c>
      <c r="F36" s="84"/>
      <c r="G36" s="84"/>
      <c r="H36" s="84"/>
      <c r="I36" s="85">
        <f t="shared" si="54"/>
        <v>0</v>
      </c>
      <c r="J36" s="84"/>
      <c r="K36" s="84"/>
      <c r="L36" s="84"/>
      <c r="M36" s="85">
        <f t="shared" si="55"/>
        <v>0</v>
      </c>
      <c r="N36" s="83"/>
      <c r="O36" s="86"/>
      <c r="P36" s="86"/>
      <c r="Q36" s="85">
        <f t="shared" si="56"/>
        <v>0</v>
      </c>
      <c r="R36" s="83"/>
      <c r="S36" s="86"/>
      <c r="T36" s="86"/>
      <c r="U36" s="85">
        <f t="shared" si="57"/>
        <v>0</v>
      </c>
      <c r="V36" s="83"/>
      <c r="W36" s="86"/>
      <c r="X36" s="86"/>
      <c r="Y36" s="85">
        <f t="shared" si="58"/>
        <v>0</v>
      </c>
      <c r="Z36" s="83"/>
      <c r="AA36" s="86"/>
      <c r="AB36" s="86"/>
      <c r="AC36" s="85">
        <f t="shared" si="59"/>
        <v>0</v>
      </c>
      <c r="AD36" s="83"/>
      <c r="AE36" s="86"/>
      <c r="AF36" s="86"/>
      <c r="AG36" s="85">
        <f t="shared" si="60"/>
        <v>0</v>
      </c>
      <c r="AH36" s="83"/>
      <c r="AI36" s="86"/>
      <c r="AJ36" s="86"/>
      <c r="AK36" s="85">
        <f t="shared" si="61"/>
        <v>0</v>
      </c>
      <c r="AL36" s="83"/>
      <c r="AM36" s="86"/>
      <c r="AN36" s="86"/>
      <c r="AO36" s="85">
        <f t="shared" si="62"/>
        <v>0</v>
      </c>
      <c r="AP36" s="83"/>
      <c r="AQ36" s="86"/>
      <c r="AR36" s="86"/>
      <c r="AS36" s="85">
        <f t="shared" si="63"/>
        <v>0</v>
      </c>
      <c r="AT36" s="83"/>
      <c r="AU36" s="86"/>
      <c r="AV36" s="86"/>
      <c r="AW36" s="85">
        <f t="shared" si="64"/>
        <v>0</v>
      </c>
      <c r="AX36" s="83"/>
      <c r="AY36" s="86"/>
      <c r="AZ36" s="86"/>
      <c r="BA36" s="85">
        <f t="shared" si="65"/>
        <v>0</v>
      </c>
      <c r="BB36" s="87">
        <f t="shared" si="66"/>
        <v>0</v>
      </c>
      <c r="BC36" s="88">
        <f t="shared" si="66"/>
        <v>0</v>
      </c>
      <c r="BD36" s="88">
        <f t="shared" si="66"/>
        <v>0</v>
      </c>
      <c r="BE36" s="89">
        <f t="shared" si="67"/>
        <v>0</v>
      </c>
      <c r="BF36" s="83"/>
      <c r="BG36" s="86"/>
      <c r="BH36" s="86"/>
      <c r="BI36" s="85">
        <f t="shared" si="68"/>
        <v>0</v>
      </c>
      <c r="BJ36" s="83"/>
      <c r="BK36" s="86"/>
      <c r="BL36" s="86"/>
      <c r="BM36" s="85">
        <f t="shared" si="69"/>
        <v>0</v>
      </c>
      <c r="BN36" s="83"/>
      <c r="BO36" s="86"/>
      <c r="BP36" s="86"/>
      <c r="BQ36" s="85">
        <f t="shared" si="70"/>
        <v>0</v>
      </c>
      <c r="BR36" s="90">
        <f t="shared" si="71"/>
        <v>0</v>
      </c>
      <c r="BS36" s="91">
        <f t="shared" si="71"/>
        <v>0</v>
      </c>
      <c r="BT36" s="91">
        <f t="shared" si="71"/>
        <v>0</v>
      </c>
      <c r="BU36" s="92">
        <f t="shared" si="72"/>
        <v>0</v>
      </c>
      <c r="BV36" s="46">
        <f t="shared" si="73"/>
        <v>0</v>
      </c>
      <c r="BW36" s="81">
        <f t="shared" si="73"/>
        <v>0</v>
      </c>
      <c r="BX36" s="81">
        <f t="shared" si="73"/>
        <v>0</v>
      </c>
      <c r="BY36" s="251">
        <f t="shared" si="74"/>
        <v>0</v>
      </c>
      <c r="BZ36" s="83">
        <v>32000000</v>
      </c>
      <c r="CA36" s="93">
        <v>32000000</v>
      </c>
      <c r="CB36" s="93">
        <v>32000000</v>
      </c>
      <c r="CC36" s="85">
        <f t="shared" si="75"/>
        <v>0</v>
      </c>
      <c r="CD36" s="73">
        <f>BZ36+BV36</f>
        <v>32000000</v>
      </c>
      <c r="CE36" s="74">
        <f>CA36+BW36</f>
        <v>32000000</v>
      </c>
      <c r="CF36" s="74">
        <f>CB36+BX36</f>
        <v>32000000</v>
      </c>
      <c r="CG36" s="251">
        <f t="shared" si="76"/>
        <v>0</v>
      </c>
      <c r="CH36" s="85">
        <f t="shared" si="77"/>
        <v>32000000</v>
      </c>
      <c r="CI36" s="85">
        <f t="shared" si="77"/>
        <v>32000000</v>
      </c>
      <c r="CJ36" s="85">
        <f t="shared" si="77"/>
        <v>32000000</v>
      </c>
      <c r="CK36" s="85">
        <f t="shared" si="78"/>
        <v>0</v>
      </c>
      <c r="CL36" s="95">
        <v>26800</v>
      </c>
      <c r="CM36" s="96">
        <f>CL36</f>
        <v>26800</v>
      </c>
      <c r="CN36" s="96">
        <f>CM36</f>
        <v>26800</v>
      </c>
      <c r="CO36" s="97">
        <f t="shared" si="79"/>
        <v>0</v>
      </c>
      <c r="CP36" s="98"/>
      <c r="CQ36" s="96">
        <f>CP36</f>
        <v>0</v>
      </c>
      <c r="CR36" s="96">
        <f>CQ36</f>
        <v>0</v>
      </c>
      <c r="CS36" s="97">
        <f>CQ36-CP36</f>
        <v>0</v>
      </c>
      <c r="CT36" s="95"/>
      <c r="CU36" s="96">
        <f t="shared" si="80"/>
        <v>0</v>
      </c>
      <c r="CV36" s="96">
        <f t="shared" si="80"/>
        <v>0</v>
      </c>
      <c r="CW36" s="97">
        <f>CU36-CT36</f>
        <v>0</v>
      </c>
      <c r="CX36" s="58"/>
      <c r="CY36" s="58">
        <f t="shared" si="81"/>
        <v>26800</v>
      </c>
    </row>
    <row r="37" spans="1:103" s="1" customFormat="1" ht="13.5" x14ac:dyDescent="0.25">
      <c r="A37" s="250" t="s">
        <v>35</v>
      </c>
      <c r="B37" s="83">
        <f>SUM(B38:B41)</f>
        <v>0</v>
      </c>
      <c r="C37" s="84">
        <f>SUM(C38:C41)</f>
        <v>9540</v>
      </c>
      <c r="D37" s="84">
        <f>SUM(D38:D41)</f>
        <v>4187652</v>
      </c>
      <c r="E37" s="94">
        <f t="shared" si="53"/>
        <v>4178112</v>
      </c>
      <c r="F37" s="84">
        <f>SUM(F38:F41)</f>
        <v>0</v>
      </c>
      <c r="G37" s="84">
        <f>SUM(G38:G41)</f>
        <v>0</v>
      </c>
      <c r="H37" s="84">
        <f>SUM(H38:H41)</f>
        <v>13519561</v>
      </c>
      <c r="I37" s="85">
        <f t="shared" si="54"/>
        <v>13519561</v>
      </c>
      <c r="J37" s="84">
        <f>SUM(J38:J41)</f>
        <v>0</v>
      </c>
      <c r="K37" s="84">
        <f>SUM(K38:K41)</f>
        <v>0</v>
      </c>
      <c r="L37" s="84">
        <f>SUM(L38:L41)</f>
        <v>8365586</v>
      </c>
      <c r="M37" s="85">
        <f t="shared" si="55"/>
        <v>8365586</v>
      </c>
      <c r="N37" s="83">
        <f>SUM(N38:N41)</f>
        <v>0</v>
      </c>
      <c r="O37" s="86">
        <f>SUM(O38:O41)</f>
        <v>0</v>
      </c>
      <c r="P37" s="86">
        <f>SUM(P38:P41)</f>
        <v>20000000</v>
      </c>
      <c r="Q37" s="85">
        <f t="shared" si="56"/>
        <v>20000000</v>
      </c>
      <c r="R37" s="83">
        <f>SUM(R38:R41)</f>
        <v>0</v>
      </c>
      <c r="S37" s="86">
        <f>SUM(S38:S41)</f>
        <v>0</v>
      </c>
      <c r="T37" s="86">
        <f>SUM(T38:T41)</f>
        <v>19474386</v>
      </c>
      <c r="U37" s="85">
        <f t="shared" si="57"/>
        <v>19474386</v>
      </c>
      <c r="V37" s="83">
        <f>SUM(V38:V41)</f>
        <v>0</v>
      </c>
      <c r="W37" s="86">
        <f>SUM(W38:W41)</f>
        <v>0</v>
      </c>
      <c r="X37" s="86">
        <f>SUM(X38:X41)</f>
        <v>8358021</v>
      </c>
      <c r="Y37" s="85">
        <f t="shared" si="58"/>
        <v>8358021</v>
      </c>
      <c r="Z37" s="83">
        <f>SUM(Z38:Z41)</f>
        <v>0</v>
      </c>
      <c r="AA37" s="86">
        <f>SUM(AA38:AA41)</f>
        <v>0</v>
      </c>
      <c r="AB37" s="86">
        <f>SUM(AB38:AB41)</f>
        <v>1061599</v>
      </c>
      <c r="AC37" s="85">
        <f t="shared" si="59"/>
        <v>1061599</v>
      </c>
      <c r="AD37" s="83">
        <f>SUM(AD38:AD41)</f>
        <v>0</v>
      </c>
      <c r="AE37" s="86">
        <f>SUM(AE38:AE41)</f>
        <v>0</v>
      </c>
      <c r="AF37" s="86">
        <f>SUM(AF38:AF41)</f>
        <v>2815980</v>
      </c>
      <c r="AG37" s="85">
        <f t="shared" si="60"/>
        <v>2815980</v>
      </c>
      <c r="AH37" s="83">
        <f>SUM(AH38:AH41)</f>
        <v>0</v>
      </c>
      <c r="AI37" s="86">
        <f>SUM(AI38:AI41)</f>
        <v>0</v>
      </c>
      <c r="AJ37" s="86">
        <f>SUM(AJ38:AJ41)</f>
        <v>0</v>
      </c>
      <c r="AK37" s="85">
        <f t="shared" si="61"/>
        <v>0</v>
      </c>
      <c r="AL37" s="83">
        <f>SUM(AL38:AL41)</f>
        <v>0</v>
      </c>
      <c r="AM37" s="86">
        <f>SUM(AM38:AM41)</f>
        <v>0</v>
      </c>
      <c r="AN37" s="86">
        <f>SUM(AN38:AN41)</f>
        <v>0</v>
      </c>
      <c r="AO37" s="85">
        <f t="shared" si="62"/>
        <v>0</v>
      </c>
      <c r="AP37" s="83">
        <f>SUM(AP38:AP41)</f>
        <v>0</v>
      </c>
      <c r="AQ37" s="86">
        <f>SUM(AQ38:AQ41)</f>
        <v>0</v>
      </c>
      <c r="AR37" s="86">
        <f>SUM(AR38:AR41)</f>
        <v>0</v>
      </c>
      <c r="AS37" s="85">
        <f t="shared" si="63"/>
        <v>0</v>
      </c>
      <c r="AT37" s="83">
        <f>SUM(AT38:AT41)</f>
        <v>0</v>
      </c>
      <c r="AU37" s="86">
        <f>SUM(AU38:AU41)</f>
        <v>0</v>
      </c>
      <c r="AV37" s="86">
        <f>SUM(AV38:AV41)</f>
        <v>1923041</v>
      </c>
      <c r="AW37" s="85">
        <f t="shared" si="64"/>
        <v>1923041</v>
      </c>
      <c r="AX37" s="156">
        <f>SUM(AX38:AX41)</f>
        <v>0</v>
      </c>
      <c r="AY37" s="84">
        <f>SUM(AY38:AY41)</f>
        <v>0</v>
      </c>
      <c r="AZ37" s="84">
        <f>SUM(AZ38:AZ41)</f>
        <v>1335590</v>
      </c>
      <c r="BA37" s="85">
        <f t="shared" si="65"/>
        <v>1335590</v>
      </c>
      <c r="BB37" s="87">
        <f t="shared" si="66"/>
        <v>0</v>
      </c>
      <c r="BC37" s="88">
        <f t="shared" si="66"/>
        <v>0</v>
      </c>
      <c r="BD37" s="88">
        <f t="shared" si="66"/>
        <v>15494231</v>
      </c>
      <c r="BE37" s="89">
        <f t="shared" si="67"/>
        <v>15494231</v>
      </c>
      <c r="BF37" s="156">
        <f>SUM(BF38:BF41)</f>
        <v>0</v>
      </c>
      <c r="BG37" s="84">
        <f>SUM(BG38:BG41)</f>
        <v>0</v>
      </c>
      <c r="BH37" s="84">
        <f>SUM(BH38:BH41)</f>
        <v>7585491</v>
      </c>
      <c r="BI37" s="85">
        <f t="shared" si="68"/>
        <v>7585491</v>
      </c>
      <c r="BJ37" s="156">
        <f>SUM(BJ38:BJ41)</f>
        <v>0</v>
      </c>
      <c r="BK37" s="84">
        <f>SUM(BK38:BK41)</f>
        <v>0</v>
      </c>
      <c r="BL37" s="84">
        <f>SUM(BL38:BL41)</f>
        <v>-1006602</v>
      </c>
      <c r="BM37" s="85">
        <f t="shared" si="69"/>
        <v>-1006602</v>
      </c>
      <c r="BN37" s="156">
        <f>SUM(BN38:BN41)</f>
        <v>0</v>
      </c>
      <c r="BO37" s="84">
        <f>SUM(BO38:BO41)</f>
        <v>0</v>
      </c>
      <c r="BP37" s="84">
        <f>SUM(BP38:BP41)</f>
        <v>579306</v>
      </c>
      <c r="BQ37" s="85">
        <f t="shared" si="70"/>
        <v>579306</v>
      </c>
      <c r="BR37" s="90">
        <f t="shared" si="71"/>
        <v>0</v>
      </c>
      <c r="BS37" s="91">
        <f t="shared" si="71"/>
        <v>0</v>
      </c>
      <c r="BT37" s="91">
        <f t="shared" si="71"/>
        <v>7158195</v>
      </c>
      <c r="BU37" s="92">
        <f t="shared" si="72"/>
        <v>7158195</v>
      </c>
      <c r="BV37" s="70">
        <f>SUM(BV38:BV41)</f>
        <v>0</v>
      </c>
      <c r="BW37" s="81">
        <f>SUM(BW38:BW41)</f>
        <v>9540</v>
      </c>
      <c r="BX37" s="81">
        <f>SUM(BX38:BX41)</f>
        <v>88199611</v>
      </c>
      <c r="BY37" s="251">
        <f t="shared" si="74"/>
        <v>88190071</v>
      </c>
      <c r="BZ37" s="156">
        <f>SUM(BZ38:BZ41)</f>
        <v>88178157</v>
      </c>
      <c r="CA37" s="84">
        <f>SUM(CA38:CA41)</f>
        <v>78039216</v>
      </c>
      <c r="CB37" s="84">
        <f>SUM(CB38:CB41)</f>
        <v>119859070</v>
      </c>
      <c r="CC37" s="85">
        <f t="shared" si="75"/>
        <v>41819854</v>
      </c>
      <c r="CD37" s="73">
        <f>SUM(CD38:CD41)</f>
        <v>88178157</v>
      </c>
      <c r="CE37" s="115">
        <f>SUM(CE38:CE41)</f>
        <v>78048756</v>
      </c>
      <c r="CF37" s="115">
        <f>SUM(CF38:CF41)</f>
        <v>208058681</v>
      </c>
      <c r="CG37" s="251">
        <f t="shared" si="76"/>
        <v>130009925</v>
      </c>
      <c r="CH37" s="85">
        <f>SUM(CH38:CH41)</f>
        <v>88178157</v>
      </c>
      <c r="CI37" s="85">
        <f>SUM(CI38:CI41)</f>
        <v>78048756</v>
      </c>
      <c r="CJ37" s="85">
        <f>SUM(CJ38:CJ41)</f>
        <v>208058681</v>
      </c>
      <c r="CK37" s="85">
        <f t="shared" si="78"/>
        <v>130009925</v>
      </c>
      <c r="CL37" s="95">
        <f>SUM(CL38:CL41)</f>
        <v>335706</v>
      </c>
      <c r="CM37" s="96">
        <f>SUM(CM38:CM41)</f>
        <v>358841</v>
      </c>
      <c r="CN37" s="96">
        <f>SUM(CN38:CN41)</f>
        <v>381976</v>
      </c>
      <c r="CO37" s="97">
        <f t="shared" si="79"/>
        <v>23135</v>
      </c>
      <c r="CP37" s="98">
        <f t="shared" ref="CP37:CW37" si="82">SUM(CP38:CP41)</f>
        <v>59243</v>
      </c>
      <c r="CQ37" s="96">
        <f t="shared" si="82"/>
        <v>58131</v>
      </c>
      <c r="CR37" s="96">
        <f t="shared" si="82"/>
        <v>57019</v>
      </c>
      <c r="CS37" s="97">
        <f t="shared" si="82"/>
        <v>-1112</v>
      </c>
      <c r="CT37" s="95">
        <f t="shared" si="82"/>
        <v>0</v>
      </c>
      <c r="CU37" s="96">
        <f t="shared" si="82"/>
        <v>0</v>
      </c>
      <c r="CV37" s="96">
        <f t="shared" si="82"/>
        <v>0</v>
      </c>
      <c r="CW37" s="97">
        <f t="shared" si="82"/>
        <v>0</v>
      </c>
      <c r="CX37" s="58"/>
      <c r="CY37" s="58">
        <f t="shared" si="81"/>
        <v>416972</v>
      </c>
    </row>
    <row r="38" spans="1:103" s="1" customFormat="1" ht="13.5" x14ac:dyDescent="0.25">
      <c r="A38" s="213" t="s">
        <v>28</v>
      </c>
      <c r="B38" s="60"/>
      <c r="C38" s="61">
        <v>0</v>
      </c>
      <c r="D38" s="61">
        <v>4178112</v>
      </c>
      <c r="E38" s="75">
        <f t="shared" si="53"/>
        <v>4178112</v>
      </c>
      <c r="F38" s="61"/>
      <c r="G38" s="61"/>
      <c r="H38" s="61">
        <v>13519561</v>
      </c>
      <c r="I38" s="62">
        <f t="shared" si="54"/>
        <v>13519561</v>
      </c>
      <c r="J38" s="61"/>
      <c r="K38" s="61"/>
      <c r="L38" s="61">
        <v>8365586</v>
      </c>
      <c r="M38" s="62">
        <f t="shared" si="55"/>
        <v>8365586</v>
      </c>
      <c r="N38" s="60"/>
      <c r="O38" s="63"/>
      <c r="P38" s="63">
        <v>20000000</v>
      </c>
      <c r="Q38" s="62">
        <f t="shared" si="56"/>
        <v>20000000</v>
      </c>
      <c r="R38" s="60"/>
      <c r="S38" s="63"/>
      <c r="T38" s="63">
        <v>19474386</v>
      </c>
      <c r="U38" s="62">
        <f t="shared" si="57"/>
        <v>19474386</v>
      </c>
      <c r="V38" s="60"/>
      <c r="W38" s="63">
        <v>0</v>
      </c>
      <c r="X38" s="63">
        <v>8358021</v>
      </c>
      <c r="Y38" s="62">
        <f t="shared" si="58"/>
        <v>8358021</v>
      </c>
      <c r="Z38" s="60"/>
      <c r="AA38" s="63">
        <v>0</v>
      </c>
      <c r="AB38" s="63">
        <v>1061599</v>
      </c>
      <c r="AC38" s="62">
        <f t="shared" si="59"/>
        <v>1061599</v>
      </c>
      <c r="AD38" s="60"/>
      <c r="AE38" s="63">
        <v>0</v>
      </c>
      <c r="AF38" s="63">
        <v>2815980</v>
      </c>
      <c r="AG38" s="62">
        <f t="shared" si="60"/>
        <v>2815980</v>
      </c>
      <c r="AH38" s="60"/>
      <c r="AI38" s="63"/>
      <c r="AJ38" s="63"/>
      <c r="AK38" s="62">
        <f t="shared" si="61"/>
        <v>0</v>
      </c>
      <c r="AL38" s="60"/>
      <c r="AM38" s="63"/>
      <c r="AN38" s="63"/>
      <c r="AO38" s="62">
        <f t="shared" si="62"/>
        <v>0</v>
      </c>
      <c r="AP38" s="60"/>
      <c r="AQ38" s="63"/>
      <c r="AR38" s="63"/>
      <c r="AS38" s="62">
        <f t="shared" si="63"/>
        <v>0</v>
      </c>
      <c r="AT38" s="60"/>
      <c r="AU38" s="63"/>
      <c r="AV38" s="63">
        <v>1923041</v>
      </c>
      <c r="AW38" s="62">
        <f t="shared" si="64"/>
        <v>1923041</v>
      </c>
      <c r="AX38" s="60"/>
      <c r="AY38" s="63">
        <v>0</v>
      </c>
      <c r="AZ38" s="63">
        <v>1335590</v>
      </c>
      <c r="BA38" s="62">
        <f t="shared" si="65"/>
        <v>1335590</v>
      </c>
      <c r="BB38" s="64">
        <f t="shared" si="66"/>
        <v>0</v>
      </c>
      <c r="BC38" s="65">
        <f t="shared" si="66"/>
        <v>0</v>
      </c>
      <c r="BD38" s="65">
        <f t="shared" si="66"/>
        <v>15494231</v>
      </c>
      <c r="BE38" s="66">
        <f t="shared" si="67"/>
        <v>15494231</v>
      </c>
      <c r="BF38" s="60"/>
      <c r="BG38" s="63">
        <v>0</v>
      </c>
      <c r="BH38" s="63">
        <v>3233357</v>
      </c>
      <c r="BI38" s="62">
        <f t="shared" si="68"/>
        <v>3233357</v>
      </c>
      <c r="BJ38" s="60"/>
      <c r="BK38" s="63">
        <v>0</v>
      </c>
      <c r="BL38" s="63">
        <v>-1006602</v>
      </c>
      <c r="BM38" s="62">
        <f t="shared" si="69"/>
        <v>-1006602</v>
      </c>
      <c r="BN38" s="60"/>
      <c r="BO38" s="63"/>
      <c r="BP38" s="63">
        <v>579306</v>
      </c>
      <c r="BQ38" s="62">
        <f t="shared" si="70"/>
        <v>579306</v>
      </c>
      <c r="BR38" s="67">
        <f t="shared" si="71"/>
        <v>0</v>
      </c>
      <c r="BS38" s="68">
        <f t="shared" si="71"/>
        <v>0</v>
      </c>
      <c r="BT38" s="68">
        <f t="shared" si="71"/>
        <v>2806061</v>
      </c>
      <c r="BU38" s="69">
        <f t="shared" si="72"/>
        <v>2806061</v>
      </c>
      <c r="BV38" s="70">
        <f t="shared" ref="BV38:BX41" si="83">B38+F38+J38+N38+R38+BR38+BB38</f>
        <v>0</v>
      </c>
      <c r="BW38" s="81">
        <f t="shared" si="83"/>
        <v>0</v>
      </c>
      <c r="BX38" s="81">
        <f t="shared" si="83"/>
        <v>83837937</v>
      </c>
      <c r="BY38" s="252">
        <f t="shared" si="74"/>
        <v>83837937</v>
      </c>
      <c r="BZ38" s="60">
        <v>0</v>
      </c>
      <c r="CA38" s="61">
        <v>9585748</v>
      </c>
      <c r="CB38" s="61">
        <v>9585748</v>
      </c>
      <c r="CC38" s="62">
        <f t="shared" si="75"/>
        <v>0</v>
      </c>
      <c r="CD38" s="253">
        <f>BZ38+BV38</f>
        <v>0</v>
      </c>
      <c r="CE38" s="74">
        <v>9595288</v>
      </c>
      <c r="CF38" s="74">
        <f>CB38+BX38</f>
        <v>93423685</v>
      </c>
      <c r="CG38" s="254">
        <f t="shared" si="76"/>
        <v>83828397</v>
      </c>
      <c r="CH38" s="62">
        <f t="shared" ref="CH38:CJ41" si="84">CD38</f>
        <v>0</v>
      </c>
      <c r="CI38" s="62">
        <f t="shared" si="84"/>
        <v>9595288</v>
      </c>
      <c r="CJ38" s="62">
        <f t="shared" si="84"/>
        <v>93423685</v>
      </c>
      <c r="CK38" s="62">
        <f t="shared" si="78"/>
        <v>83828397</v>
      </c>
      <c r="CL38" s="76">
        <v>0</v>
      </c>
      <c r="CM38" s="77">
        <f>CL38+485</f>
        <v>485</v>
      </c>
      <c r="CN38" s="77">
        <f>CM38+485</f>
        <v>970</v>
      </c>
      <c r="CO38" s="78">
        <f t="shared" si="79"/>
        <v>485</v>
      </c>
      <c r="CP38" s="79"/>
      <c r="CQ38" s="77">
        <f>CP38</f>
        <v>0</v>
      </c>
      <c r="CR38" s="77">
        <f>CQ38</f>
        <v>0</v>
      </c>
      <c r="CS38" s="78">
        <f>CQ38-CP38</f>
        <v>0</v>
      </c>
      <c r="CT38" s="76"/>
      <c r="CU38" s="77">
        <f t="shared" ref="CU38:CV41" si="85">CT38</f>
        <v>0</v>
      </c>
      <c r="CV38" s="77">
        <f t="shared" si="85"/>
        <v>0</v>
      </c>
      <c r="CW38" s="78">
        <f>CU38-CT38</f>
        <v>0</v>
      </c>
      <c r="CX38" s="80"/>
      <c r="CY38" s="58">
        <f t="shared" si="81"/>
        <v>485</v>
      </c>
    </row>
    <row r="39" spans="1:103" s="1" customFormat="1" ht="13.5" x14ac:dyDescent="0.25">
      <c r="A39" s="213" t="s">
        <v>39</v>
      </c>
      <c r="B39" s="60"/>
      <c r="C39" s="61">
        <v>9540</v>
      </c>
      <c r="D39" s="61">
        <v>9540</v>
      </c>
      <c r="E39" s="75">
        <f t="shared" si="53"/>
        <v>0</v>
      </c>
      <c r="F39" s="61"/>
      <c r="G39" s="61"/>
      <c r="H39" s="61"/>
      <c r="I39" s="62">
        <f t="shared" si="54"/>
        <v>0</v>
      </c>
      <c r="J39" s="61"/>
      <c r="K39" s="61"/>
      <c r="L39" s="61"/>
      <c r="M39" s="62">
        <f t="shared" si="55"/>
        <v>0</v>
      </c>
      <c r="N39" s="60"/>
      <c r="O39" s="63"/>
      <c r="P39" s="63"/>
      <c r="Q39" s="62">
        <f t="shared" si="56"/>
        <v>0</v>
      </c>
      <c r="R39" s="60"/>
      <c r="S39" s="63">
        <v>0</v>
      </c>
      <c r="T39" s="63">
        <v>0</v>
      </c>
      <c r="U39" s="62">
        <f t="shared" si="57"/>
        <v>0</v>
      </c>
      <c r="V39" s="60"/>
      <c r="W39" s="63"/>
      <c r="X39" s="63"/>
      <c r="Y39" s="62">
        <f t="shared" si="58"/>
        <v>0</v>
      </c>
      <c r="Z39" s="60"/>
      <c r="AA39" s="63">
        <v>0</v>
      </c>
      <c r="AB39" s="63">
        <v>0</v>
      </c>
      <c r="AC39" s="62">
        <f t="shared" si="59"/>
        <v>0</v>
      </c>
      <c r="AD39" s="60"/>
      <c r="AE39" s="63"/>
      <c r="AF39" s="63"/>
      <c r="AG39" s="62">
        <f t="shared" si="60"/>
        <v>0</v>
      </c>
      <c r="AH39" s="60"/>
      <c r="AI39" s="63">
        <v>0</v>
      </c>
      <c r="AJ39" s="63">
        <v>0</v>
      </c>
      <c r="AK39" s="62">
        <f t="shared" si="61"/>
        <v>0</v>
      </c>
      <c r="AL39" s="60"/>
      <c r="AM39" s="63">
        <v>0</v>
      </c>
      <c r="AN39" s="63">
        <v>0</v>
      </c>
      <c r="AO39" s="62">
        <f t="shared" si="62"/>
        <v>0</v>
      </c>
      <c r="AP39" s="60"/>
      <c r="AQ39" s="63">
        <v>0</v>
      </c>
      <c r="AR39" s="63">
        <v>0</v>
      </c>
      <c r="AS39" s="62">
        <f t="shared" si="63"/>
        <v>0</v>
      </c>
      <c r="AT39" s="60"/>
      <c r="AU39" s="63">
        <v>0</v>
      </c>
      <c r="AV39" s="63">
        <v>0</v>
      </c>
      <c r="AW39" s="62">
        <f t="shared" si="64"/>
        <v>0</v>
      </c>
      <c r="AX39" s="60"/>
      <c r="AY39" s="63">
        <v>0</v>
      </c>
      <c r="AZ39" s="63">
        <v>0</v>
      </c>
      <c r="BA39" s="62">
        <f t="shared" si="65"/>
        <v>0</v>
      </c>
      <c r="BB39" s="64">
        <f t="shared" si="66"/>
        <v>0</v>
      </c>
      <c r="BC39" s="65">
        <f t="shared" si="66"/>
        <v>0</v>
      </c>
      <c r="BD39" s="65">
        <f t="shared" si="66"/>
        <v>0</v>
      </c>
      <c r="BE39" s="66">
        <f t="shared" si="67"/>
        <v>0</v>
      </c>
      <c r="BF39" s="60"/>
      <c r="BG39" s="63"/>
      <c r="BH39" s="63">
        <v>4352134</v>
      </c>
      <c r="BI39" s="62">
        <f t="shared" si="68"/>
        <v>4352134</v>
      </c>
      <c r="BJ39" s="60"/>
      <c r="BK39" s="63">
        <v>0</v>
      </c>
      <c r="BL39" s="63">
        <v>0</v>
      </c>
      <c r="BM39" s="62">
        <f t="shared" si="69"/>
        <v>0</v>
      </c>
      <c r="BN39" s="60"/>
      <c r="BO39" s="63"/>
      <c r="BP39" s="63"/>
      <c r="BQ39" s="62">
        <f t="shared" si="70"/>
        <v>0</v>
      </c>
      <c r="BR39" s="67">
        <f t="shared" si="71"/>
        <v>0</v>
      </c>
      <c r="BS39" s="68">
        <f t="shared" si="71"/>
        <v>0</v>
      </c>
      <c r="BT39" s="68">
        <f t="shared" si="71"/>
        <v>4352134</v>
      </c>
      <c r="BU39" s="69">
        <f t="shared" si="72"/>
        <v>4352134</v>
      </c>
      <c r="BV39" s="70">
        <f t="shared" si="83"/>
        <v>0</v>
      </c>
      <c r="BW39" s="81">
        <f t="shared" si="83"/>
        <v>9540</v>
      </c>
      <c r="BX39" s="81">
        <f t="shared" si="83"/>
        <v>4361674</v>
      </c>
      <c r="BY39" s="252">
        <f t="shared" si="74"/>
        <v>4352134</v>
      </c>
      <c r="BZ39" s="60">
        <v>2949000</v>
      </c>
      <c r="CA39" s="61">
        <v>10552316</v>
      </c>
      <c r="CB39" s="61">
        <v>11952316</v>
      </c>
      <c r="CC39" s="62">
        <f t="shared" si="75"/>
        <v>1400000</v>
      </c>
      <c r="CD39" s="73">
        <f>BZ39+BV39</f>
        <v>2949000</v>
      </c>
      <c r="CE39" s="52">
        <v>10552316</v>
      </c>
      <c r="CF39" s="52">
        <f>CB39+BX39</f>
        <v>16313990</v>
      </c>
      <c r="CG39" s="252">
        <f t="shared" si="76"/>
        <v>5761674</v>
      </c>
      <c r="CH39" s="62">
        <f t="shared" si="84"/>
        <v>2949000</v>
      </c>
      <c r="CI39" s="62">
        <f t="shared" si="84"/>
        <v>10552316</v>
      </c>
      <c r="CJ39" s="62">
        <f t="shared" si="84"/>
        <v>16313990</v>
      </c>
      <c r="CK39" s="62">
        <f t="shared" si="78"/>
        <v>5761674</v>
      </c>
      <c r="CL39" s="76">
        <v>314406</v>
      </c>
      <c r="CM39" s="77">
        <f>CL39+1001+1579+2997</f>
        <v>319983</v>
      </c>
      <c r="CN39" s="77">
        <f>CM39+1001+1579+2997</f>
        <v>325560</v>
      </c>
      <c r="CO39" s="78">
        <f t="shared" si="79"/>
        <v>5577</v>
      </c>
      <c r="CP39" s="79">
        <v>1800</v>
      </c>
      <c r="CQ39" s="77">
        <f>CP39</f>
        <v>1800</v>
      </c>
      <c r="CR39" s="77">
        <f>CQ39</f>
        <v>1800</v>
      </c>
      <c r="CS39" s="78">
        <f>CQ39-CP39</f>
        <v>0</v>
      </c>
      <c r="CT39" s="76"/>
      <c r="CU39" s="77">
        <f t="shared" si="85"/>
        <v>0</v>
      </c>
      <c r="CV39" s="77">
        <f t="shared" si="85"/>
        <v>0</v>
      </c>
      <c r="CW39" s="78">
        <f>CU39-CT39</f>
        <v>0</v>
      </c>
      <c r="CX39" s="80"/>
      <c r="CY39" s="58">
        <f t="shared" si="81"/>
        <v>321783</v>
      </c>
    </row>
    <row r="40" spans="1:103" s="1" customFormat="1" ht="13.5" x14ac:dyDescent="0.25">
      <c r="A40" s="213" t="s">
        <v>40</v>
      </c>
      <c r="B40" s="60"/>
      <c r="C40" s="61"/>
      <c r="D40" s="61"/>
      <c r="E40" s="75">
        <f t="shared" si="53"/>
        <v>0</v>
      </c>
      <c r="F40" s="61"/>
      <c r="G40" s="61"/>
      <c r="H40" s="61"/>
      <c r="I40" s="62">
        <f t="shared" si="54"/>
        <v>0</v>
      </c>
      <c r="J40" s="61"/>
      <c r="K40" s="61"/>
      <c r="L40" s="61"/>
      <c r="M40" s="62">
        <f t="shared" si="55"/>
        <v>0</v>
      </c>
      <c r="N40" s="60"/>
      <c r="O40" s="63">
        <v>0</v>
      </c>
      <c r="P40" s="63">
        <v>0</v>
      </c>
      <c r="Q40" s="62">
        <f t="shared" si="56"/>
        <v>0</v>
      </c>
      <c r="R40" s="60"/>
      <c r="S40" s="63"/>
      <c r="T40" s="63"/>
      <c r="U40" s="62">
        <f t="shared" si="57"/>
        <v>0</v>
      </c>
      <c r="V40" s="60"/>
      <c r="W40" s="63"/>
      <c r="X40" s="63"/>
      <c r="Y40" s="62">
        <f t="shared" si="58"/>
        <v>0</v>
      </c>
      <c r="Z40" s="60"/>
      <c r="AA40" s="63"/>
      <c r="AB40" s="63"/>
      <c r="AC40" s="62">
        <f t="shared" si="59"/>
        <v>0</v>
      </c>
      <c r="AD40" s="60"/>
      <c r="AE40" s="63"/>
      <c r="AF40" s="63"/>
      <c r="AG40" s="62">
        <f t="shared" si="60"/>
        <v>0</v>
      </c>
      <c r="AH40" s="60"/>
      <c r="AI40" s="63"/>
      <c r="AJ40" s="63"/>
      <c r="AK40" s="62">
        <f t="shared" si="61"/>
        <v>0</v>
      </c>
      <c r="AL40" s="60"/>
      <c r="AM40" s="63"/>
      <c r="AN40" s="63"/>
      <c r="AO40" s="62">
        <f t="shared" si="62"/>
        <v>0</v>
      </c>
      <c r="AP40" s="60"/>
      <c r="AQ40" s="63"/>
      <c r="AR40" s="63"/>
      <c r="AS40" s="62">
        <f t="shared" si="63"/>
        <v>0</v>
      </c>
      <c r="AT40" s="60"/>
      <c r="AU40" s="63"/>
      <c r="AV40" s="63"/>
      <c r="AW40" s="62">
        <f t="shared" si="64"/>
        <v>0</v>
      </c>
      <c r="AX40" s="60"/>
      <c r="AY40" s="63"/>
      <c r="AZ40" s="63"/>
      <c r="BA40" s="62">
        <f t="shared" si="65"/>
        <v>0</v>
      </c>
      <c r="BB40" s="64">
        <f t="shared" si="66"/>
        <v>0</v>
      </c>
      <c r="BC40" s="65">
        <f t="shared" si="66"/>
        <v>0</v>
      </c>
      <c r="BD40" s="65">
        <f t="shared" si="66"/>
        <v>0</v>
      </c>
      <c r="BE40" s="66">
        <f t="shared" si="67"/>
        <v>0</v>
      </c>
      <c r="BF40" s="60"/>
      <c r="BG40" s="63"/>
      <c r="BH40" s="63"/>
      <c r="BI40" s="62">
        <f t="shared" si="68"/>
        <v>0</v>
      </c>
      <c r="BJ40" s="60"/>
      <c r="BK40" s="63"/>
      <c r="BL40" s="63"/>
      <c r="BM40" s="62">
        <f t="shared" si="69"/>
        <v>0</v>
      </c>
      <c r="BN40" s="60"/>
      <c r="BO40" s="63"/>
      <c r="BP40" s="63"/>
      <c r="BQ40" s="62">
        <f t="shared" si="70"/>
        <v>0</v>
      </c>
      <c r="BR40" s="67">
        <f t="shared" si="71"/>
        <v>0</v>
      </c>
      <c r="BS40" s="68">
        <f t="shared" si="71"/>
        <v>0</v>
      </c>
      <c r="BT40" s="68">
        <f t="shared" si="71"/>
        <v>0</v>
      </c>
      <c r="BU40" s="69">
        <f t="shared" si="72"/>
        <v>0</v>
      </c>
      <c r="BV40" s="70">
        <f t="shared" si="83"/>
        <v>0</v>
      </c>
      <c r="BW40" s="81">
        <f t="shared" si="83"/>
        <v>0</v>
      </c>
      <c r="BX40" s="81">
        <f t="shared" si="83"/>
        <v>0</v>
      </c>
      <c r="BY40" s="252">
        <f t="shared" si="74"/>
        <v>0</v>
      </c>
      <c r="BZ40" s="60">
        <v>73833853</v>
      </c>
      <c r="CA40" s="61">
        <v>49283853</v>
      </c>
      <c r="CB40" s="61">
        <v>52409453</v>
      </c>
      <c r="CC40" s="62">
        <f t="shared" si="75"/>
        <v>3125600</v>
      </c>
      <c r="CD40" s="73">
        <f>BZ40+BV40</f>
        <v>73833853</v>
      </c>
      <c r="CE40" s="74">
        <f>CA40+BW40</f>
        <v>49283853</v>
      </c>
      <c r="CF40" s="74">
        <f>CB40+BX40</f>
        <v>52409453</v>
      </c>
      <c r="CG40" s="252">
        <f t="shared" si="76"/>
        <v>3125600</v>
      </c>
      <c r="CH40" s="62">
        <f t="shared" si="84"/>
        <v>73833853</v>
      </c>
      <c r="CI40" s="62">
        <f t="shared" si="84"/>
        <v>49283853</v>
      </c>
      <c r="CJ40" s="62">
        <f t="shared" si="84"/>
        <v>52409453</v>
      </c>
      <c r="CK40" s="62">
        <f t="shared" si="78"/>
        <v>3125600</v>
      </c>
      <c r="CL40" s="76">
        <v>17800</v>
      </c>
      <c r="CM40" s="77">
        <f>CL40</f>
        <v>17800</v>
      </c>
      <c r="CN40" s="77">
        <f>CM40</f>
        <v>17800</v>
      </c>
      <c r="CO40" s="78">
        <f t="shared" si="79"/>
        <v>0</v>
      </c>
      <c r="CP40" s="79">
        <v>25779</v>
      </c>
      <c r="CQ40" s="77">
        <f>CP40-592</f>
        <v>25187</v>
      </c>
      <c r="CR40" s="77">
        <f>CQ40-592</f>
        <v>24595</v>
      </c>
      <c r="CS40" s="78">
        <f>CQ40-CP40</f>
        <v>-592</v>
      </c>
      <c r="CT40" s="76"/>
      <c r="CU40" s="77">
        <f t="shared" si="85"/>
        <v>0</v>
      </c>
      <c r="CV40" s="77">
        <f t="shared" si="85"/>
        <v>0</v>
      </c>
      <c r="CW40" s="78">
        <f>CU40-CT40</f>
        <v>0</v>
      </c>
      <c r="CX40" s="80"/>
      <c r="CY40" s="58">
        <f t="shared" si="81"/>
        <v>42987</v>
      </c>
    </row>
    <row r="41" spans="1:103" s="1" customFormat="1" ht="14.25" thickBot="1" x14ac:dyDescent="0.3">
      <c r="A41" s="213" t="s">
        <v>36</v>
      </c>
      <c r="B41" s="255"/>
      <c r="C41" s="256"/>
      <c r="D41" s="256"/>
      <c r="E41" s="257">
        <f t="shared" si="53"/>
        <v>0</v>
      </c>
      <c r="F41" s="256"/>
      <c r="G41" s="256"/>
      <c r="H41" s="256"/>
      <c r="I41" s="258">
        <f t="shared" si="54"/>
        <v>0</v>
      </c>
      <c r="J41" s="256"/>
      <c r="K41" s="256"/>
      <c r="L41" s="256"/>
      <c r="M41" s="258">
        <f t="shared" si="55"/>
        <v>0</v>
      </c>
      <c r="N41" s="255"/>
      <c r="O41" s="259"/>
      <c r="P41" s="259"/>
      <c r="Q41" s="258">
        <f t="shared" si="56"/>
        <v>0</v>
      </c>
      <c r="R41" s="255"/>
      <c r="S41" s="259"/>
      <c r="T41" s="259"/>
      <c r="U41" s="258">
        <f t="shared" si="57"/>
        <v>0</v>
      </c>
      <c r="V41" s="255"/>
      <c r="W41" s="259"/>
      <c r="X41" s="259"/>
      <c r="Y41" s="258">
        <f t="shared" si="58"/>
        <v>0</v>
      </c>
      <c r="Z41" s="255"/>
      <c r="AA41" s="259"/>
      <c r="AB41" s="259"/>
      <c r="AC41" s="258">
        <f t="shared" si="59"/>
        <v>0</v>
      </c>
      <c r="AD41" s="255"/>
      <c r="AE41" s="259"/>
      <c r="AF41" s="259"/>
      <c r="AG41" s="258">
        <f t="shared" si="60"/>
        <v>0</v>
      </c>
      <c r="AH41" s="255"/>
      <c r="AI41" s="259"/>
      <c r="AJ41" s="259"/>
      <c r="AK41" s="258">
        <f t="shared" si="61"/>
        <v>0</v>
      </c>
      <c r="AL41" s="255"/>
      <c r="AM41" s="259"/>
      <c r="AN41" s="259"/>
      <c r="AO41" s="258">
        <f t="shared" si="62"/>
        <v>0</v>
      </c>
      <c r="AP41" s="255"/>
      <c r="AQ41" s="259"/>
      <c r="AR41" s="259"/>
      <c r="AS41" s="258">
        <f t="shared" si="63"/>
        <v>0</v>
      </c>
      <c r="AT41" s="255"/>
      <c r="AU41" s="259"/>
      <c r="AV41" s="259"/>
      <c r="AW41" s="258">
        <f t="shared" si="64"/>
        <v>0</v>
      </c>
      <c r="AX41" s="255"/>
      <c r="AY41" s="259"/>
      <c r="AZ41" s="259"/>
      <c r="BA41" s="258">
        <f t="shared" si="65"/>
        <v>0</v>
      </c>
      <c r="BB41" s="260">
        <f t="shared" si="66"/>
        <v>0</v>
      </c>
      <c r="BC41" s="261">
        <f t="shared" si="66"/>
        <v>0</v>
      </c>
      <c r="BD41" s="261">
        <f t="shared" si="66"/>
        <v>0</v>
      </c>
      <c r="BE41" s="262">
        <f t="shared" si="67"/>
        <v>0</v>
      </c>
      <c r="BF41" s="255"/>
      <c r="BG41" s="259"/>
      <c r="BH41" s="259"/>
      <c r="BI41" s="258">
        <f t="shared" si="68"/>
        <v>0</v>
      </c>
      <c r="BJ41" s="255"/>
      <c r="BK41" s="259"/>
      <c r="BL41" s="259"/>
      <c r="BM41" s="258">
        <f t="shared" si="69"/>
        <v>0</v>
      </c>
      <c r="BN41" s="255"/>
      <c r="BO41" s="259"/>
      <c r="BP41" s="259"/>
      <c r="BQ41" s="258">
        <f t="shared" si="70"/>
        <v>0</v>
      </c>
      <c r="BR41" s="263">
        <f t="shared" si="71"/>
        <v>0</v>
      </c>
      <c r="BS41" s="264">
        <f t="shared" si="71"/>
        <v>0</v>
      </c>
      <c r="BT41" s="264">
        <f t="shared" si="71"/>
        <v>0</v>
      </c>
      <c r="BU41" s="265">
        <f t="shared" si="72"/>
        <v>0</v>
      </c>
      <c r="BV41" s="70">
        <f t="shared" si="83"/>
        <v>0</v>
      </c>
      <c r="BW41" s="266">
        <f t="shared" si="83"/>
        <v>0</v>
      </c>
      <c r="BX41" s="266">
        <f t="shared" si="83"/>
        <v>0</v>
      </c>
      <c r="BY41" s="267">
        <f t="shared" si="74"/>
        <v>0</v>
      </c>
      <c r="BZ41" s="255">
        <v>11395304</v>
      </c>
      <c r="CA41" s="268">
        <v>8617299</v>
      </c>
      <c r="CB41" s="268">
        <v>45911553</v>
      </c>
      <c r="CC41" s="258">
        <f t="shared" si="75"/>
        <v>37294254</v>
      </c>
      <c r="CD41" s="269">
        <f>BZ41+BV41</f>
        <v>11395304</v>
      </c>
      <c r="CE41" s="270">
        <f>CA41+BW41</f>
        <v>8617299</v>
      </c>
      <c r="CF41" s="270">
        <f>CB41+BX41</f>
        <v>45911553</v>
      </c>
      <c r="CG41" s="267">
        <f t="shared" si="76"/>
        <v>37294254</v>
      </c>
      <c r="CH41" s="258">
        <f t="shared" si="84"/>
        <v>11395304</v>
      </c>
      <c r="CI41" s="258">
        <f t="shared" si="84"/>
        <v>8617299</v>
      </c>
      <c r="CJ41" s="258">
        <f t="shared" si="84"/>
        <v>45911553</v>
      </c>
      <c r="CK41" s="258">
        <f t="shared" si="78"/>
        <v>37294254</v>
      </c>
      <c r="CL41" s="209">
        <v>3500</v>
      </c>
      <c r="CM41" s="210">
        <f>CL41+17073</f>
        <v>20573</v>
      </c>
      <c r="CN41" s="210">
        <f>CM41+17073</f>
        <v>37646</v>
      </c>
      <c r="CO41" s="211">
        <f t="shared" si="79"/>
        <v>17073</v>
      </c>
      <c r="CP41" s="212">
        <v>31664</v>
      </c>
      <c r="CQ41" s="210">
        <f>CP41-520</f>
        <v>31144</v>
      </c>
      <c r="CR41" s="210">
        <f>CQ41-520</f>
        <v>30624</v>
      </c>
      <c r="CS41" s="211">
        <f>CQ41-CP41</f>
        <v>-520</v>
      </c>
      <c r="CT41" s="209"/>
      <c r="CU41" s="210">
        <f t="shared" si="85"/>
        <v>0</v>
      </c>
      <c r="CV41" s="210">
        <f t="shared" si="85"/>
        <v>0</v>
      </c>
      <c r="CW41" s="211">
        <f>CU41-CT41</f>
        <v>0</v>
      </c>
      <c r="CX41" s="58"/>
      <c r="CY41" s="58">
        <f t="shared" si="81"/>
        <v>51717</v>
      </c>
    </row>
    <row r="42" spans="1:103" s="1" customFormat="1" ht="14.25" thickBot="1" x14ac:dyDescent="0.3">
      <c r="A42" s="271" t="s">
        <v>29</v>
      </c>
      <c r="B42" s="122">
        <f>B33+B34+B35+B36+B37</f>
        <v>46478422</v>
      </c>
      <c r="C42" s="122">
        <f>C33+C34+C35+C36+C37</f>
        <v>44891301</v>
      </c>
      <c r="D42" s="122">
        <f>D33+D34+D35+D36+D37</f>
        <v>49809015</v>
      </c>
      <c r="E42" s="138">
        <f t="shared" si="53"/>
        <v>4917714</v>
      </c>
      <c r="F42" s="125">
        <f>F33+F34+F35+F36+F37</f>
        <v>212707845</v>
      </c>
      <c r="G42" s="125">
        <f>G33+G34+G35+G36+G37</f>
        <v>180073958</v>
      </c>
      <c r="H42" s="125">
        <f>H33+H34+H35+H36+H37</f>
        <v>238354229</v>
      </c>
      <c r="I42" s="123">
        <f t="shared" si="54"/>
        <v>58280271</v>
      </c>
      <c r="J42" s="125">
        <f>J33+J34+J35+J36+J37</f>
        <v>54914784</v>
      </c>
      <c r="K42" s="125">
        <f>K33+K34+K35+K36+K37</f>
        <v>50930199</v>
      </c>
      <c r="L42" s="125">
        <f>L33+L34+L35+L36+L37</f>
        <v>61266661</v>
      </c>
      <c r="M42" s="123">
        <f t="shared" si="55"/>
        <v>10336462</v>
      </c>
      <c r="N42" s="122">
        <f>N33+N34+N35+N36+N37</f>
        <v>381018859</v>
      </c>
      <c r="O42" s="124">
        <f>O33+O34+O35+O36+O37</f>
        <v>358863576</v>
      </c>
      <c r="P42" s="124">
        <f>P33+P34+P35+P36+P37</f>
        <v>379607495</v>
      </c>
      <c r="Q42" s="123">
        <f t="shared" si="56"/>
        <v>20743919</v>
      </c>
      <c r="R42" s="122">
        <f>R33+R34+R35+R36+R37</f>
        <v>277722177</v>
      </c>
      <c r="S42" s="124">
        <f>S33+S34+S35+S36+S37</f>
        <v>293140796</v>
      </c>
      <c r="T42" s="124">
        <f>T33+T34+T35+T36+T37</f>
        <v>321086916</v>
      </c>
      <c r="U42" s="123">
        <f t="shared" si="57"/>
        <v>27946120</v>
      </c>
      <c r="V42" s="122">
        <f>V33+V34+V35+V36+V37</f>
        <v>91836622</v>
      </c>
      <c r="W42" s="124">
        <f>W33+W34+W35+W36+W37</f>
        <v>84251064</v>
      </c>
      <c r="X42" s="124">
        <f>X33+X34+X35+X36+X37</f>
        <v>92646369</v>
      </c>
      <c r="Y42" s="123">
        <f t="shared" si="58"/>
        <v>8395305</v>
      </c>
      <c r="Z42" s="122">
        <f>Z33+Z34+Z35+Z36+Z37</f>
        <v>22949283</v>
      </c>
      <c r="AA42" s="124">
        <f>AA33+AA34+AA35+AA36+AA37</f>
        <v>22655200</v>
      </c>
      <c r="AB42" s="124">
        <f>AB33+AB34+AB35+AB36+AB37</f>
        <v>24557639</v>
      </c>
      <c r="AC42" s="123">
        <f t="shared" si="59"/>
        <v>1902439</v>
      </c>
      <c r="AD42" s="122">
        <f>AD33+AD34+AD35+AD36+AD37</f>
        <v>50235503</v>
      </c>
      <c r="AE42" s="124">
        <f>AE33+AE34+AE35+AE36+AE37</f>
        <v>47128656</v>
      </c>
      <c r="AF42" s="124">
        <f>AF33+AF34+AF35+AF36+AF37</f>
        <v>49944636</v>
      </c>
      <c r="AG42" s="123">
        <f t="shared" si="60"/>
        <v>2815980</v>
      </c>
      <c r="AH42" s="122">
        <f>AH33+AH34+AH35+AH36+AH37</f>
        <v>0</v>
      </c>
      <c r="AI42" s="124">
        <f>AI33+AI34+AI35+AI36+AI37</f>
        <v>28135932</v>
      </c>
      <c r="AJ42" s="124">
        <f>AJ33+AJ34+AJ35+AJ36+AJ37</f>
        <v>28142049</v>
      </c>
      <c r="AK42" s="123">
        <f t="shared" si="61"/>
        <v>6117</v>
      </c>
      <c r="AL42" s="122">
        <f>AL33+AL34+AL35+AL36+AL37</f>
        <v>0</v>
      </c>
      <c r="AM42" s="124">
        <f>AM33+AM34+AM35+AM36+AM37</f>
        <v>6822167</v>
      </c>
      <c r="AN42" s="124">
        <f>AN33+AN34+AN35+AN36+AN37</f>
        <v>6822167</v>
      </c>
      <c r="AO42" s="123">
        <f t="shared" si="62"/>
        <v>0</v>
      </c>
      <c r="AP42" s="122">
        <f>AP33+AP34+AP35+AP36+AP37</f>
        <v>0</v>
      </c>
      <c r="AQ42" s="124">
        <f>AQ33+AQ34+AQ35+AQ36+AQ37</f>
        <v>7540449</v>
      </c>
      <c r="AR42" s="124">
        <f>AR33+AR34+AR35+AR36+AR37</f>
        <v>7540449</v>
      </c>
      <c r="AS42" s="123">
        <f t="shared" si="63"/>
        <v>0</v>
      </c>
      <c r="AT42" s="122">
        <f>AT33+AT34+AT35+AT36+AT37</f>
        <v>19664600</v>
      </c>
      <c r="AU42" s="124">
        <f>AU33+AU34+AU35+AU36+AU37</f>
        <v>19664600</v>
      </c>
      <c r="AV42" s="124">
        <f>AV33+AV34+AV35+AV36+AV37</f>
        <v>21587641</v>
      </c>
      <c r="AW42" s="123">
        <f t="shared" si="64"/>
        <v>1923041</v>
      </c>
      <c r="AX42" s="122">
        <f>AX33+AX34+AX35+AX36+AX37</f>
        <v>17022569</v>
      </c>
      <c r="AY42" s="124">
        <f>AY33+AY34+AY35+AY36+AY37</f>
        <v>17022569</v>
      </c>
      <c r="AZ42" s="124">
        <f>AZ33+AZ34+AZ35+AZ36+AZ37</f>
        <v>18483248</v>
      </c>
      <c r="BA42" s="123">
        <f t="shared" si="65"/>
        <v>1460679</v>
      </c>
      <c r="BB42" s="126">
        <f t="shared" si="66"/>
        <v>201708577</v>
      </c>
      <c r="BC42" s="127">
        <f t="shared" si="66"/>
        <v>233220637</v>
      </c>
      <c r="BD42" s="127">
        <f t="shared" si="66"/>
        <v>249724198</v>
      </c>
      <c r="BE42" s="128">
        <f t="shared" si="67"/>
        <v>16503561</v>
      </c>
      <c r="BF42" s="122">
        <f>BF33+BF34+BF35+BF36+BF37</f>
        <v>87027311</v>
      </c>
      <c r="BG42" s="124">
        <f>BG33+BG34+BG35+BG36+BG37</f>
        <v>82694130</v>
      </c>
      <c r="BH42" s="124">
        <f>BH33+BH34+BH35+BH36+BH37</f>
        <v>62427300</v>
      </c>
      <c r="BI42" s="123">
        <f t="shared" si="68"/>
        <v>-20266830</v>
      </c>
      <c r="BJ42" s="122">
        <f>BJ33+BJ34+BJ35+BJ36+BJ37</f>
        <v>19334529</v>
      </c>
      <c r="BK42" s="124">
        <f>BK33+BK34+BK35+BK36+BK37</f>
        <v>18414356</v>
      </c>
      <c r="BL42" s="124">
        <f>BL33+BL34+BL35+BL36+BL37</f>
        <v>10876240</v>
      </c>
      <c r="BM42" s="123">
        <f t="shared" si="69"/>
        <v>-7538116</v>
      </c>
      <c r="BN42" s="122">
        <f>BN33+BN34+BN35+BN36+BN37</f>
        <v>15424650</v>
      </c>
      <c r="BO42" s="124">
        <f>BO33+BO34+BO35+BO36+BO37</f>
        <v>15404650</v>
      </c>
      <c r="BP42" s="124">
        <f>BP33+BP34+BP35+BP36+BP37</f>
        <v>8443507</v>
      </c>
      <c r="BQ42" s="123">
        <f t="shared" si="70"/>
        <v>-6961143</v>
      </c>
      <c r="BR42" s="129">
        <f t="shared" si="71"/>
        <v>121786490</v>
      </c>
      <c r="BS42" s="130">
        <f t="shared" si="71"/>
        <v>116513136</v>
      </c>
      <c r="BT42" s="130">
        <f t="shared" si="71"/>
        <v>81747047</v>
      </c>
      <c r="BU42" s="131">
        <f t="shared" si="72"/>
        <v>-34766089</v>
      </c>
      <c r="BV42" s="132">
        <f>BV33+BV34+BV35+BV36+BV37</f>
        <v>1296337154</v>
      </c>
      <c r="BW42" s="133">
        <f>BW33+BW34+BW35+BW36+BW37</f>
        <v>1277633603</v>
      </c>
      <c r="BX42" s="133">
        <f>BX33+BX34+BX35+BX36+BX37</f>
        <v>1381595561</v>
      </c>
      <c r="BY42" s="123">
        <f t="shared" si="74"/>
        <v>103961958</v>
      </c>
      <c r="BZ42" s="122">
        <f>BZ33+BZ34+BZ35+BZ36+BZ37</f>
        <v>1139851899</v>
      </c>
      <c r="CA42" s="135">
        <f>CA33+CA34+CA35+CA36+CA37</f>
        <v>1107057834</v>
      </c>
      <c r="CB42" s="135">
        <f>CB33+CB34+CB35+CB36+CB37</f>
        <v>1150519188</v>
      </c>
      <c r="CC42" s="136">
        <f t="shared" si="75"/>
        <v>43461354</v>
      </c>
      <c r="CD42" s="137">
        <f>CD33+CD34+CD35+CD36+CD37</f>
        <v>2436189053</v>
      </c>
      <c r="CE42" s="135">
        <f>CE33+CE34+CE35+CE36+CE37</f>
        <v>2342192889</v>
      </c>
      <c r="CF42" s="135">
        <f>CF33+CF34+CF35+CF36+CF37</f>
        <v>2532114749</v>
      </c>
      <c r="CG42" s="136">
        <f t="shared" si="76"/>
        <v>189921860</v>
      </c>
      <c r="CH42" s="123">
        <f>CH33+CH34+CH35+CH36+CH37</f>
        <v>2436189053</v>
      </c>
      <c r="CI42" s="123">
        <f>CI33+CI34+CI35+CI36+CI37</f>
        <v>2342192889</v>
      </c>
      <c r="CJ42" s="123">
        <f>CJ33+CJ34+CJ35+CJ36+CJ37</f>
        <v>2532114749</v>
      </c>
      <c r="CK42" s="123">
        <f t="shared" si="78"/>
        <v>189921860</v>
      </c>
      <c r="CL42" s="139">
        <f>CL33+CL34+CL35+CL36+CL37</f>
        <v>1427309</v>
      </c>
      <c r="CM42" s="140">
        <f>CM33+CM34+CM35+CM36+CM37</f>
        <v>1514937</v>
      </c>
      <c r="CN42" s="140">
        <f>CN33+CN34+CN35+CN36+CN37</f>
        <v>1602565</v>
      </c>
      <c r="CO42" s="141">
        <f t="shared" si="79"/>
        <v>87628</v>
      </c>
      <c r="CP42" s="142">
        <f t="shared" ref="CP42:CW42" si="86">CP33+CP34+CP35+CP36+CP37</f>
        <v>188606</v>
      </c>
      <c r="CQ42" s="140">
        <f t="shared" si="86"/>
        <v>197974</v>
      </c>
      <c r="CR42" s="140">
        <f t="shared" si="86"/>
        <v>207342</v>
      </c>
      <c r="CS42" s="141">
        <f t="shared" si="86"/>
        <v>9368</v>
      </c>
      <c r="CT42" s="139">
        <f t="shared" si="86"/>
        <v>89503</v>
      </c>
      <c r="CU42" s="140">
        <f t="shared" si="86"/>
        <v>89503</v>
      </c>
      <c r="CV42" s="140">
        <f t="shared" si="86"/>
        <v>89503</v>
      </c>
      <c r="CW42" s="141">
        <f t="shared" si="86"/>
        <v>0</v>
      </c>
      <c r="CX42" s="143"/>
      <c r="CY42" s="58">
        <f t="shared" si="81"/>
        <v>1802414</v>
      </c>
    </row>
    <row r="43" spans="1:103" s="1" customFormat="1" ht="13.5" x14ac:dyDescent="0.25">
      <c r="A43" s="272" t="s">
        <v>11</v>
      </c>
      <c r="B43" s="83">
        <v>2924835</v>
      </c>
      <c r="C43" s="84">
        <v>950169</v>
      </c>
      <c r="D43" s="84">
        <v>1854257</v>
      </c>
      <c r="E43" s="94">
        <f t="shared" si="53"/>
        <v>904088</v>
      </c>
      <c r="F43" s="84">
        <v>2750081</v>
      </c>
      <c r="G43" s="84">
        <v>10156155</v>
      </c>
      <c r="H43" s="84">
        <v>16906155</v>
      </c>
      <c r="I43" s="85">
        <f t="shared" si="54"/>
        <v>6750000</v>
      </c>
      <c r="J43" s="84">
        <v>500000</v>
      </c>
      <c r="K43" s="84">
        <v>500000</v>
      </c>
      <c r="L43" s="84">
        <v>500000</v>
      </c>
      <c r="M43" s="85">
        <f t="shared" si="55"/>
        <v>0</v>
      </c>
      <c r="N43" s="83">
        <v>5000000</v>
      </c>
      <c r="O43" s="86">
        <v>4000000</v>
      </c>
      <c r="P43" s="86">
        <v>5000000</v>
      </c>
      <c r="Q43" s="85">
        <f t="shared" si="56"/>
        <v>1000000</v>
      </c>
      <c r="R43" s="83">
        <v>2001000</v>
      </c>
      <c r="S43" s="86">
        <v>2001000</v>
      </c>
      <c r="T43" s="86">
        <v>2001000</v>
      </c>
      <c r="U43" s="85">
        <f t="shared" si="57"/>
        <v>0</v>
      </c>
      <c r="V43" s="83">
        <v>1050000</v>
      </c>
      <c r="W43" s="86">
        <v>0</v>
      </c>
      <c r="X43" s="86">
        <v>0</v>
      </c>
      <c r="Y43" s="85">
        <f t="shared" si="58"/>
        <v>0</v>
      </c>
      <c r="Z43" s="83">
        <v>934784</v>
      </c>
      <c r="AA43" s="86">
        <v>934784</v>
      </c>
      <c r="AB43" s="86">
        <v>934784</v>
      </c>
      <c r="AC43" s="85">
        <f t="shared" si="59"/>
        <v>0</v>
      </c>
      <c r="AD43" s="83">
        <v>580000</v>
      </c>
      <c r="AE43" s="86">
        <v>580000</v>
      </c>
      <c r="AF43" s="86">
        <v>580000</v>
      </c>
      <c r="AG43" s="85">
        <f t="shared" si="60"/>
        <v>0</v>
      </c>
      <c r="AH43" s="83"/>
      <c r="AI43" s="86">
        <f>251968+287400+77598</f>
        <v>616966</v>
      </c>
      <c r="AJ43" s="86">
        <v>616966</v>
      </c>
      <c r="AK43" s="85">
        <f t="shared" si="61"/>
        <v>0</v>
      </c>
      <c r="AL43" s="83"/>
      <c r="AM43" s="86">
        <f>118110+115986+63206</f>
        <v>297302</v>
      </c>
      <c r="AN43" s="86">
        <v>297302</v>
      </c>
      <c r="AO43" s="85">
        <f t="shared" si="62"/>
        <v>0</v>
      </c>
      <c r="AP43" s="83"/>
      <c r="AQ43" s="86">
        <v>1010</v>
      </c>
      <c r="AR43" s="86">
        <v>1010</v>
      </c>
      <c r="AS43" s="85">
        <f t="shared" si="63"/>
        <v>0</v>
      </c>
      <c r="AT43" s="83">
        <v>317500</v>
      </c>
      <c r="AU43" s="86">
        <v>317500</v>
      </c>
      <c r="AV43" s="86">
        <v>317500</v>
      </c>
      <c r="AW43" s="85">
        <f t="shared" si="64"/>
        <v>0</v>
      </c>
      <c r="AX43" s="83">
        <v>304800</v>
      </c>
      <c r="AY43" s="86">
        <v>304800</v>
      </c>
      <c r="AZ43" s="86">
        <v>304800</v>
      </c>
      <c r="BA43" s="85">
        <f t="shared" si="65"/>
        <v>0</v>
      </c>
      <c r="BB43" s="87">
        <f t="shared" si="66"/>
        <v>3187084</v>
      </c>
      <c r="BC43" s="88">
        <f t="shared" si="66"/>
        <v>3052362</v>
      </c>
      <c r="BD43" s="88">
        <f t="shared" si="66"/>
        <v>3052362</v>
      </c>
      <c r="BE43" s="89">
        <f t="shared" si="67"/>
        <v>0</v>
      </c>
      <c r="BF43" s="83">
        <v>1320000</v>
      </c>
      <c r="BG43" s="86">
        <v>616966</v>
      </c>
      <c r="BH43" s="86">
        <v>0</v>
      </c>
      <c r="BI43" s="85">
        <f t="shared" si="68"/>
        <v>-616966</v>
      </c>
      <c r="BJ43" s="83">
        <v>330000</v>
      </c>
      <c r="BK43" s="86">
        <v>330000</v>
      </c>
      <c r="BL43" s="86">
        <v>32698</v>
      </c>
      <c r="BM43" s="85">
        <f t="shared" si="69"/>
        <v>-297302</v>
      </c>
      <c r="BN43" s="83">
        <v>0</v>
      </c>
      <c r="BO43" s="86">
        <v>20000</v>
      </c>
      <c r="BP43" s="86">
        <v>18990</v>
      </c>
      <c r="BQ43" s="85">
        <f t="shared" si="70"/>
        <v>-1010</v>
      </c>
      <c r="BR43" s="90">
        <f t="shared" si="71"/>
        <v>1650000</v>
      </c>
      <c r="BS43" s="91">
        <f t="shared" si="71"/>
        <v>966966</v>
      </c>
      <c r="BT43" s="91">
        <f t="shared" si="71"/>
        <v>51688</v>
      </c>
      <c r="BU43" s="92">
        <f t="shared" si="72"/>
        <v>-915278</v>
      </c>
      <c r="BV43" s="70">
        <f t="shared" ref="BV43:BX44" si="87">B43+F43+J43+N43+R43+BR43+BB43</f>
        <v>18013000</v>
      </c>
      <c r="BW43" s="81">
        <f t="shared" si="87"/>
        <v>21626652</v>
      </c>
      <c r="BX43" s="81">
        <f t="shared" si="87"/>
        <v>29365462</v>
      </c>
      <c r="BY43" s="251">
        <f t="shared" si="74"/>
        <v>7738810</v>
      </c>
      <c r="BZ43" s="83">
        <v>1472694099</v>
      </c>
      <c r="CA43" s="93">
        <v>1457828268</v>
      </c>
      <c r="CB43" s="93">
        <v>1469089059</v>
      </c>
      <c r="CC43" s="85">
        <f t="shared" si="75"/>
        <v>11260791</v>
      </c>
      <c r="CD43" s="73">
        <f t="shared" ref="CD43:CD48" si="88">BZ43+BV43</f>
        <v>1490707099</v>
      </c>
      <c r="CE43" s="74">
        <v>1478539642</v>
      </c>
      <c r="CF43" s="74">
        <f t="shared" ref="CF43:CF48" si="89">CB43+BX43</f>
        <v>1498454521</v>
      </c>
      <c r="CG43" s="251">
        <f t="shared" si="76"/>
        <v>19914879</v>
      </c>
      <c r="CH43" s="85">
        <f t="shared" ref="CH43:CJ44" si="90">CD43</f>
        <v>1490707099</v>
      </c>
      <c r="CI43" s="85">
        <f t="shared" si="90"/>
        <v>1478539642</v>
      </c>
      <c r="CJ43" s="85">
        <f t="shared" si="90"/>
        <v>1498454521</v>
      </c>
      <c r="CK43" s="85">
        <f t="shared" si="78"/>
        <v>19914879</v>
      </c>
      <c r="CL43" s="95">
        <v>138500</v>
      </c>
      <c r="CM43" s="96">
        <f>CL43+618+75+5177+2500+699+430785</f>
        <v>578354</v>
      </c>
      <c r="CN43" s="96">
        <f>CM43+618+75+5177+2500+699+430785</f>
        <v>1018208</v>
      </c>
      <c r="CO43" s="97">
        <f t="shared" si="79"/>
        <v>439854</v>
      </c>
      <c r="CP43" s="98">
        <v>21680</v>
      </c>
      <c r="CQ43" s="96">
        <f>CP43</f>
        <v>21680</v>
      </c>
      <c r="CR43" s="96">
        <f>CQ43</f>
        <v>21680</v>
      </c>
      <c r="CS43" s="97">
        <f t="shared" ref="CS43:CS48" si="91">CQ43-CP43</f>
        <v>0</v>
      </c>
      <c r="CT43" s="95"/>
      <c r="CU43" s="96">
        <f t="shared" ref="CU43:CV48" si="92">CT43</f>
        <v>0</v>
      </c>
      <c r="CV43" s="96">
        <f t="shared" si="92"/>
        <v>0</v>
      </c>
      <c r="CW43" s="97">
        <f t="shared" ref="CW43:CW48" si="93">CU43-CT43</f>
        <v>0</v>
      </c>
      <c r="CX43" s="58"/>
      <c r="CY43" s="58">
        <f t="shared" si="81"/>
        <v>600034</v>
      </c>
    </row>
    <row r="44" spans="1:103" s="1" customFormat="1" ht="13.5" x14ac:dyDescent="0.25">
      <c r="A44" s="248" t="s">
        <v>2</v>
      </c>
      <c r="B44" s="37">
        <v>100000</v>
      </c>
      <c r="C44" s="38">
        <v>800000</v>
      </c>
      <c r="D44" s="38">
        <v>24221722</v>
      </c>
      <c r="E44" s="53">
        <f t="shared" si="53"/>
        <v>23421722</v>
      </c>
      <c r="F44" s="38">
        <v>100000</v>
      </c>
      <c r="G44" s="38">
        <v>1693139</v>
      </c>
      <c r="H44" s="38">
        <v>1693139</v>
      </c>
      <c r="I44" s="39">
        <f t="shared" si="54"/>
        <v>0</v>
      </c>
      <c r="J44" s="38">
        <v>2040000</v>
      </c>
      <c r="K44" s="38">
        <v>900000</v>
      </c>
      <c r="L44" s="38">
        <v>900000</v>
      </c>
      <c r="M44" s="39">
        <f t="shared" si="55"/>
        <v>0</v>
      </c>
      <c r="N44" s="37">
        <v>250000</v>
      </c>
      <c r="O44" s="144">
        <v>0</v>
      </c>
      <c r="P44" s="144">
        <v>0</v>
      </c>
      <c r="Q44" s="39">
        <f t="shared" si="56"/>
        <v>0</v>
      </c>
      <c r="R44" s="37">
        <v>0</v>
      </c>
      <c r="S44" s="144">
        <v>0</v>
      </c>
      <c r="T44" s="144">
        <v>0</v>
      </c>
      <c r="U44" s="39">
        <f t="shared" si="57"/>
        <v>0</v>
      </c>
      <c r="V44" s="37">
        <v>0</v>
      </c>
      <c r="W44" s="144">
        <v>0</v>
      </c>
      <c r="X44" s="144">
        <v>0</v>
      </c>
      <c r="Y44" s="39">
        <f t="shared" si="58"/>
        <v>0</v>
      </c>
      <c r="Z44" s="37">
        <v>50800</v>
      </c>
      <c r="AA44" s="144">
        <v>0</v>
      </c>
      <c r="AB44" s="144">
        <v>0</v>
      </c>
      <c r="AC44" s="39">
        <f t="shared" si="59"/>
        <v>0</v>
      </c>
      <c r="AD44" s="37">
        <v>3550000</v>
      </c>
      <c r="AE44" s="144">
        <v>3550000</v>
      </c>
      <c r="AF44" s="144">
        <v>3550000</v>
      </c>
      <c r="AG44" s="39">
        <f t="shared" si="60"/>
        <v>0</v>
      </c>
      <c r="AH44" s="37"/>
      <c r="AI44" s="144">
        <f>37362+10088</f>
        <v>47450</v>
      </c>
      <c r="AJ44" s="144">
        <v>47450</v>
      </c>
      <c r="AK44" s="39">
        <f t="shared" si="61"/>
        <v>0</v>
      </c>
      <c r="AL44" s="37"/>
      <c r="AM44" s="144">
        <f>118110+31890</f>
        <v>150000</v>
      </c>
      <c r="AN44" s="144">
        <v>150000</v>
      </c>
      <c r="AO44" s="39">
        <f t="shared" si="62"/>
        <v>0</v>
      </c>
      <c r="AP44" s="37"/>
      <c r="AQ44" s="144"/>
      <c r="AR44" s="144"/>
      <c r="AS44" s="39">
        <f t="shared" si="63"/>
        <v>0</v>
      </c>
      <c r="AT44" s="37">
        <v>748500</v>
      </c>
      <c r="AU44" s="144">
        <v>748500</v>
      </c>
      <c r="AV44" s="144">
        <v>748500</v>
      </c>
      <c r="AW44" s="39">
        <f t="shared" si="64"/>
        <v>0</v>
      </c>
      <c r="AX44" s="37">
        <v>0</v>
      </c>
      <c r="AY44" s="144">
        <v>0</v>
      </c>
      <c r="AZ44" s="144">
        <v>0</v>
      </c>
      <c r="BA44" s="39">
        <f t="shared" si="65"/>
        <v>0</v>
      </c>
      <c r="BB44" s="40">
        <f t="shared" si="66"/>
        <v>4349300</v>
      </c>
      <c r="BC44" s="145">
        <f t="shared" si="66"/>
        <v>4495950</v>
      </c>
      <c r="BD44" s="145">
        <f t="shared" si="66"/>
        <v>4495950</v>
      </c>
      <c r="BE44" s="42">
        <f t="shared" si="67"/>
        <v>0</v>
      </c>
      <c r="BF44" s="37">
        <v>150000</v>
      </c>
      <c r="BG44" s="144">
        <v>150000</v>
      </c>
      <c r="BH44" s="144">
        <v>102550</v>
      </c>
      <c r="BI44" s="39">
        <f t="shared" si="68"/>
        <v>-47450</v>
      </c>
      <c r="BJ44" s="37">
        <v>150000</v>
      </c>
      <c r="BK44" s="144">
        <v>150000</v>
      </c>
      <c r="BL44" s="144">
        <v>0</v>
      </c>
      <c r="BM44" s="39">
        <f t="shared" si="69"/>
        <v>-150000</v>
      </c>
      <c r="BN44" s="37">
        <v>0</v>
      </c>
      <c r="BO44" s="144">
        <v>0</v>
      </c>
      <c r="BP44" s="144">
        <v>0</v>
      </c>
      <c r="BQ44" s="39">
        <f t="shared" si="70"/>
        <v>0</v>
      </c>
      <c r="BR44" s="43">
        <f t="shared" si="71"/>
        <v>300000</v>
      </c>
      <c r="BS44" s="146">
        <f t="shared" si="71"/>
        <v>300000</v>
      </c>
      <c r="BT44" s="146">
        <f t="shared" si="71"/>
        <v>102550</v>
      </c>
      <c r="BU44" s="45">
        <f t="shared" si="72"/>
        <v>-197450</v>
      </c>
      <c r="BV44" s="70">
        <f t="shared" si="87"/>
        <v>7139300</v>
      </c>
      <c r="BW44" s="47">
        <f t="shared" si="87"/>
        <v>8189089</v>
      </c>
      <c r="BX44" s="47">
        <f t="shared" si="87"/>
        <v>31413361</v>
      </c>
      <c r="BY44" s="249">
        <f t="shared" si="74"/>
        <v>23224272</v>
      </c>
      <c r="BZ44" s="37">
        <v>47189680</v>
      </c>
      <c r="CA44" s="49">
        <v>56244063</v>
      </c>
      <c r="CB44" s="49">
        <v>222572976</v>
      </c>
      <c r="CC44" s="39">
        <f t="shared" si="75"/>
        <v>166328913</v>
      </c>
      <c r="CD44" s="51">
        <f t="shared" si="88"/>
        <v>54328980</v>
      </c>
      <c r="CE44" s="52">
        <v>64235702</v>
      </c>
      <c r="CF44" s="52">
        <f t="shared" si="89"/>
        <v>253986337</v>
      </c>
      <c r="CG44" s="249">
        <f t="shared" si="76"/>
        <v>189750635</v>
      </c>
      <c r="CH44" s="39">
        <f t="shared" si="90"/>
        <v>54328980</v>
      </c>
      <c r="CI44" s="39">
        <f t="shared" si="90"/>
        <v>64235702</v>
      </c>
      <c r="CJ44" s="39">
        <f t="shared" si="90"/>
        <v>253986337</v>
      </c>
      <c r="CK44" s="39">
        <f t="shared" si="78"/>
        <v>189750635</v>
      </c>
      <c r="CL44" s="54">
        <v>69453</v>
      </c>
      <c r="CM44" s="57">
        <f>CL44+243149</f>
        <v>312602</v>
      </c>
      <c r="CN44" s="57">
        <f>CM44+243149</f>
        <v>555751</v>
      </c>
      <c r="CO44" s="56">
        <f t="shared" si="79"/>
        <v>243149</v>
      </c>
      <c r="CP44" s="55">
        <v>3800</v>
      </c>
      <c r="CQ44" s="57">
        <f>CP44-3800</f>
        <v>0</v>
      </c>
      <c r="CR44" s="57">
        <f>CQ44-3800</f>
        <v>-3800</v>
      </c>
      <c r="CS44" s="56">
        <f t="shared" si="91"/>
        <v>-3800</v>
      </c>
      <c r="CT44" s="54"/>
      <c r="CU44" s="57">
        <f t="shared" si="92"/>
        <v>0</v>
      </c>
      <c r="CV44" s="57">
        <f t="shared" si="92"/>
        <v>0</v>
      </c>
      <c r="CW44" s="56">
        <f t="shared" si="93"/>
        <v>0</v>
      </c>
      <c r="CX44" s="58"/>
      <c r="CY44" s="58">
        <f t="shared" si="81"/>
        <v>312602</v>
      </c>
    </row>
    <row r="45" spans="1:103" s="1" customFormat="1" ht="13.5" x14ac:dyDescent="0.25">
      <c r="A45" s="250" t="s">
        <v>20</v>
      </c>
      <c r="B45" s="83">
        <f>SUM(B46:B48)</f>
        <v>0</v>
      </c>
      <c r="C45" s="83">
        <f>SUM(C46:C48)</f>
        <v>0</v>
      </c>
      <c r="D45" s="83">
        <f>SUM(D46:D48)</f>
        <v>0</v>
      </c>
      <c r="E45" s="94">
        <f t="shared" si="53"/>
        <v>0</v>
      </c>
      <c r="F45" s="84">
        <f>SUM(F46:F48)</f>
        <v>0</v>
      </c>
      <c r="G45" s="84">
        <f>SUM(G46:G48)</f>
        <v>0</v>
      </c>
      <c r="H45" s="84">
        <f>SUM(H46:H48)</f>
        <v>0</v>
      </c>
      <c r="I45" s="85">
        <f t="shared" si="54"/>
        <v>0</v>
      </c>
      <c r="J45" s="84">
        <f>SUM(J46:J48)</f>
        <v>0</v>
      </c>
      <c r="K45" s="84">
        <f>SUM(K46:K48)</f>
        <v>0</v>
      </c>
      <c r="L45" s="84">
        <f>SUM(L46:L48)</f>
        <v>0</v>
      </c>
      <c r="M45" s="85">
        <f t="shared" si="55"/>
        <v>0</v>
      </c>
      <c r="N45" s="83">
        <f>SUM(N46:N48)</f>
        <v>0</v>
      </c>
      <c r="O45" s="83">
        <f>SUM(O46:O48)</f>
        <v>0</v>
      </c>
      <c r="P45" s="83">
        <f>SUM(P46:P48)</f>
        <v>0</v>
      </c>
      <c r="Q45" s="85">
        <f t="shared" si="56"/>
        <v>0</v>
      </c>
      <c r="R45" s="83">
        <f>SUM(R46:R48)</f>
        <v>0</v>
      </c>
      <c r="S45" s="83">
        <f>SUM(S46:S48)</f>
        <v>0</v>
      </c>
      <c r="T45" s="83">
        <f>SUM(T46:T48)</f>
        <v>0</v>
      </c>
      <c r="U45" s="85">
        <f t="shared" si="57"/>
        <v>0</v>
      </c>
      <c r="V45" s="83">
        <f>SUM(V46:V48)</f>
        <v>0</v>
      </c>
      <c r="W45" s="86">
        <f>U45</f>
        <v>0</v>
      </c>
      <c r="X45" s="86">
        <f>V45</f>
        <v>0</v>
      </c>
      <c r="Y45" s="85">
        <f t="shared" si="58"/>
        <v>0</v>
      </c>
      <c r="Z45" s="156">
        <f>SUM(Z46:Z48)</f>
        <v>0</v>
      </c>
      <c r="AA45" s="84">
        <f>SUM(AA46:AA48)</f>
        <v>0</v>
      </c>
      <c r="AB45" s="84">
        <f>SUM(AB46:AB48)</f>
        <v>0</v>
      </c>
      <c r="AC45" s="85">
        <f t="shared" si="59"/>
        <v>0</v>
      </c>
      <c r="AD45" s="83">
        <f>SUM(AD46:AD48)</f>
        <v>0</v>
      </c>
      <c r="AE45" s="86">
        <f>AC45</f>
        <v>0</v>
      </c>
      <c r="AF45" s="86">
        <f>AD45</f>
        <v>0</v>
      </c>
      <c r="AG45" s="85">
        <f t="shared" si="60"/>
        <v>0</v>
      </c>
      <c r="AH45" s="156">
        <f>SUM(AH46:AH48)</f>
        <v>0</v>
      </c>
      <c r="AI45" s="84">
        <f>SUM(AI46:AI48)</f>
        <v>0</v>
      </c>
      <c r="AJ45" s="84">
        <f>SUM(AJ46:AJ48)</f>
        <v>0</v>
      </c>
      <c r="AK45" s="85">
        <f t="shared" si="61"/>
        <v>0</v>
      </c>
      <c r="AL45" s="156">
        <f>SUM(AL46:AL48)</f>
        <v>0</v>
      </c>
      <c r="AM45" s="84">
        <f>SUM(AM46:AM48)</f>
        <v>0</v>
      </c>
      <c r="AN45" s="84">
        <f>SUM(AN46:AN48)</f>
        <v>0</v>
      </c>
      <c r="AO45" s="85">
        <f t="shared" si="62"/>
        <v>0</v>
      </c>
      <c r="AP45" s="156">
        <f>SUM(AP46:AP48)</f>
        <v>0</v>
      </c>
      <c r="AQ45" s="84">
        <f>SUM(AQ46:AQ48)</f>
        <v>0</v>
      </c>
      <c r="AR45" s="84">
        <f>SUM(AR46:AR48)</f>
        <v>0</v>
      </c>
      <c r="AS45" s="85">
        <f t="shared" si="63"/>
        <v>0</v>
      </c>
      <c r="AT45" s="156">
        <f>SUM(AT46:AT48)</f>
        <v>0</v>
      </c>
      <c r="AU45" s="84">
        <f>SUM(AU46:AU48)</f>
        <v>0</v>
      </c>
      <c r="AV45" s="84">
        <f>SUM(AV46:AV48)</f>
        <v>0</v>
      </c>
      <c r="AW45" s="85">
        <f t="shared" si="64"/>
        <v>0</v>
      </c>
      <c r="AX45" s="156">
        <f>SUM(AX46:AX48)</f>
        <v>0</v>
      </c>
      <c r="AY45" s="84">
        <f>SUM(AY46:AY48)</f>
        <v>0</v>
      </c>
      <c r="AZ45" s="84">
        <f>SUM(AZ46:AZ48)</f>
        <v>0</v>
      </c>
      <c r="BA45" s="85">
        <f t="shared" si="65"/>
        <v>0</v>
      </c>
      <c r="BB45" s="87">
        <f t="shared" si="66"/>
        <v>0</v>
      </c>
      <c r="BC45" s="88">
        <f t="shared" si="66"/>
        <v>0</v>
      </c>
      <c r="BD45" s="88">
        <f t="shared" si="66"/>
        <v>0</v>
      </c>
      <c r="BE45" s="89">
        <f t="shared" si="67"/>
        <v>0</v>
      </c>
      <c r="BF45" s="156">
        <f>SUM(BF46:BF48)</f>
        <v>0</v>
      </c>
      <c r="BG45" s="84">
        <f>SUM(BG46:BG48)</f>
        <v>0</v>
      </c>
      <c r="BH45" s="84">
        <f>SUM(BH46:BH48)</f>
        <v>0</v>
      </c>
      <c r="BI45" s="85">
        <f t="shared" si="68"/>
        <v>0</v>
      </c>
      <c r="BJ45" s="156">
        <f>SUM(BJ46:BJ48)</f>
        <v>0</v>
      </c>
      <c r="BK45" s="84">
        <f>SUM(BK46:BK48)</f>
        <v>0</v>
      </c>
      <c r="BL45" s="84">
        <f>SUM(BL46:BL48)</f>
        <v>0</v>
      </c>
      <c r="BM45" s="85">
        <f t="shared" si="69"/>
        <v>0</v>
      </c>
      <c r="BN45" s="156">
        <f>SUM(BN46:BN48)</f>
        <v>0</v>
      </c>
      <c r="BO45" s="84">
        <f>SUM(BO46:BO48)</f>
        <v>0</v>
      </c>
      <c r="BP45" s="84">
        <f>SUM(BP46:BP48)</f>
        <v>0</v>
      </c>
      <c r="BQ45" s="85">
        <f t="shared" si="70"/>
        <v>0</v>
      </c>
      <c r="BR45" s="90">
        <f t="shared" si="71"/>
        <v>0</v>
      </c>
      <c r="BS45" s="91">
        <f t="shared" si="71"/>
        <v>0</v>
      </c>
      <c r="BT45" s="91">
        <f t="shared" si="71"/>
        <v>0</v>
      </c>
      <c r="BU45" s="92">
        <f t="shared" si="72"/>
        <v>0</v>
      </c>
      <c r="BV45" s="70">
        <f>B45+F45+J45+N45+R45+V45+BR45</f>
        <v>0</v>
      </c>
      <c r="BW45" s="81">
        <f>C45+G45+K45+O45+S45+W45+BS45</f>
        <v>0</v>
      </c>
      <c r="BX45" s="81">
        <f>D45+H45+L45+P45+T45+X45+BT45</f>
        <v>0</v>
      </c>
      <c r="BY45" s="251">
        <f t="shared" si="74"/>
        <v>0</v>
      </c>
      <c r="BZ45" s="83">
        <f>SUM(BZ46:BZ48)</f>
        <v>19609165</v>
      </c>
      <c r="CA45" s="93">
        <f>SUM(CA46:CA48)</f>
        <v>21398154</v>
      </c>
      <c r="CB45" s="93">
        <f>SUM(CB46:CB48)</f>
        <v>24243761</v>
      </c>
      <c r="CC45" s="85">
        <f t="shared" si="75"/>
        <v>2845607</v>
      </c>
      <c r="CD45" s="73">
        <f t="shared" si="88"/>
        <v>19609165</v>
      </c>
      <c r="CE45" s="74">
        <f>CA45+BW45</f>
        <v>21398154</v>
      </c>
      <c r="CF45" s="74">
        <f t="shared" si="89"/>
        <v>24243761</v>
      </c>
      <c r="CG45" s="251">
        <f t="shared" si="76"/>
        <v>2845607</v>
      </c>
      <c r="CH45" s="85">
        <f>SUM(CH46:CH48)</f>
        <v>19609165</v>
      </c>
      <c r="CI45" s="85">
        <f>SUM(CI46:CI48)</f>
        <v>21398154</v>
      </c>
      <c r="CJ45" s="85">
        <f>SUM(CJ46:CJ48)</f>
        <v>24243761</v>
      </c>
      <c r="CK45" s="85">
        <f t="shared" si="78"/>
        <v>2845607</v>
      </c>
      <c r="CL45" s="95">
        <f>SUM(CL46:CL48)</f>
        <v>5992</v>
      </c>
      <c r="CM45" s="95">
        <f>SUM(CM46:CM48)</f>
        <v>16391</v>
      </c>
      <c r="CN45" s="95">
        <f>SUM(CN46:CN48)</f>
        <v>26790</v>
      </c>
      <c r="CO45" s="97">
        <f t="shared" si="79"/>
        <v>10399</v>
      </c>
      <c r="CP45" s="98">
        <f>SUM(CP46:CP48)</f>
        <v>2988</v>
      </c>
      <c r="CQ45" s="96">
        <f>SUM(CQ46:CQ48)</f>
        <v>4438</v>
      </c>
      <c r="CR45" s="96">
        <f>SUM(CR46:CR48)</f>
        <v>5888</v>
      </c>
      <c r="CS45" s="97">
        <f t="shared" si="91"/>
        <v>1450</v>
      </c>
      <c r="CT45" s="95">
        <f>SUM(CT46:CT48)</f>
        <v>0</v>
      </c>
      <c r="CU45" s="96">
        <f t="shared" si="92"/>
        <v>0</v>
      </c>
      <c r="CV45" s="96">
        <f t="shared" si="92"/>
        <v>0</v>
      </c>
      <c r="CW45" s="97">
        <f t="shared" si="93"/>
        <v>0</v>
      </c>
      <c r="CX45" s="58"/>
      <c r="CY45" s="58">
        <f t="shared" si="81"/>
        <v>20829</v>
      </c>
    </row>
    <row r="46" spans="1:103" s="1" customFormat="1" ht="13.5" x14ac:dyDescent="0.25">
      <c r="A46" s="213" t="s">
        <v>45</v>
      </c>
      <c r="B46" s="60"/>
      <c r="C46" s="61"/>
      <c r="D46" s="61"/>
      <c r="E46" s="75">
        <f t="shared" si="53"/>
        <v>0</v>
      </c>
      <c r="F46" s="61"/>
      <c r="G46" s="61"/>
      <c r="H46" s="61"/>
      <c r="I46" s="62">
        <f t="shared" si="54"/>
        <v>0</v>
      </c>
      <c r="J46" s="61"/>
      <c r="K46" s="61"/>
      <c r="L46" s="61"/>
      <c r="M46" s="62">
        <f t="shared" si="55"/>
        <v>0</v>
      </c>
      <c r="N46" s="60"/>
      <c r="O46" s="63"/>
      <c r="P46" s="63"/>
      <c r="Q46" s="62">
        <f t="shared" si="56"/>
        <v>0</v>
      </c>
      <c r="R46" s="60"/>
      <c r="S46" s="63"/>
      <c r="T46" s="63"/>
      <c r="U46" s="62">
        <f t="shared" si="57"/>
        <v>0</v>
      </c>
      <c r="V46" s="60"/>
      <c r="W46" s="63"/>
      <c r="X46" s="63"/>
      <c r="Y46" s="62">
        <f t="shared" si="58"/>
        <v>0</v>
      </c>
      <c r="Z46" s="60"/>
      <c r="AA46" s="63"/>
      <c r="AB46" s="63"/>
      <c r="AC46" s="62">
        <f t="shared" si="59"/>
        <v>0</v>
      </c>
      <c r="AD46" s="60"/>
      <c r="AE46" s="63"/>
      <c r="AF46" s="63"/>
      <c r="AG46" s="62">
        <f t="shared" si="60"/>
        <v>0</v>
      </c>
      <c r="AH46" s="60"/>
      <c r="AI46" s="63"/>
      <c r="AJ46" s="63"/>
      <c r="AK46" s="62">
        <f t="shared" si="61"/>
        <v>0</v>
      </c>
      <c r="AL46" s="60"/>
      <c r="AM46" s="63"/>
      <c r="AN46" s="63"/>
      <c r="AO46" s="62">
        <f t="shared" si="62"/>
        <v>0</v>
      </c>
      <c r="AP46" s="60"/>
      <c r="AQ46" s="63"/>
      <c r="AR46" s="63"/>
      <c r="AS46" s="62">
        <f t="shared" si="63"/>
        <v>0</v>
      </c>
      <c r="AT46" s="60"/>
      <c r="AU46" s="63"/>
      <c r="AV46" s="63"/>
      <c r="AW46" s="62">
        <f t="shared" si="64"/>
        <v>0</v>
      </c>
      <c r="AX46" s="60"/>
      <c r="AY46" s="63"/>
      <c r="AZ46" s="63"/>
      <c r="BA46" s="62">
        <f t="shared" si="65"/>
        <v>0</v>
      </c>
      <c r="BB46" s="64">
        <f t="shared" si="66"/>
        <v>0</v>
      </c>
      <c r="BC46" s="65">
        <f t="shared" si="66"/>
        <v>0</v>
      </c>
      <c r="BD46" s="65">
        <f t="shared" si="66"/>
        <v>0</v>
      </c>
      <c r="BE46" s="66">
        <f t="shared" si="67"/>
        <v>0</v>
      </c>
      <c r="BF46" s="60"/>
      <c r="BG46" s="63"/>
      <c r="BH46" s="63"/>
      <c r="BI46" s="62">
        <f t="shared" si="68"/>
        <v>0</v>
      </c>
      <c r="BJ46" s="60"/>
      <c r="BK46" s="63"/>
      <c r="BL46" s="63"/>
      <c r="BM46" s="62">
        <f t="shared" si="69"/>
        <v>0</v>
      </c>
      <c r="BN46" s="60"/>
      <c r="BO46" s="63"/>
      <c r="BP46" s="63"/>
      <c r="BQ46" s="62">
        <f t="shared" si="70"/>
        <v>0</v>
      </c>
      <c r="BR46" s="67">
        <f t="shared" si="71"/>
        <v>0</v>
      </c>
      <c r="BS46" s="68">
        <f t="shared" si="71"/>
        <v>0</v>
      </c>
      <c r="BT46" s="68">
        <f t="shared" si="71"/>
        <v>0</v>
      </c>
      <c r="BU46" s="69">
        <f t="shared" si="72"/>
        <v>0</v>
      </c>
      <c r="BV46" s="70">
        <f t="shared" ref="BV46:BX48" si="94">B46+F46+J46+N46+R46+BR46+BB46</f>
        <v>0</v>
      </c>
      <c r="BW46" s="81">
        <f t="shared" si="94"/>
        <v>0</v>
      </c>
      <c r="BX46" s="81">
        <f t="shared" si="94"/>
        <v>0</v>
      </c>
      <c r="BY46" s="252">
        <f t="shared" si="74"/>
        <v>0</v>
      </c>
      <c r="BZ46" s="60">
        <v>1003165</v>
      </c>
      <c r="CA46" s="61">
        <v>1003165</v>
      </c>
      <c r="CB46" s="61">
        <v>1003165</v>
      </c>
      <c r="CC46" s="62">
        <f t="shared" si="75"/>
        <v>0</v>
      </c>
      <c r="CD46" s="73">
        <f t="shared" si="88"/>
        <v>1003165</v>
      </c>
      <c r="CE46" s="74">
        <f>CA46+BW46</f>
        <v>1003165</v>
      </c>
      <c r="CF46" s="74">
        <f t="shared" si="89"/>
        <v>1003165</v>
      </c>
      <c r="CG46" s="252">
        <f t="shared" si="76"/>
        <v>0</v>
      </c>
      <c r="CH46" s="62">
        <f t="shared" ref="CH46:CJ48" si="95">CD46</f>
        <v>1003165</v>
      </c>
      <c r="CI46" s="62">
        <f t="shared" si="95"/>
        <v>1003165</v>
      </c>
      <c r="CJ46" s="62">
        <f t="shared" si="95"/>
        <v>1003165</v>
      </c>
      <c r="CK46" s="62">
        <f t="shared" si="78"/>
        <v>0</v>
      </c>
      <c r="CL46" s="76"/>
      <c r="CM46" s="77">
        <f>CL46</f>
        <v>0</v>
      </c>
      <c r="CN46" s="77">
        <f>CM46</f>
        <v>0</v>
      </c>
      <c r="CO46" s="78">
        <f t="shared" si="79"/>
        <v>0</v>
      </c>
      <c r="CP46" s="79">
        <v>1358</v>
      </c>
      <c r="CQ46" s="77">
        <f>CP46</f>
        <v>1358</v>
      </c>
      <c r="CR46" s="77">
        <f>CQ46</f>
        <v>1358</v>
      </c>
      <c r="CS46" s="78">
        <f t="shared" si="91"/>
        <v>0</v>
      </c>
      <c r="CT46" s="76"/>
      <c r="CU46" s="77">
        <f t="shared" si="92"/>
        <v>0</v>
      </c>
      <c r="CV46" s="77">
        <f t="shared" si="92"/>
        <v>0</v>
      </c>
      <c r="CW46" s="78">
        <f t="shared" si="93"/>
        <v>0</v>
      </c>
      <c r="CX46" s="80"/>
      <c r="CY46" s="58">
        <f t="shared" si="81"/>
        <v>1358</v>
      </c>
    </row>
    <row r="47" spans="1:103" s="1" customFormat="1" ht="13.5" x14ac:dyDescent="0.25">
      <c r="A47" s="213" t="s">
        <v>46</v>
      </c>
      <c r="B47" s="60"/>
      <c r="C47" s="61"/>
      <c r="D47" s="61"/>
      <c r="E47" s="75">
        <f t="shared" si="53"/>
        <v>0</v>
      </c>
      <c r="F47" s="61"/>
      <c r="G47" s="61"/>
      <c r="H47" s="61"/>
      <c r="I47" s="62">
        <f t="shared" si="54"/>
        <v>0</v>
      </c>
      <c r="J47" s="61"/>
      <c r="K47" s="61"/>
      <c r="L47" s="61"/>
      <c r="M47" s="62">
        <f t="shared" si="55"/>
        <v>0</v>
      </c>
      <c r="N47" s="60"/>
      <c r="O47" s="63"/>
      <c r="P47" s="63"/>
      <c r="Q47" s="62">
        <f t="shared" si="56"/>
        <v>0</v>
      </c>
      <c r="R47" s="60"/>
      <c r="S47" s="63"/>
      <c r="T47" s="63"/>
      <c r="U47" s="62">
        <f t="shared" si="57"/>
        <v>0</v>
      </c>
      <c r="V47" s="60"/>
      <c r="W47" s="63"/>
      <c r="X47" s="63"/>
      <c r="Y47" s="62">
        <f t="shared" si="58"/>
        <v>0</v>
      </c>
      <c r="Z47" s="60"/>
      <c r="AA47" s="63"/>
      <c r="AB47" s="63"/>
      <c r="AC47" s="62">
        <f t="shared" si="59"/>
        <v>0</v>
      </c>
      <c r="AD47" s="60"/>
      <c r="AE47" s="63"/>
      <c r="AF47" s="63"/>
      <c r="AG47" s="62">
        <f t="shared" si="60"/>
        <v>0</v>
      </c>
      <c r="AH47" s="60"/>
      <c r="AI47" s="63"/>
      <c r="AJ47" s="63"/>
      <c r="AK47" s="62">
        <f t="shared" si="61"/>
        <v>0</v>
      </c>
      <c r="AL47" s="60"/>
      <c r="AM47" s="63"/>
      <c r="AN47" s="63"/>
      <c r="AO47" s="62">
        <f t="shared" si="62"/>
        <v>0</v>
      </c>
      <c r="AP47" s="60"/>
      <c r="AQ47" s="63"/>
      <c r="AR47" s="63"/>
      <c r="AS47" s="62">
        <f t="shared" si="63"/>
        <v>0</v>
      </c>
      <c r="AT47" s="60"/>
      <c r="AU47" s="63"/>
      <c r="AV47" s="63"/>
      <c r="AW47" s="62">
        <f t="shared" si="64"/>
        <v>0</v>
      </c>
      <c r="AX47" s="60"/>
      <c r="AY47" s="63"/>
      <c r="AZ47" s="63"/>
      <c r="BA47" s="62">
        <f t="shared" si="65"/>
        <v>0</v>
      </c>
      <c r="BB47" s="64">
        <f t="shared" si="66"/>
        <v>0</v>
      </c>
      <c r="BC47" s="65">
        <f t="shared" si="66"/>
        <v>0</v>
      </c>
      <c r="BD47" s="65">
        <f t="shared" si="66"/>
        <v>0</v>
      </c>
      <c r="BE47" s="66">
        <f t="shared" si="67"/>
        <v>0</v>
      </c>
      <c r="BF47" s="60"/>
      <c r="BG47" s="63"/>
      <c r="BH47" s="63"/>
      <c r="BI47" s="62">
        <f t="shared" si="68"/>
        <v>0</v>
      </c>
      <c r="BJ47" s="60"/>
      <c r="BK47" s="63"/>
      <c r="BL47" s="63"/>
      <c r="BM47" s="62">
        <f t="shared" si="69"/>
        <v>0</v>
      </c>
      <c r="BN47" s="60"/>
      <c r="BO47" s="63"/>
      <c r="BP47" s="63"/>
      <c r="BQ47" s="62">
        <f t="shared" si="70"/>
        <v>0</v>
      </c>
      <c r="BR47" s="67">
        <f t="shared" si="71"/>
        <v>0</v>
      </c>
      <c r="BS47" s="68">
        <f t="shared" si="71"/>
        <v>0</v>
      </c>
      <c r="BT47" s="68">
        <f t="shared" si="71"/>
        <v>0</v>
      </c>
      <c r="BU47" s="69">
        <f t="shared" si="72"/>
        <v>0</v>
      </c>
      <c r="BV47" s="70">
        <f t="shared" si="94"/>
        <v>0</v>
      </c>
      <c r="BW47" s="81">
        <f t="shared" si="94"/>
        <v>0</v>
      </c>
      <c r="BX47" s="81">
        <f t="shared" si="94"/>
        <v>0</v>
      </c>
      <c r="BY47" s="252">
        <f t="shared" si="74"/>
        <v>0</v>
      </c>
      <c r="BZ47" s="60">
        <v>17406000</v>
      </c>
      <c r="CA47" s="61">
        <v>18267345</v>
      </c>
      <c r="CB47" s="61">
        <v>21112952</v>
      </c>
      <c r="CC47" s="62">
        <f t="shared" si="75"/>
        <v>2845607</v>
      </c>
      <c r="CD47" s="73">
        <f t="shared" si="88"/>
        <v>17406000</v>
      </c>
      <c r="CE47" s="74">
        <f>CA47+BW47</f>
        <v>18267345</v>
      </c>
      <c r="CF47" s="74">
        <f t="shared" si="89"/>
        <v>21112952</v>
      </c>
      <c r="CG47" s="252">
        <f t="shared" si="76"/>
        <v>2845607</v>
      </c>
      <c r="CH47" s="62">
        <f t="shared" si="95"/>
        <v>17406000</v>
      </c>
      <c r="CI47" s="62">
        <f t="shared" si="95"/>
        <v>18267345</v>
      </c>
      <c r="CJ47" s="62">
        <f t="shared" si="95"/>
        <v>21112952</v>
      </c>
      <c r="CK47" s="62">
        <f t="shared" si="78"/>
        <v>2845607</v>
      </c>
      <c r="CL47" s="76">
        <v>5992</v>
      </c>
      <c r="CM47" s="77">
        <f>CL47</f>
        <v>5992</v>
      </c>
      <c r="CN47" s="77">
        <f>CM47</f>
        <v>5992</v>
      </c>
      <c r="CO47" s="78">
        <f t="shared" si="79"/>
        <v>0</v>
      </c>
      <c r="CP47" s="79"/>
      <c r="CQ47" s="77">
        <f>CP47</f>
        <v>0</v>
      </c>
      <c r="CR47" s="77">
        <f>CQ47</f>
        <v>0</v>
      </c>
      <c r="CS47" s="78">
        <f t="shared" si="91"/>
        <v>0</v>
      </c>
      <c r="CT47" s="76"/>
      <c r="CU47" s="77">
        <f t="shared" si="92"/>
        <v>0</v>
      </c>
      <c r="CV47" s="77">
        <f t="shared" si="92"/>
        <v>0</v>
      </c>
      <c r="CW47" s="78">
        <f t="shared" si="93"/>
        <v>0</v>
      </c>
      <c r="CX47" s="80"/>
      <c r="CY47" s="58">
        <f t="shared" si="81"/>
        <v>5992</v>
      </c>
    </row>
    <row r="48" spans="1:103" s="1" customFormat="1" ht="14.25" thickBot="1" x14ac:dyDescent="0.3">
      <c r="A48" s="213" t="s">
        <v>47</v>
      </c>
      <c r="B48" s="273"/>
      <c r="C48" s="268"/>
      <c r="D48" s="268"/>
      <c r="E48" s="274">
        <f t="shared" si="53"/>
        <v>0</v>
      </c>
      <c r="F48" s="268"/>
      <c r="G48" s="268"/>
      <c r="H48" s="268"/>
      <c r="I48" s="275">
        <f t="shared" si="54"/>
        <v>0</v>
      </c>
      <c r="J48" s="268"/>
      <c r="K48" s="268"/>
      <c r="L48" s="268"/>
      <c r="M48" s="275">
        <f t="shared" si="55"/>
        <v>0</v>
      </c>
      <c r="N48" s="273"/>
      <c r="O48" s="276"/>
      <c r="P48" s="276"/>
      <c r="Q48" s="275">
        <f t="shared" si="56"/>
        <v>0</v>
      </c>
      <c r="R48" s="273"/>
      <c r="S48" s="276"/>
      <c r="T48" s="276"/>
      <c r="U48" s="275">
        <f t="shared" si="57"/>
        <v>0</v>
      </c>
      <c r="V48" s="273"/>
      <c r="W48" s="276"/>
      <c r="X48" s="276"/>
      <c r="Y48" s="275">
        <f t="shared" si="58"/>
        <v>0</v>
      </c>
      <c r="Z48" s="273"/>
      <c r="AA48" s="276"/>
      <c r="AB48" s="276"/>
      <c r="AC48" s="275">
        <f t="shared" si="59"/>
        <v>0</v>
      </c>
      <c r="AD48" s="273"/>
      <c r="AE48" s="276"/>
      <c r="AF48" s="276"/>
      <c r="AG48" s="275">
        <f t="shared" si="60"/>
        <v>0</v>
      </c>
      <c r="AH48" s="273"/>
      <c r="AI48" s="276"/>
      <c r="AJ48" s="276"/>
      <c r="AK48" s="275">
        <f t="shared" si="61"/>
        <v>0</v>
      </c>
      <c r="AL48" s="273"/>
      <c r="AM48" s="276"/>
      <c r="AN48" s="276"/>
      <c r="AO48" s="275">
        <f t="shared" si="62"/>
        <v>0</v>
      </c>
      <c r="AP48" s="273"/>
      <c r="AQ48" s="276"/>
      <c r="AR48" s="276"/>
      <c r="AS48" s="275">
        <f t="shared" si="63"/>
        <v>0</v>
      </c>
      <c r="AT48" s="273"/>
      <c r="AU48" s="276"/>
      <c r="AV48" s="276"/>
      <c r="AW48" s="275">
        <f t="shared" si="64"/>
        <v>0</v>
      </c>
      <c r="AX48" s="273"/>
      <c r="AY48" s="276"/>
      <c r="AZ48" s="276"/>
      <c r="BA48" s="275">
        <f t="shared" si="65"/>
        <v>0</v>
      </c>
      <c r="BB48" s="277">
        <f t="shared" si="66"/>
        <v>0</v>
      </c>
      <c r="BC48" s="278">
        <f t="shared" si="66"/>
        <v>0</v>
      </c>
      <c r="BD48" s="278">
        <f t="shared" si="66"/>
        <v>0</v>
      </c>
      <c r="BE48" s="279">
        <f t="shared" si="67"/>
        <v>0</v>
      </c>
      <c r="BF48" s="273"/>
      <c r="BG48" s="276"/>
      <c r="BH48" s="276"/>
      <c r="BI48" s="275">
        <f t="shared" si="68"/>
        <v>0</v>
      </c>
      <c r="BJ48" s="273"/>
      <c r="BK48" s="276"/>
      <c r="BL48" s="276"/>
      <c r="BM48" s="275">
        <f t="shared" si="69"/>
        <v>0</v>
      </c>
      <c r="BN48" s="273"/>
      <c r="BO48" s="276"/>
      <c r="BP48" s="276"/>
      <c r="BQ48" s="275">
        <f t="shared" si="70"/>
        <v>0</v>
      </c>
      <c r="BR48" s="280">
        <f t="shared" si="71"/>
        <v>0</v>
      </c>
      <c r="BS48" s="281">
        <f t="shared" si="71"/>
        <v>0</v>
      </c>
      <c r="BT48" s="281">
        <f t="shared" si="71"/>
        <v>0</v>
      </c>
      <c r="BU48" s="282">
        <f t="shared" si="72"/>
        <v>0</v>
      </c>
      <c r="BV48" s="70">
        <f t="shared" si="94"/>
        <v>0</v>
      </c>
      <c r="BW48" s="266">
        <f t="shared" si="94"/>
        <v>0</v>
      </c>
      <c r="BX48" s="266">
        <f t="shared" si="94"/>
        <v>0</v>
      </c>
      <c r="BY48" s="283">
        <f t="shared" si="74"/>
        <v>0</v>
      </c>
      <c r="BZ48" s="273">
        <v>1200000</v>
      </c>
      <c r="CA48" s="268">
        <v>2127644</v>
      </c>
      <c r="CB48" s="268">
        <v>2127644</v>
      </c>
      <c r="CC48" s="275">
        <f t="shared" si="75"/>
        <v>0</v>
      </c>
      <c r="CD48" s="269">
        <f t="shared" si="88"/>
        <v>1200000</v>
      </c>
      <c r="CE48" s="270">
        <f>CA48+BW48</f>
        <v>2127644</v>
      </c>
      <c r="CF48" s="270">
        <f t="shared" si="89"/>
        <v>2127644</v>
      </c>
      <c r="CG48" s="283">
        <f t="shared" si="76"/>
        <v>0</v>
      </c>
      <c r="CH48" s="275">
        <f t="shared" si="95"/>
        <v>1200000</v>
      </c>
      <c r="CI48" s="275">
        <f t="shared" si="95"/>
        <v>2127644</v>
      </c>
      <c r="CJ48" s="275">
        <f t="shared" si="95"/>
        <v>2127644</v>
      </c>
      <c r="CK48" s="275">
        <f t="shared" si="78"/>
        <v>0</v>
      </c>
      <c r="CL48" s="284"/>
      <c r="CM48" s="285">
        <f>CL48+10649-250</f>
        <v>10399</v>
      </c>
      <c r="CN48" s="285">
        <f>CM48+10649-250</f>
        <v>20798</v>
      </c>
      <c r="CO48" s="286">
        <f t="shared" si="79"/>
        <v>10399</v>
      </c>
      <c r="CP48" s="287">
        <v>1630</v>
      </c>
      <c r="CQ48" s="285">
        <f>CP48+1200+250</f>
        <v>3080</v>
      </c>
      <c r="CR48" s="285">
        <f>CQ48+1200+250</f>
        <v>4530</v>
      </c>
      <c r="CS48" s="286">
        <f t="shared" si="91"/>
        <v>1450</v>
      </c>
      <c r="CT48" s="284"/>
      <c r="CU48" s="285">
        <f t="shared" si="92"/>
        <v>0</v>
      </c>
      <c r="CV48" s="285">
        <f t="shared" si="92"/>
        <v>0</v>
      </c>
      <c r="CW48" s="286">
        <f t="shared" si="93"/>
        <v>0</v>
      </c>
      <c r="CX48" s="80"/>
      <c r="CY48" s="58">
        <f t="shared" si="81"/>
        <v>13479</v>
      </c>
    </row>
    <row r="49" spans="1:104" s="1" customFormat="1" ht="14.25" thickBot="1" x14ac:dyDescent="0.3">
      <c r="A49" s="271" t="s">
        <v>30</v>
      </c>
      <c r="B49" s="122">
        <f>B43+B44+B45</f>
        <v>3024835</v>
      </c>
      <c r="C49" s="122">
        <f>C43+C44+C45</f>
        <v>1750169</v>
      </c>
      <c r="D49" s="122">
        <f>D43+D44+D45</f>
        <v>26075979</v>
      </c>
      <c r="E49" s="138">
        <f t="shared" si="53"/>
        <v>24325810</v>
      </c>
      <c r="F49" s="125">
        <f>F43+F44+F45</f>
        <v>2850081</v>
      </c>
      <c r="G49" s="125">
        <f>G43+G44+G45</f>
        <v>11849294</v>
      </c>
      <c r="H49" s="125">
        <f>H43+H44+H45</f>
        <v>18599294</v>
      </c>
      <c r="I49" s="123">
        <f t="shared" si="54"/>
        <v>6750000</v>
      </c>
      <c r="J49" s="125">
        <f>J43+J44+J45</f>
        <v>2540000</v>
      </c>
      <c r="K49" s="125">
        <f>K43+K44+K45</f>
        <v>1400000</v>
      </c>
      <c r="L49" s="125">
        <f>L43+L44+L45</f>
        <v>1400000</v>
      </c>
      <c r="M49" s="123">
        <f t="shared" si="55"/>
        <v>0</v>
      </c>
      <c r="N49" s="122">
        <f>N43+N44+N45</f>
        <v>5250000</v>
      </c>
      <c r="O49" s="124">
        <f>O43+O44+O45</f>
        <v>4000000</v>
      </c>
      <c r="P49" s="124">
        <f>P43+P44+P45</f>
        <v>5000000</v>
      </c>
      <c r="Q49" s="123">
        <f t="shared" si="56"/>
        <v>1000000</v>
      </c>
      <c r="R49" s="122">
        <f>R43+R44+R45</f>
        <v>2001000</v>
      </c>
      <c r="S49" s="124">
        <f>S43+S44+S45</f>
        <v>2001000</v>
      </c>
      <c r="T49" s="124">
        <f>T43+T44+T45</f>
        <v>2001000</v>
      </c>
      <c r="U49" s="123">
        <f t="shared" si="57"/>
        <v>0</v>
      </c>
      <c r="V49" s="122">
        <f>V43+V44+V45</f>
        <v>1050000</v>
      </c>
      <c r="W49" s="124">
        <f>W43+W44+W45</f>
        <v>0</v>
      </c>
      <c r="X49" s="124">
        <f>X43+X44+X45</f>
        <v>0</v>
      </c>
      <c r="Y49" s="123">
        <f t="shared" si="58"/>
        <v>0</v>
      </c>
      <c r="Z49" s="122">
        <f>Z43+Z44+Z45</f>
        <v>985584</v>
      </c>
      <c r="AA49" s="124">
        <f>AA43+AA44+AA45</f>
        <v>934784</v>
      </c>
      <c r="AB49" s="124">
        <f>AB43+AB44+AB45</f>
        <v>934784</v>
      </c>
      <c r="AC49" s="123">
        <f t="shared" si="59"/>
        <v>0</v>
      </c>
      <c r="AD49" s="122">
        <f>AD43+AD44+AD45</f>
        <v>4130000</v>
      </c>
      <c r="AE49" s="124">
        <f>AE43+AE44+AE45</f>
        <v>4130000</v>
      </c>
      <c r="AF49" s="124">
        <f>AF43+AF44+AF45</f>
        <v>4130000</v>
      </c>
      <c r="AG49" s="123">
        <f t="shared" si="60"/>
        <v>0</v>
      </c>
      <c r="AH49" s="122">
        <f>AH43+AH44+AH45</f>
        <v>0</v>
      </c>
      <c r="AI49" s="124">
        <f>AI43+AI44+AI45</f>
        <v>664416</v>
      </c>
      <c r="AJ49" s="124">
        <f>AJ43+AJ44+AJ45</f>
        <v>664416</v>
      </c>
      <c r="AK49" s="123">
        <f t="shared" si="61"/>
        <v>0</v>
      </c>
      <c r="AL49" s="122">
        <f>AL43+AL44+AL45</f>
        <v>0</v>
      </c>
      <c r="AM49" s="124">
        <f>AM43+AM44+AM45</f>
        <v>447302</v>
      </c>
      <c r="AN49" s="124">
        <f>AN43+AN44+AN45</f>
        <v>447302</v>
      </c>
      <c r="AO49" s="123">
        <f t="shared" si="62"/>
        <v>0</v>
      </c>
      <c r="AP49" s="122">
        <f>AP43+AP44+AP45</f>
        <v>0</v>
      </c>
      <c r="AQ49" s="124">
        <f>AQ43+AQ44+AQ45</f>
        <v>1010</v>
      </c>
      <c r="AR49" s="124">
        <f>AR43+AR44+AR45</f>
        <v>1010</v>
      </c>
      <c r="AS49" s="123">
        <f t="shared" si="63"/>
        <v>0</v>
      </c>
      <c r="AT49" s="122">
        <f>AT43+AT44+AT45</f>
        <v>1066000</v>
      </c>
      <c r="AU49" s="124">
        <f>AU43+AU44+AU45</f>
        <v>1066000</v>
      </c>
      <c r="AV49" s="124">
        <f>AV43+AV44+AV45</f>
        <v>1066000</v>
      </c>
      <c r="AW49" s="123">
        <f t="shared" si="64"/>
        <v>0</v>
      </c>
      <c r="AX49" s="122">
        <f>AX43+AX44+AX45</f>
        <v>304800</v>
      </c>
      <c r="AY49" s="124">
        <f>AY43+AY44+AY45</f>
        <v>304800</v>
      </c>
      <c r="AZ49" s="124">
        <f>AZ43+AZ44+AZ45</f>
        <v>304800</v>
      </c>
      <c r="BA49" s="123">
        <f t="shared" si="65"/>
        <v>0</v>
      </c>
      <c r="BB49" s="126">
        <f t="shared" si="66"/>
        <v>7536384</v>
      </c>
      <c r="BC49" s="127">
        <f t="shared" si="66"/>
        <v>7548312</v>
      </c>
      <c r="BD49" s="127">
        <f t="shared" si="66"/>
        <v>7548312</v>
      </c>
      <c r="BE49" s="128">
        <f t="shared" si="67"/>
        <v>0</v>
      </c>
      <c r="BF49" s="122">
        <f>BF43+BF44+BF45</f>
        <v>1470000</v>
      </c>
      <c r="BG49" s="124">
        <f>BG43+BG44+BG45</f>
        <v>766966</v>
      </c>
      <c r="BH49" s="124">
        <f>BH43+BH44+BH45</f>
        <v>102550</v>
      </c>
      <c r="BI49" s="123">
        <f t="shared" si="68"/>
        <v>-664416</v>
      </c>
      <c r="BJ49" s="122">
        <f>BJ43+BJ44+BJ45</f>
        <v>480000</v>
      </c>
      <c r="BK49" s="124">
        <f>BK43+BK44+BK45</f>
        <v>480000</v>
      </c>
      <c r="BL49" s="124">
        <f>BL43+BL44+BL45</f>
        <v>32698</v>
      </c>
      <c r="BM49" s="123">
        <f t="shared" si="69"/>
        <v>-447302</v>
      </c>
      <c r="BN49" s="122">
        <f>BN43+BN44+BN45</f>
        <v>0</v>
      </c>
      <c r="BO49" s="124">
        <f>BO43+BO44+BO45</f>
        <v>20000</v>
      </c>
      <c r="BP49" s="124">
        <f>BP43+BP44+BP45</f>
        <v>18990</v>
      </c>
      <c r="BQ49" s="123">
        <f t="shared" si="70"/>
        <v>-1010</v>
      </c>
      <c r="BR49" s="129">
        <f t="shared" si="71"/>
        <v>1950000</v>
      </c>
      <c r="BS49" s="130">
        <f t="shared" si="71"/>
        <v>1266966</v>
      </c>
      <c r="BT49" s="130">
        <f t="shared" si="71"/>
        <v>154238</v>
      </c>
      <c r="BU49" s="131">
        <f t="shared" si="72"/>
        <v>-1112728</v>
      </c>
      <c r="BV49" s="132">
        <f>BV43+BV44+BV45</f>
        <v>25152300</v>
      </c>
      <c r="BW49" s="133">
        <f>BW43+BW44+BW45</f>
        <v>29815741</v>
      </c>
      <c r="BX49" s="133">
        <f>BX43+BX44+BX45</f>
        <v>60778823</v>
      </c>
      <c r="BY49" s="123">
        <f t="shared" si="74"/>
        <v>30963082</v>
      </c>
      <c r="BZ49" s="122">
        <f>BZ43+BZ44+BZ45</f>
        <v>1539492944</v>
      </c>
      <c r="CA49" s="135">
        <f>CA43+CA44+CA45</f>
        <v>1535470485</v>
      </c>
      <c r="CB49" s="135">
        <f>CB43+CB44+CB45</f>
        <v>1715905796</v>
      </c>
      <c r="CC49" s="136">
        <f t="shared" si="75"/>
        <v>180435311</v>
      </c>
      <c r="CD49" s="137">
        <f>CD43+CD44+CD45</f>
        <v>1564645244</v>
      </c>
      <c r="CE49" s="135">
        <f>CE43+CE44+CE45</f>
        <v>1564173498</v>
      </c>
      <c r="CF49" s="135">
        <f>CF43+CF44+CF45</f>
        <v>1776684619</v>
      </c>
      <c r="CG49" s="136">
        <f t="shared" si="76"/>
        <v>212511121</v>
      </c>
      <c r="CH49" s="123">
        <f>CH43+CH44+CH45</f>
        <v>1564645244</v>
      </c>
      <c r="CI49" s="123">
        <f>CI43+CI44+CI45</f>
        <v>1564173498</v>
      </c>
      <c r="CJ49" s="123">
        <f>CJ43+CJ44+CJ45</f>
        <v>1776684619</v>
      </c>
      <c r="CK49" s="123">
        <f t="shared" si="78"/>
        <v>212511121</v>
      </c>
      <c r="CL49" s="139">
        <f>CL43+CL44+CL45</f>
        <v>213945</v>
      </c>
      <c r="CM49" s="140">
        <f>CM43+CM44+CM45</f>
        <v>907347</v>
      </c>
      <c r="CN49" s="140">
        <f>CN43+CN44+CN45</f>
        <v>1600749</v>
      </c>
      <c r="CO49" s="141">
        <f t="shared" si="79"/>
        <v>693402</v>
      </c>
      <c r="CP49" s="142">
        <f t="shared" ref="CP49:CW49" si="96">CP43+CP44+CP45</f>
        <v>28468</v>
      </c>
      <c r="CQ49" s="140">
        <f t="shared" si="96"/>
        <v>26118</v>
      </c>
      <c r="CR49" s="140">
        <f t="shared" si="96"/>
        <v>23768</v>
      </c>
      <c r="CS49" s="141">
        <f t="shared" si="96"/>
        <v>-2350</v>
      </c>
      <c r="CT49" s="139">
        <f t="shared" si="96"/>
        <v>0</v>
      </c>
      <c r="CU49" s="140">
        <f t="shared" si="96"/>
        <v>0</v>
      </c>
      <c r="CV49" s="140">
        <f t="shared" si="96"/>
        <v>0</v>
      </c>
      <c r="CW49" s="141">
        <f t="shared" si="96"/>
        <v>0</v>
      </c>
      <c r="CX49" s="143"/>
      <c r="CY49" s="58">
        <f t="shared" si="81"/>
        <v>933465</v>
      </c>
    </row>
    <row r="50" spans="1:104" s="2" customFormat="1" ht="15.75" customHeight="1" thickBot="1" x14ac:dyDescent="0.3">
      <c r="A50" s="288" t="s">
        <v>31</v>
      </c>
      <c r="B50" s="176">
        <f>B49+B42</f>
        <v>49503257</v>
      </c>
      <c r="C50" s="176">
        <f>C49+C42</f>
        <v>46641470</v>
      </c>
      <c r="D50" s="176">
        <f>D49+D42</f>
        <v>75884994</v>
      </c>
      <c r="E50" s="181">
        <f t="shared" si="53"/>
        <v>29243524</v>
      </c>
      <c r="F50" s="175">
        <f>F49+F42</f>
        <v>215557926</v>
      </c>
      <c r="G50" s="175">
        <f>G49+G42</f>
        <v>191923252</v>
      </c>
      <c r="H50" s="175">
        <f>H49+H42</f>
        <v>256953523</v>
      </c>
      <c r="I50" s="289">
        <f t="shared" si="54"/>
        <v>65030271</v>
      </c>
      <c r="J50" s="175">
        <f>J49+J42</f>
        <v>57454784</v>
      </c>
      <c r="K50" s="175">
        <f>K49+K42</f>
        <v>52330199</v>
      </c>
      <c r="L50" s="175">
        <f>L49+L42</f>
        <v>62666661</v>
      </c>
      <c r="M50" s="289">
        <f t="shared" si="55"/>
        <v>10336462</v>
      </c>
      <c r="N50" s="176">
        <f>N49+N42</f>
        <v>386268859</v>
      </c>
      <c r="O50" s="174">
        <f>O49+O42</f>
        <v>362863576</v>
      </c>
      <c r="P50" s="174">
        <f>P49+P42</f>
        <v>384607495</v>
      </c>
      <c r="Q50" s="289">
        <f t="shared" si="56"/>
        <v>21743919</v>
      </c>
      <c r="R50" s="176">
        <f>R49+R42</f>
        <v>279723177</v>
      </c>
      <c r="S50" s="174">
        <f>S49+S42</f>
        <v>295141796</v>
      </c>
      <c r="T50" s="174">
        <f>T49+T42</f>
        <v>323087916</v>
      </c>
      <c r="U50" s="289">
        <f t="shared" si="57"/>
        <v>27946120</v>
      </c>
      <c r="V50" s="176">
        <f>V49+V42</f>
        <v>92886622</v>
      </c>
      <c r="W50" s="174">
        <f>W49+W42</f>
        <v>84251064</v>
      </c>
      <c r="X50" s="174">
        <f>X49+X42</f>
        <v>92646369</v>
      </c>
      <c r="Y50" s="289">
        <f t="shared" si="58"/>
        <v>8395305</v>
      </c>
      <c r="Z50" s="176">
        <f>Z49+Z42</f>
        <v>23934867</v>
      </c>
      <c r="AA50" s="174">
        <f>AA49+AA42</f>
        <v>23589984</v>
      </c>
      <c r="AB50" s="174">
        <f>AB49+AB42</f>
        <v>25492423</v>
      </c>
      <c r="AC50" s="289">
        <f t="shared" si="59"/>
        <v>1902439</v>
      </c>
      <c r="AD50" s="176">
        <f>AD49+AD42</f>
        <v>54365503</v>
      </c>
      <c r="AE50" s="174">
        <f>AE49+AE42</f>
        <v>51258656</v>
      </c>
      <c r="AF50" s="174">
        <f>AF49+AF42</f>
        <v>54074636</v>
      </c>
      <c r="AG50" s="289">
        <f t="shared" si="60"/>
        <v>2815980</v>
      </c>
      <c r="AH50" s="176">
        <f>AH49+AH42</f>
        <v>0</v>
      </c>
      <c r="AI50" s="174">
        <f>AI49+AI42</f>
        <v>28800348</v>
      </c>
      <c r="AJ50" s="174">
        <f>AJ49+AJ42</f>
        <v>28806465</v>
      </c>
      <c r="AK50" s="289">
        <f t="shared" si="61"/>
        <v>6117</v>
      </c>
      <c r="AL50" s="176">
        <f>AL49+AL42</f>
        <v>0</v>
      </c>
      <c r="AM50" s="174">
        <f>AM49+AM42</f>
        <v>7269469</v>
      </c>
      <c r="AN50" s="174">
        <f>AN49+AN42</f>
        <v>7269469</v>
      </c>
      <c r="AO50" s="289">
        <f t="shared" si="62"/>
        <v>0</v>
      </c>
      <c r="AP50" s="176">
        <f>AP49+AP42</f>
        <v>0</v>
      </c>
      <c r="AQ50" s="174">
        <f>AQ49+AQ42</f>
        <v>7541459</v>
      </c>
      <c r="AR50" s="174">
        <f>AR49+AR42</f>
        <v>7541459</v>
      </c>
      <c r="AS50" s="289">
        <f t="shared" si="63"/>
        <v>0</v>
      </c>
      <c r="AT50" s="176">
        <f>AT49+AT42</f>
        <v>20730600</v>
      </c>
      <c r="AU50" s="174">
        <f>AU49+AU42</f>
        <v>20730600</v>
      </c>
      <c r="AV50" s="174">
        <f>AV49+AV42</f>
        <v>22653641</v>
      </c>
      <c r="AW50" s="289">
        <f t="shared" si="64"/>
        <v>1923041</v>
      </c>
      <c r="AX50" s="176">
        <f>AX49+AX42</f>
        <v>17327369</v>
      </c>
      <c r="AY50" s="174">
        <f>AY49+AY42</f>
        <v>17327369</v>
      </c>
      <c r="AZ50" s="174">
        <f>AZ49+AZ42</f>
        <v>18788048</v>
      </c>
      <c r="BA50" s="289">
        <f t="shared" si="65"/>
        <v>1460679</v>
      </c>
      <c r="BB50" s="177">
        <f t="shared" si="66"/>
        <v>209244961</v>
      </c>
      <c r="BC50" s="290">
        <f t="shared" si="66"/>
        <v>240768949</v>
      </c>
      <c r="BD50" s="290">
        <f t="shared" si="66"/>
        <v>257272510</v>
      </c>
      <c r="BE50" s="291">
        <f t="shared" si="67"/>
        <v>16503561</v>
      </c>
      <c r="BF50" s="176">
        <f>BF49+BF42</f>
        <v>88497311</v>
      </c>
      <c r="BG50" s="174">
        <f>BG49+BG42</f>
        <v>83461096</v>
      </c>
      <c r="BH50" s="174">
        <f>BH49+BH42</f>
        <v>62529850</v>
      </c>
      <c r="BI50" s="289">
        <f t="shared" si="68"/>
        <v>-20931246</v>
      </c>
      <c r="BJ50" s="176">
        <f>BJ49+BJ42</f>
        <v>19814529</v>
      </c>
      <c r="BK50" s="174">
        <f>BK49+BK42</f>
        <v>18894356</v>
      </c>
      <c r="BL50" s="174">
        <f>BL49+BL42</f>
        <v>10908938</v>
      </c>
      <c r="BM50" s="289">
        <f t="shared" si="69"/>
        <v>-7985418</v>
      </c>
      <c r="BN50" s="176">
        <f>BN49+BN42</f>
        <v>15424650</v>
      </c>
      <c r="BO50" s="174">
        <f>BO49+BO42</f>
        <v>15424650</v>
      </c>
      <c r="BP50" s="174">
        <f>BP49+BP42</f>
        <v>8462497</v>
      </c>
      <c r="BQ50" s="289">
        <f t="shared" si="70"/>
        <v>-6962153</v>
      </c>
      <c r="BR50" s="178">
        <f t="shared" si="71"/>
        <v>123736490</v>
      </c>
      <c r="BS50" s="292">
        <f t="shared" si="71"/>
        <v>117780102</v>
      </c>
      <c r="BT50" s="292">
        <f t="shared" si="71"/>
        <v>81901285</v>
      </c>
      <c r="BU50" s="293">
        <f t="shared" si="72"/>
        <v>-35878817</v>
      </c>
      <c r="BV50" s="179">
        <f>BV49+BV42</f>
        <v>1321489454</v>
      </c>
      <c r="BW50" s="294">
        <f>BW49+BW42</f>
        <v>1307449344</v>
      </c>
      <c r="BX50" s="294">
        <f>BX49+BX42</f>
        <v>1442374384</v>
      </c>
      <c r="BY50" s="289">
        <f t="shared" si="74"/>
        <v>134925040</v>
      </c>
      <c r="BZ50" s="176">
        <f>BZ49+BZ42</f>
        <v>2679344843</v>
      </c>
      <c r="CA50" s="295">
        <f>CA49+CA42</f>
        <v>2642528319</v>
      </c>
      <c r="CB50" s="295">
        <f>CB49+CB42</f>
        <v>2866424984</v>
      </c>
      <c r="CC50" s="296">
        <f t="shared" si="75"/>
        <v>223896665</v>
      </c>
      <c r="CD50" s="180">
        <f>CD49+CD42</f>
        <v>4000834297</v>
      </c>
      <c r="CE50" s="295">
        <f>CE49+CE42</f>
        <v>3906366387</v>
      </c>
      <c r="CF50" s="295">
        <f>CF49+CF42</f>
        <v>4308799368</v>
      </c>
      <c r="CG50" s="296">
        <f t="shared" si="76"/>
        <v>402432981</v>
      </c>
      <c r="CH50" s="289">
        <f>CH49+CH42</f>
        <v>4000834297</v>
      </c>
      <c r="CI50" s="289">
        <f>CI49+CI42</f>
        <v>3906366387</v>
      </c>
      <c r="CJ50" s="289">
        <f>CJ49+CJ42</f>
        <v>4308799368</v>
      </c>
      <c r="CK50" s="289">
        <f t="shared" si="78"/>
        <v>402432981</v>
      </c>
      <c r="CL50" s="182">
        <f>CL49+CL42</f>
        <v>1641254</v>
      </c>
      <c r="CM50" s="297">
        <f>CM49+CM42</f>
        <v>2422284</v>
      </c>
      <c r="CN50" s="297">
        <f>CN49+CN42</f>
        <v>3203314</v>
      </c>
      <c r="CO50" s="298">
        <f t="shared" si="79"/>
        <v>781030</v>
      </c>
      <c r="CP50" s="183">
        <f t="shared" ref="CP50:CW50" si="97">CP49+CP42</f>
        <v>217074</v>
      </c>
      <c r="CQ50" s="297">
        <f t="shared" si="97"/>
        <v>224092</v>
      </c>
      <c r="CR50" s="297">
        <f t="shared" si="97"/>
        <v>231110</v>
      </c>
      <c r="CS50" s="298">
        <f t="shared" si="97"/>
        <v>7018</v>
      </c>
      <c r="CT50" s="182">
        <f t="shared" si="97"/>
        <v>89503</v>
      </c>
      <c r="CU50" s="297">
        <f t="shared" si="97"/>
        <v>89503</v>
      </c>
      <c r="CV50" s="297">
        <f t="shared" si="97"/>
        <v>89503</v>
      </c>
      <c r="CW50" s="298">
        <f t="shared" si="97"/>
        <v>0</v>
      </c>
      <c r="CX50" s="143"/>
      <c r="CY50" s="58">
        <f t="shared" si="81"/>
        <v>2735879</v>
      </c>
    </row>
    <row r="51" spans="1:104" s="1" customFormat="1" ht="15.75" customHeight="1" thickBot="1" x14ac:dyDescent="0.3">
      <c r="A51" s="299" t="s">
        <v>32</v>
      </c>
      <c r="B51" s="137">
        <v>0</v>
      </c>
      <c r="C51" s="137">
        <v>0</v>
      </c>
      <c r="D51" s="137">
        <v>0</v>
      </c>
      <c r="E51" s="300">
        <f t="shared" si="53"/>
        <v>0</v>
      </c>
      <c r="F51" s="135">
        <v>0</v>
      </c>
      <c r="G51" s="135">
        <v>0</v>
      </c>
      <c r="H51" s="135">
        <v>0</v>
      </c>
      <c r="I51" s="136">
        <f t="shared" si="54"/>
        <v>0</v>
      </c>
      <c r="J51" s="135">
        <v>0</v>
      </c>
      <c r="K51" s="135">
        <v>0</v>
      </c>
      <c r="L51" s="135">
        <v>0</v>
      </c>
      <c r="M51" s="136">
        <f t="shared" si="55"/>
        <v>0</v>
      </c>
      <c r="N51" s="137">
        <v>0</v>
      </c>
      <c r="O51" s="301">
        <v>0</v>
      </c>
      <c r="P51" s="301">
        <v>0</v>
      </c>
      <c r="Q51" s="136">
        <f t="shared" si="56"/>
        <v>0</v>
      </c>
      <c r="R51" s="137">
        <v>0</v>
      </c>
      <c r="S51" s="301">
        <v>0</v>
      </c>
      <c r="T51" s="301">
        <v>0</v>
      </c>
      <c r="U51" s="136">
        <f t="shared" si="57"/>
        <v>0</v>
      </c>
      <c r="V51" s="137">
        <v>0</v>
      </c>
      <c r="W51" s="301">
        <v>0</v>
      </c>
      <c r="X51" s="301">
        <v>0</v>
      </c>
      <c r="Y51" s="136">
        <f t="shared" si="58"/>
        <v>0</v>
      </c>
      <c r="Z51" s="137">
        <v>0</v>
      </c>
      <c r="AA51" s="301">
        <v>0</v>
      </c>
      <c r="AB51" s="301">
        <v>0</v>
      </c>
      <c r="AC51" s="136">
        <f t="shared" si="59"/>
        <v>0</v>
      </c>
      <c r="AD51" s="137">
        <v>0</v>
      </c>
      <c r="AE51" s="301">
        <v>0</v>
      </c>
      <c r="AF51" s="301">
        <v>0</v>
      </c>
      <c r="AG51" s="136">
        <f t="shared" si="60"/>
        <v>0</v>
      </c>
      <c r="AH51" s="137">
        <v>0</v>
      </c>
      <c r="AI51" s="301">
        <v>0</v>
      </c>
      <c r="AJ51" s="301">
        <v>0</v>
      </c>
      <c r="AK51" s="136">
        <f t="shared" si="61"/>
        <v>0</v>
      </c>
      <c r="AL51" s="137">
        <v>0</v>
      </c>
      <c r="AM51" s="301">
        <v>0</v>
      </c>
      <c r="AN51" s="301">
        <v>0</v>
      </c>
      <c r="AO51" s="136">
        <f t="shared" si="62"/>
        <v>0</v>
      </c>
      <c r="AP51" s="137">
        <v>0</v>
      </c>
      <c r="AQ51" s="301">
        <v>0</v>
      </c>
      <c r="AR51" s="301">
        <v>0</v>
      </c>
      <c r="AS51" s="136">
        <f t="shared" si="63"/>
        <v>0</v>
      </c>
      <c r="AT51" s="137">
        <v>0</v>
      </c>
      <c r="AU51" s="301">
        <v>0</v>
      </c>
      <c r="AV51" s="301">
        <v>0</v>
      </c>
      <c r="AW51" s="136">
        <f t="shared" si="64"/>
        <v>0</v>
      </c>
      <c r="AX51" s="137">
        <v>0</v>
      </c>
      <c r="AY51" s="301">
        <v>0</v>
      </c>
      <c r="AZ51" s="301">
        <v>0</v>
      </c>
      <c r="BA51" s="136">
        <f t="shared" si="65"/>
        <v>0</v>
      </c>
      <c r="BB51" s="302">
        <f t="shared" si="66"/>
        <v>0</v>
      </c>
      <c r="BC51" s="303">
        <f t="shared" si="66"/>
        <v>0</v>
      </c>
      <c r="BD51" s="303">
        <f t="shared" si="66"/>
        <v>0</v>
      </c>
      <c r="BE51" s="304">
        <f t="shared" si="67"/>
        <v>0</v>
      </c>
      <c r="BF51" s="137">
        <v>0</v>
      </c>
      <c r="BG51" s="301">
        <v>0</v>
      </c>
      <c r="BH51" s="301">
        <v>0</v>
      </c>
      <c r="BI51" s="136">
        <f t="shared" si="68"/>
        <v>0</v>
      </c>
      <c r="BJ51" s="137">
        <v>0</v>
      </c>
      <c r="BK51" s="301">
        <v>0</v>
      </c>
      <c r="BL51" s="301">
        <v>0</v>
      </c>
      <c r="BM51" s="136">
        <f t="shared" si="69"/>
        <v>0</v>
      </c>
      <c r="BN51" s="137">
        <v>0</v>
      </c>
      <c r="BO51" s="301">
        <v>0</v>
      </c>
      <c r="BP51" s="301">
        <v>0</v>
      </c>
      <c r="BQ51" s="136">
        <f t="shared" si="70"/>
        <v>0</v>
      </c>
      <c r="BR51" s="305">
        <f t="shared" si="71"/>
        <v>0</v>
      </c>
      <c r="BS51" s="306">
        <f t="shared" si="71"/>
        <v>0</v>
      </c>
      <c r="BT51" s="306">
        <f t="shared" si="71"/>
        <v>0</v>
      </c>
      <c r="BU51" s="307">
        <f t="shared" si="72"/>
        <v>0</v>
      </c>
      <c r="BV51" s="132">
        <f>B51+F51+J51+N51+R51+BR51+BB51</f>
        <v>0</v>
      </c>
      <c r="BW51" s="133">
        <f>C51+G51+K51+O51+S51+BS51+BC51</f>
        <v>0</v>
      </c>
      <c r="BX51" s="133">
        <f>D51+H51+L51+P51+T51+BT51+BD51</f>
        <v>0</v>
      </c>
      <c r="BY51" s="136">
        <f t="shared" si="74"/>
        <v>0</v>
      </c>
      <c r="BZ51" s="137">
        <f>34526720+BV23</f>
        <v>1094350713</v>
      </c>
      <c r="CA51" s="135">
        <v>1040323875</v>
      </c>
      <c r="CB51" s="135">
        <f>34526720+BX23</f>
        <v>1051435906</v>
      </c>
      <c r="CC51" s="136">
        <f t="shared" si="75"/>
        <v>11112031</v>
      </c>
      <c r="CD51" s="137">
        <f>BZ51+BV51</f>
        <v>1094350713</v>
      </c>
      <c r="CE51" s="135">
        <f>CA51+BW51</f>
        <v>1040323875</v>
      </c>
      <c r="CF51" s="135">
        <f>CB51+BX51</f>
        <v>1051435906</v>
      </c>
      <c r="CG51" s="136">
        <f t="shared" si="76"/>
        <v>11112031</v>
      </c>
      <c r="CH51" s="136">
        <f>CD51-BV23</f>
        <v>34526720</v>
      </c>
      <c r="CI51" s="136">
        <v>34526720</v>
      </c>
      <c r="CJ51" s="136">
        <f>CF51-BX23</f>
        <v>34526720</v>
      </c>
      <c r="CK51" s="136">
        <f t="shared" si="78"/>
        <v>0</v>
      </c>
      <c r="CL51" s="308">
        <v>29068</v>
      </c>
      <c r="CM51" s="309">
        <f>CL51</f>
        <v>29068</v>
      </c>
      <c r="CN51" s="309">
        <f>CM51</f>
        <v>29068</v>
      </c>
      <c r="CO51" s="310">
        <f t="shared" si="79"/>
        <v>0</v>
      </c>
      <c r="CP51" s="311"/>
      <c r="CQ51" s="309">
        <f>CP51</f>
        <v>0</v>
      </c>
      <c r="CR51" s="309">
        <f>CQ51</f>
        <v>0</v>
      </c>
      <c r="CS51" s="310">
        <f>CQ51-CP51</f>
        <v>0</v>
      </c>
      <c r="CT51" s="308"/>
      <c r="CU51" s="309">
        <f>CT51</f>
        <v>0</v>
      </c>
      <c r="CV51" s="309">
        <f>CU51</f>
        <v>0</v>
      </c>
      <c r="CW51" s="310">
        <f>CU51-CT51</f>
        <v>0</v>
      </c>
      <c r="CX51" s="312"/>
      <c r="CY51" s="58">
        <f t="shared" si="81"/>
        <v>29068</v>
      </c>
      <c r="CZ51" s="3"/>
    </row>
    <row r="52" spans="1:104" s="2" customFormat="1" ht="15.75" customHeight="1" thickBot="1" x14ac:dyDescent="0.3">
      <c r="A52" s="313" t="s">
        <v>7</v>
      </c>
      <c r="B52" s="236">
        <f>B51+B50</f>
        <v>49503257</v>
      </c>
      <c r="C52" s="236">
        <f>C51+C50</f>
        <v>46641470</v>
      </c>
      <c r="D52" s="236">
        <f>D51+D50</f>
        <v>75884994</v>
      </c>
      <c r="E52" s="239">
        <f t="shared" si="53"/>
        <v>29243524</v>
      </c>
      <c r="F52" s="235">
        <f>F51+F50</f>
        <v>215557926</v>
      </c>
      <c r="G52" s="235">
        <f>G51+G50</f>
        <v>191923252</v>
      </c>
      <c r="H52" s="235">
        <f>H51+H50</f>
        <v>256953523</v>
      </c>
      <c r="I52" s="314">
        <f t="shared" si="54"/>
        <v>65030271</v>
      </c>
      <c r="J52" s="235">
        <f>J51+J50</f>
        <v>57454784</v>
      </c>
      <c r="K52" s="235">
        <f>K51+K50</f>
        <v>52330199</v>
      </c>
      <c r="L52" s="235">
        <f>L51+L50</f>
        <v>62666661</v>
      </c>
      <c r="M52" s="314">
        <f t="shared" si="55"/>
        <v>10336462</v>
      </c>
      <c r="N52" s="236">
        <f>N51+N50</f>
        <v>386268859</v>
      </c>
      <c r="O52" s="234">
        <f>O51+O50</f>
        <v>362863576</v>
      </c>
      <c r="P52" s="234">
        <f>P51+P50</f>
        <v>384607495</v>
      </c>
      <c r="Q52" s="314">
        <f t="shared" si="56"/>
        <v>21743919</v>
      </c>
      <c r="R52" s="236">
        <f>R51+R50</f>
        <v>279723177</v>
      </c>
      <c r="S52" s="234">
        <f>S51+S50</f>
        <v>295141796</v>
      </c>
      <c r="T52" s="234">
        <f>T51+T50</f>
        <v>323087916</v>
      </c>
      <c r="U52" s="314">
        <f t="shared" si="57"/>
        <v>27946120</v>
      </c>
      <c r="V52" s="236">
        <f>V51+V50</f>
        <v>92886622</v>
      </c>
      <c r="W52" s="234">
        <f>W51+W50</f>
        <v>84251064</v>
      </c>
      <c r="X52" s="234">
        <f>X51+X50</f>
        <v>92646369</v>
      </c>
      <c r="Y52" s="314">
        <f t="shared" si="58"/>
        <v>8395305</v>
      </c>
      <c r="Z52" s="236">
        <f>Z51+Z50</f>
        <v>23934867</v>
      </c>
      <c r="AA52" s="234">
        <f>AA51+AA50</f>
        <v>23589984</v>
      </c>
      <c r="AB52" s="234">
        <f>AB51+AB50</f>
        <v>25492423</v>
      </c>
      <c r="AC52" s="314">
        <f t="shared" si="59"/>
        <v>1902439</v>
      </c>
      <c r="AD52" s="236">
        <f>AD51+AD50</f>
        <v>54365503</v>
      </c>
      <c r="AE52" s="234">
        <f>AE51+AE50</f>
        <v>51258656</v>
      </c>
      <c r="AF52" s="234">
        <f>AF51+AF50</f>
        <v>54074636</v>
      </c>
      <c r="AG52" s="314">
        <f t="shared" si="60"/>
        <v>2815980</v>
      </c>
      <c r="AH52" s="236">
        <f>AH51+AH50</f>
        <v>0</v>
      </c>
      <c r="AI52" s="234">
        <f>AI51+AI50</f>
        <v>28800348</v>
      </c>
      <c r="AJ52" s="234">
        <f>AJ51+AJ50</f>
        <v>28806465</v>
      </c>
      <c r="AK52" s="314">
        <f t="shared" si="61"/>
        <v>6117</v>
      </c>
      <c r="AL52" s="236">
        <f>AL51+AL50</f>
        <v>0</v>
      </c>
      <c r="AM52" s="234">
        <f>AM51+AM50</f>
        <v>7269469</v>
      </c>
      <c r="AN52" s="234">
        <f>AN51+AN50</f>
        <v>7269469</v>
      </c>
      <c r="AO52" s="314">
        <f t="shared" si="62"/>
        <v>0</v>
      </c>
      <c r="AP52" s="236">
        <f>AP51+AP50</f>
        <v>0</v>
      </c>
      <c r="AQ52" s="234">
        <f>AQ51+AQ50</f>
        <v>7541459</v>
      </c>
      <c r="AR52" s="234">
        <f>AR51+AR50</f>
        <v>7541459</v>
      </c>
      <c r="AS52" s="314">
        <f t="shared" si="63"/>
        <v>0</v>
      </c>
      <c r="AT52" s="236">
        <f>AT51+AT50</f>
        <v>20730600</v>
      </c>
      <c r="AU52" s="234">
        <f>AU51+AU50</f>
        <v>20730600</v>
      </c>
      <c r="AV52" s="234">
        <f>AV51+AV50</f>
        <v>22653641</v>
      </c>
      <c r="AW52" s="314">
        <f t="shared" si="64"/>
        <v>1923041</v>
      </c>
      <c r="AX52" s="236">
        <f>AX51+AX50</f>
        <v>17327369</v>
      </c>
      <c r="AY52" s="234">
        <f>AY51+AY50</f>
        <v>17327369</v>
      </c>
      <c r="AZ52" s="234">
        <f>AZ51+AZ50</f>
        <v>18788048</v>
      </c>
      <c r="BA52" s="314">
        <f t="shared" si="65"/>
        <v>1460679</v>
      </c>
      <c r="BB52" s="237">
        <f t="shared" si="66"/>
        <v>209244961</v>
      </c>
      <c r="BC52" s="315">
        <f t="shared" si="66"/>
        <v>240768949</v>
      </c>
      <c r="BD52" s="315">
        <f t="shared" si="66"/>
        <v>257272510</v>
      </c>
      <c r="BE52" s="316">
        <f t="shared" si="67"/>
        <v>16503561</v>
      </c>
      <c r="BF52" s="236">
        <f>BF51+BF50</f>
        <v>88497311</v>
      </c>
      <c r="BG52" s="234">
        <f>BG51+BG50</f>
        <v>83461096</v>
      </c>
      <c r="BH52" s="234">
        <f>BH51+BH50</f>
        <v>62529850</v>
      </c>
      <c r="BI52" s="314">
        <f t="shared" si="68"/>
        <v>-20931246</v>
      </c>
      <c r="BJ52" s="236">
        <f>BJ51+BJ50</f>
        <v>19814529</v>
      </c>
      <c r="BK52" s="234">
        <f>BK51+BK50</f>
        <v>18894356</v>
      </c>
      <c r="BL52" s="234">
        <f>BL51+BL50</f>
        <v>10908938</v>
      </c>
      <c r="BM52" s="314">
        <f t="shared" si="69"/>
        <v>-7985418</v>
      </c>
      <c r="BN52" s="236">
        <f>BN51+BN50</f>
        <v>15424650</v>
      </c>
      <c r="BO52" s="234">
        <f>BO51+BO50</f>
        <v>15424650</v>
      </c>
      <c r="BP52" s="234">
        <f>BP51+BP50</f>
        <v>8462497</v>
      </c>
      <c r="BQ52" s="314">
        <f t="shared" si="70"/>
        <v>-6962153</v>
      </c>
      <c r="BR52" s="238">
        <f t="shared" si="71"/>
        <v>123736490</v>
      </c>
      <c r="BS52" s="317">
        <f t="shared" si="71"/>
        <v>117780102</v>
      </c>
      <c r="BT52" s="317">
        <f t="shared" si="71"/>
        <v>81901285</v>
      </c>
      <c r="BU52" s="318">
        <f t="shared" si="72"/>
        <v>-35878817</v>
      </c>
      <c r="BV52" s="225">
        <f>BV51+BV50</f>
        <v>1321489454</v>
      </c>
      <c r="BW52" s="226">
        <f>BW51+BW50</f>
        <v>1307449344</v>
      </c>
      <c r="BX52" s="226">
        <f>BX51+BX50</f>
        <v>1442374384</v>
      </c>
      <c r="BY52" s="314">
        <f t="shared" si="74"/>
        <v>134925040</v>
      </c>
      <c r="BZ52" s="236">
        <f>BZ51+BZ50</f>
        <v>3773695556</v>
      </c>
      <c r="CA52" s="231">
        <f>CA51+CA50</f>
        <v>3682852194</v>
      </c>
      <c r="CB52" s="231">
        <f>CB51+CB50</f>
        <v>3917860890</v>
      </c>
      <c r="CC52" s="319">
        <f t="shared" si="75"/>
        <v>235008696</v>
      </c>
      <c r="CD52" s="230">
        <f>CD51+CD50</f>
        <v>5095185010</v>
      </c>
      <c r="CE52" s="231">
        <f>CE51+CE50</f>
        <v>4946690262</v>
      </c>
      <c r="CF52" s="231">
        <f>CF51+CF50</f>
        <v>5360235274</v>
      </c>
      <c r="CG52" s="319">
        <f t="shared" si="76"/>
        <v>413545012</v>
      </c>
      <c r="CH52" s="314">
        <f>CH51+CH50</f>
        <v>4035361017</v>
      </c>
      <c r="CI52" s="314">
        <f>CI51+CI50</f>
        <v>3940893107</v>
      </c>
      <c r="CJ52" s="314">
        <f>CJ51+CJ50</f>
        <v>4343326088</v>
      </c>
      <c r="CK52" s="314">
        <f t="shared" si="78"/>
        <v>402432981</v>
      </c>
      <c r="CL52" s="139">
        <f>CL51+CL50</f>
        <v>1670322</v>
      </c>
      <c r="CM52" s="140">
        <f>CM51+CM50</f>
        <v>2451352</v>
      </c>
      <c r="CN52" s="140">
        <f>CN51+CN50</f>
        <v>3232382</v>
      </c>
      <c r="CO52" s="141">
        <f t="shared" si="79"/>
        <v>781030</v>
      </c>
      <c r="CP52" s="142">
        <f t="shared" ref="CP52:CW52" si="98">CP51+CP50</f>
        <v>217074</v>
      </c>
      <c r="CQ52" s="140">
        <f t="shared" si="98"/>
        <v>224092</v>
      </c>
      <c r="CR52" s="140">
        <f t="shared" si="98"/>
        <v>231110</v>
      </c>
      <c r="CS52" s="141">
        <f t="shared" si="98"/>
        <v>7018</v>
      </c>
      <c r="CT52" s="139">
        <f t="shared" si="98"/>
        <v>89503</v>
      </c>
      <c r="CU52" s="140">
        <f t="shared" si="98"/>
        <v>89503</v>
      </c>
      <c r="CV52" s="140">
        <f t="shared" si="98"/>
        <v>89503</v>
      </c>
      <c r="CW52" s="141">
        <f t="shared" si="98"/>
        <v>0</v>
      </c>
      <c r="CX52" s="143" t="s">
        <v>63</v>
      </c>
      <c r="CY52" s="58">
        <f t="shared" si="81"/>
        <v>2764947</v>
      </c>
    </row>
    <row r="53" spans="1:104" ht="9" customHeight="1" thickBot="1" x14ac:dyDescent="0.3">
      <c r="CE53" s="8"/>
      <c r="CF53" s="8"/>
      <c r="CH53" s="320"/>
      <c r="CI53" s="320"/>
      <c r="CJ53" s="320"/>
      <c r="CK53" s="320"/>
      <c r="CY53" s="58">
        <f t="shared" si="81"/>
        <v>0</v>
      </c>
    </row>
    <row r="54" spans="1:104" s="246" customFormat="1" ht="12.75" x14ac:dyDescent="0.2">
      <c r="A54" s="321" t="s">
        <v>52</v>
      </c>
      <c r="B54" s="322">
        <f>SUM(B55:B56)</f>
        <v>9</v>
      </c>
      <c r="C54" s="323">
        <f>SUM(C55:C56)</f>
        <v>9</v>
      </c>
      <c r="D54" s="323">
        <f>SUM(D55:D56)</f>
        <v>9</v>
      </c>
      <c r="E54" s="324">
        <f>D54-C54</f>
        <v>0</v>
      </c>
      <c r="F54" s="323">
        <f>SUM(F55:F56)</f>
        <v>16.5</v>
      </c>
      <c r="G54" s="323">
        <f>SUM(G55:G56)</f>
        <v>16.5</v>
      </c>
      <c r="H54" s="323">
        <f>SUM(H55:H56)</f>
        <v>16.5</v>
      </c>
      <c r="I54" s="323">
        <f>H54-G54</f>
        <v>0</v>
      </c>
      <c r="J54" s="322">
        <f>SUM(J55:J56)</f>
        <v>12</v>
      </c>
      <c r="K54" s="322">
        <f>SUM(K55:K56)</f>
        <v>12</v>
      </c>
      <c r="L54" s="322">
        <f>SUM(L55:L56)</f>
        <v>12</v>
      </c>
      <c r="M54" s="187">
        <f>L54-K54</f>
        <v>0</v>
      </c>
      <c r="N54" s="322">
        <f>SUM(N55:N56)</f>
        <v>55</v>
      </c>
      <c r="O54" s="322">
        <f>SUM(O55:O56)</f>
        <v>55</v>
      </c>
      <c r="P54" s="322">
        <f>SUM(P55:P56)</f>
        <v>55</v>
      </c>
      <c r="Q54" s="187">
        <f>P54-O54</f>
        <v>0</v>
      </c>
      <c r="R54" s="322">
        <f>SUM(R55:R56)</f>
        <v>48.75</v>
      </c>
      <c r="S54" s="322">
        <f>SUM(S55:S56)</f>
        <v>48.75</v>
      </c>
      <c r="T54" s="322">
        <f>SUM(T55:T56)</f>
        <v>48.75</v>
      </c>
      <c r="U54" s="187">
        <f>T54-S54</f>
        <v>0</v>
      </c>
      <c r="V54" s="322">
        <f>SUM(V55:V56)</f>
        <v>20</v>
      </c>
      <c r="W54" s="322">
        <f>SUM(W55:W56)</f>
        <v>20</v>
      </c>
      <c r="X54" s="322">
        <f>SUM(X55:X56)</f>
        <v>20</v>
      </c>
      <c r="Y54" s="323">
        <f>X54-W54</f>
        <v>0</v>
      </c>
      <c r="Z54" s="322">
        <f>SUM(Z55:Z56)</f>
        <v>5.5</v>
      </c>
      <c r="AA54" s="322">
        <f>SUM(AA55:AA56)</f>
        <v>5.5</v>
      </c>
      <c r="AB54" s="322">
        <f>SUM(AB55:AB56)</f>
        <v>5.5</v>
      </c>
      <c r="AC54" s="323">
        <f>AB54-AA54</f>
        <v>0</v>
      </c>
      <c r="AD54" s="322">
        <f>SUM(AD55:AD56)</f>
        <v>10</v>
      </c>
      <c r="AE54" s="322">
        <f>SUM(AE55:AE56)</f>
        <v>10</v>
      </c>
      <c r="AF54" s="322">
        <f>SUM(AF55:AF56)</f>
        <v>10</v>
      </c>
      <c r="AG54" s="323">
        <f>AF54-AE54</f>
        <v>0</v>
      </c>
      <c r="AH54" s="322">
        <f>SUM(AH55:AH56)</f>
        <v>0</v>
      </c>
      <c r="AI54" s="322">
        <f>SUM(AI55:AI56)</f>
        <v>0</v>
      </c>
      <c r="AJ54" s="322">
        <f>SUM(AJ55:AJ56)</f>
        <v>0</v>
      </c>
      <c r="AK54" s="323">
        <f>AJ54-AI54</f>
        <v>0</v>
      </c>
      <c r="AL54" s="322">
        <f>SUM(AL55:AL56)</f>
        <v>0</v>
      </c>
      <c r="AM54" s="322">
        <f>SUM(AM55:AM56)</f>
        <v>0</v>
      </c>
      <c r="AN54" s="322">
        <f>SUM(AN55:AN56)</f>
        <v>0</v>
      </c>
      <c r="AO54" s="323">
        <f>AN54-AM54</f>
        <v>0</v>
      </c>
      <c r="AP54" s="322">
        <f>SUM(AP55:AP56)</f>
        <v>0</v>
      </c>
      <c r="AQ54" s="322">
        <f>SUM(AQ55:AQ56)</f>
        <v>0</v>
      </c>
      <c r="AR54" s="322">
        <f>SUM(AR55:AR56)</f>
        <v>0</v>
      </c>
      <c r="AS54" s="323">
        <f>AR54-AQ54</f>
        <v>0</v>
      </c>
      <c r="AT54" s="322">
        <f>SUM(AT55:AT56)</f>
        <v>3.5</v>
      </c>
      <c r="AU54" s="322">
        <f>SUM(AU55:AU56)</f>
        <v>3.5</v>
      </c>
      <c r="AV54" s="322">
        <f>SUM(AV55:AV56)</f>
        <v>3.5</v>
      </c>
      <c r="AW54" s="323">
        <f>AV54-AU54</f>
        <v>0</v>
      </c>
      <c r="AX54" s="322">
        <f>SUM(AX55:AX56)</f>
        <v>3</v>
      </c>
      <c r="AY54" s="322">
        <f>SUM(AY55:AY56)</f>
        <v>3</v>
      </c>
      <c r="AZ54" s="322">
        <f>SUM(AZ55:AZ56)</f>
        <v>3</v>
      </c>
      <c r="BA54" s="323">
        <f>AZ54-AY54</f>
        <v>0</v>
      </c>
      <c r="BB54" s="325">
        <f t="shared" ref="BB54:BD57" si="99">V54+Z54+AD54+AT54+AX54+AP54+AL54+AH54</f>
        <v>42</v>
      </c>
      <c r="BC54" s="326">
        <f t="shared" si="99"/>
        <v>42</v>
      </c>
      <c r="BD54" s="326">
        <f t="shared" si="99"/>
        <v>42</v>
      </c>
      <c r="BE54" s="191">
        <f>BD54-BC54</f>
        <v>0</v>
      </c>
      <c r="BF54" s="322">
        <f>SUM(BF55:BF56)</f>
        <v>19.5</v>
      </c>
      <c r="BG54" s="322">
        <f>SUM(BG55:BG56)</f>
        <v>19.5</v>
      </c>
      <c r="BH54" s="322">
        <f>SUM(BH55:BH56)</f>
        <v>19.5</v>
      </c>
      <c r="BI54" s="323">
        <f>BH54-BG54</f>
        <v>0</v>
      </c>
      <c r="BJ54" s="322">
        <f>SUM(BJ55:BJ56)</f>
        <v>3</v>
      </c>
      <c r="BK54" s="322">
        <f>SUM(BK55:BK56)</f>
        <v>3</v>
      </c>
      <c r="BL54" s="322">
        <f>SUM(BL55:BL56)</f>
        <v>3</v>
      </c>
      <c r="BM54" s="323">
        <f>BL54-BK54</f>
        <v>0</v>
      </c>
      <c r="BN54" s="322">
        <f>SUM(BN55:BN56)</f>
        <v>3</v>
      </c>
      <c r="BO54" s="322">
        <f>SUM(BO55:BO56)</f>
        <v>3</v>
      </c>
      <c r="BP54" s="322">
        <f>SUM(BP55:BP56)</f>
        <v>3</v>
      </c>
      <c r="BQ54" s="323">
        <f>BP54-BO54</f>
        <v>0</v>
      </c>
      <c r="BR54" s="327">
        <f t="shared" ref="BR54:BT57" si="100">BF54+BJ54+BN54</f>
        <v>25.5</v>
      </c>
      <c r="BS54" s="328">
        <f t="shared" si="100"/>
        <v>25.5</v>
      </c>
      <c r="BT54" s="328">
        <f t="shared" si="100"/>
        <v>25.5</v>
      </c>
      <c r="BU54" s="328">
        <f>BT54-BS54</f>
        <v>0</v>
      </c>
      <c r="BV54" s="329">
        <f t="shared" ref="BV54:BX57" si="101">B54+F54+J54+N54+R54+BR54+BB54</f>
        <v>208.75</v>
      </c>
      <c r="BW54" s="323">
        <f t="shared" si="101"/>
        <v>208.75</v>
      </c>
      <c r="BX54" s="323">
        <f t="shared" si="101"/>
        <v>208.75</v>
      </c>
      <c r="BY54" s="323">
        <f>BX54-BW54</f>
        <v>0</v>
      </c>
      <c r="BZ54" s="330">
        <f>SUM(BZ55:BZ56)</f>
        <v>4.75</v>
      </c>
      <c r="CA54" s="323">
        <f>SUM(CA55:CA56)</f>
        <v>4.75</v>
      </c>
      <c r="CB54" s="323">
        <f>BZ54</f>
        <v>4.75</v>
      </c>
      <c r="CC54" s="323">
        <f>CB54-CA54</f>
        <v>0</v>
      </c>
      <c r="CD54" s="331">
        <f t="shared" ref="CD54:CF57" si="102">BZ54+BV54</f>
        <v>213.5</v>
      </c>
      <c r="CE54" s="323">
        <f t="shared" si="102"/>
        <v>213.5</v>
      </c>
      <c r="CF54" s="323">
        <f t="shared" si="102"/>
        <v>213.5</v>
      </c>
      <c r="CG54" s="323">
        <f>CF54-CE54</f>
        <v>0</v>
      </c>
      <c r="CH54" s="332"/>
      <c r="CI54" s="332"/>
      <c r="CJ54" s="332"/>
      <c r="CK54" s="332"/>
      <c r="CL54" s="312"/>
      <c r="CM54" s="333"/>
      <c r="CN54" s="333"/>
      <c r="CO54" s="333"/>
      <c r="CP54" s="334"/>
      <c r="CQ54" s="333"/>
      <c r="CR54" s="333"/>
      <c r="CS54" s="333"/>
      <c r="CT54" s="334"/>
      <c r="CU54" s="333"/>
      <c r="CV54" s="333"/>
      <c r="CW54" s="333"/>
      <c r="CX54" s="333"/>
      <c r="CY54" s="334"/>
    </row>
    <row r="55" spans="1:104" s="351" customFormat="1" ht="12.75" x14ac:dyDescent="0.2">
      <c r="A55" s="335" t="s">
        <v>48</v>
      </c>
      <c r="B55" s="336">
        <v>8</v>
      </c>
      <c r="C55" s="337">
        <v>8</v>
      </c>
      <c r="D55" s="337">
        <v>8</v>
      </c>
      <c r="E55" s="338">
        <f>D55-C55</f>
        <v>0</v>
      </c>
      <c r="F55" s="337">
        <v>6.5</v>
      </c>
      <c r="G55" s="337">
        <v>6.5</v>
      </c>
      <c r="H55" s="337">
        <v>6.5</v>
      </c>
      <c r="I55" s="337">
        <f>H55-G55</f>
        <v>0</v>
      </c>
      <c r="J55" s="337">
        <v>4</v>
      </c>
      <c r="K55" s="337">
        <v>4</v>
      </c>
      <c r="L55" s="337">
        <v>4</v>
      </c>
      <c r="M55" s="39">
        <f>L55-K55</f>
        <v>0</v>
      </c>
      <c r="N55" s="339">
        <v>53</v>
      </c>
      <c r="O55" s="337">
        <v>53</v>
      </c>
      <c r="P55" s="337">
        <v>53</v>
      </c>
      <c r="Q55" s="39">
        <f>P55-O55</f>
        <v>0</v>
      </c>
      <c r="R55" s="339">
        <v>42.75</v>
      </c>
      <c r="S55" s="337">
        <v>42.75</v>
      </c>
      <c r="T55" s="337">
        <v>42.75</v>
      </c>
      <c r="U55" s="39">
        <f>T55-S55</f>
        <v>0</v>
      </c>
      <c r="V55" s="339">
        <v>19</v>
      </c>
      <c r="W55" s="337">
        <v>19</v>
      </c>
      <c r="X55" s="337">
        <v>19</v>
      </c>
      <c r="Y55" s="337">
        <f>X55-W55</f>
        <v>0</v>
      </c>
      <c r="Z55" s="339">
        <v>4.5</v>
      </c>
      <c r="AA55" s="337">
        <v>4.5</v>
      </c>
      <c r="AB55" s="337">
        <v>4.5</v>
      </c>
      <c r="AC55" s="337">
        <f>AB55-AA55</f>
        <v>0</v>
      </c>
      <c r="AD55" s="339">
        <v>10</v>
      </c>
      <c r="AE55" s="337">
        <v>10</v>
      </c>
      <c r="AF55" s="337">
        <v>10</v>
      </c>
      <c r="AG55" s="337">
        <f>AF55-AE55</f>
        <v>0</v>
      </c>
      <c r="AH55" s="339"/>
      <c r="AI55" s="337"/>
      <c r="AJ55" s="337"/>
      <c r="AK55" s="337">
        <f>AJ55-AI55</f>
        <v>0</v>
      </c>
      <c r="AL55" s="339"/>
      <c r="AM55" s="337"/>
      <c r="AN55" s="337"/>
      <c r="AO55" s="337">
        <f>AN55-AM55</f>
        <v>0</v>
      </c>
      <c r="AP55" s="339"/>
      <c r="AQ55" s="337"/>
      <c r="AR55" s="337"/>
      <c r="AS55" s="337">
        <f>AR55-AQ55</f>
        <v>0</v>
      </c>
      <c r="AT55" s="339">
        <v>3</v>
      </c>
      <c r="AU55" s="337">
        <v>3</v>
      </c>
      <c r="AV55" s="337">
        <v>3</v>
      </c>
      <c r="AW55" s="337">
        <f>AV55-AU55</f>
        <v>0</v>
      </c>
      <c r="AX55" s="339">
        <v>2</v>
      </c>
      <c r="AY55" s="337">
        <v>2</v>
      </c>
      <c r="AZ55" s="337">
        <v>2</v>
      </c>
      <c r="BA55" s="337">
        <f>AZ55-AY55</f>
        <v>0</v>
      </c>
      <c r="BB55" s="340">
        <f t="shared" si="99"/>
        <v>38.5</v>
      </c>
      <c r="BC55" s="341">
        <f t="shared" si="99"/>
        <v>38.5</v>
      </c>
      <c r="BD55" s="341">
        <f t="shared" si="99"/>
        <v>38.5</v>
      </c>
      <c r="BE55" s="42">
        <f>BD55-BC55</f>
        <v>0</v>
      </c>
      <c r="BF55" s="339">
        <v>19</v>
      </c>
      <c r="BG55" s="337">
        <v>19</v>
      </c>
      <c r="BH55" s="337">
        <v>19</v>
      </c>
      <c r="BI55" s="337">
        <f>BH55-BG55</f>
        <v>0</v>
      </c>
      <c r="BJ55" s="339">
        <v>3</v>
      </c>
      <c r="BK55" s="337">
        <v>3</v>
      </c>
      <c r="BL55" s="337">
        <v>3</v>
      </c>
      <c r="BM55" s="337">
        <f>BL55-BK55</f>
        <v>0</v>
      </c>
      <c r="BN55" s="339">
        <v>3</v>
      </c>
      <c r="BO55" s="337">
        <v>3</v>
      </c>
      <c r="BP55" s="337">
        <v>3</v>
      </c>
      <c r="BQ55" s="337">
        <f>BP55-BO55</f>
        <v>0</v>
      </c>
      <c r="BR55" s="342">
        <f t="shared" si="100"/>
        <v>25</v>
      </c>
      <c r="BS55" s="343">
        <f t="shared" si="100"/>
        <v>25</v>
      </c>
      <c r="BT55" s="343">
        <f t="shared" si="100"/>
        <v>25</v>
      </c>
      <c r="BU55" s="343">
        <f>BT55-BS55</f>
        <v>0</v>
      </c>
      <c r="BV55" s="344">
        <f t="shared" si="101"/>
        <v>177.75</v>
      </c>
      <c r="BW55" s="337">
        <f t="shared" si="101"/>
        <v>177.75</v>
      </c>
      <c r="BX55" s="337">
        <f t="shared" si="101"/>
        <v>177.75</v>
      </c>
      <c r="BY55" s="337">
        <f>BX55-BW55</f>
        <v>0</v>
      </c>
      <c r="BZ55" s="345">
        <v>3.5</v>
      </c>
      <c r="CA55" s="337">
        <v>3.5</v>
      </c>
      <c r="CB55" s="337">
        <f>BZ55</f>
        <v>3.5</v>
      </c>
      <c r="CC55" s="337">
        <f>CB55-CA55</f>
        <v>0</v>
      </c>
      <c r="CD55" s="346">
        <f t="shared" si="102"/>
        <v>181.25</v>
      </c>
      <c r="CE55" s="337">
        <f t="shared" si="102"/>
        <v>181.25</v>
      </c>
      <c r="CF55" s="337">
        <f t="shared" si="102"/>
        <v>181.25</v>
      </c>
      <c r="CG55" s="337">
        <f>CF55-CE55</f>
        <v>0</v>
      </c>
      <c r="CH55" s="347"/>
      <c r="CI55" s="347"/>
      <c r="CJ55" s="347"/>
      <c r="CK55" s="347"/>
      <c r="CL55" s="348"/>
      <c r="CM55" s="349"/>
      <c r="CN55" s="349"/>
      <c r="CO55" s="349"/>
      <c r="CP55" s="348"/>
      <c r="CQ55" s="349"/>
      <c r="CR55" s="349"/>
      <c r="CS55" s="349"/>
      <c r="CT55" s="350"/>
      <c r="CU55" s="349"/>
      <c r="CV55" s="349"/>
      <c r="CW55" s="349"/>
      <c r="CX55" s="349"/>
      <c r="CY55" s="350"/>
    </row>
    <row r="56" spans="1:104" s="351" customFormat="1" ht="12.75" x14ac:dyDescent="0.2">
      <c r="A56" s="335" t="s">
        <v>49</v>
      </c>
      <c r="B56" s="336">
        <v>1</v>
      </c>
      <c r="C56" s="337">
        <v>1</v>
      </c>
      <c r="D56" s="337">
        <v>1</v>
      </c>
      <c r="E56" s="338">
        <f>D56-C56</f>
        <v>0</v>
      </c>
      <c r="F56" s="337">
        <v>10</v>
      </c>
      <c r="G56" s="337">
        <v>10</v>
      </c>
      <c r="H56" s="337">
        <v>10</v>
      </c>
      <c r="I56" s="337">
        <f>H56-G56</f>
        <v>0</v>
      </c>
      <c r="J56" s="337">
        <v>8</v>
      </c>
      <c r="K56" s="337">
        <v>8</v>
      </c>
      <c r="L56" s="337">
        <v>8</v>
      </c>
      <c r="M56" s="39">
        <f>L56-K56</f>
        <v>0</v>
      </c>
      <c r="N56" s="339">
        <v>2</v>
      </c>
      <c r="O56" s="337">
        <v>2</v>
      </c>
      <c r="P56" s="337">
        <v>2</v>
      </c>
      <c r="Q56" s="39">
        <f>P56-O56</f>
        <v>0</v>
      </c>
      <c r="R56" s="339">
        <v>6</v>
      </c>
      <c r="S56" s="337">
        <v>6</v>
      </c>
      <c r="T56" s="337">
        <v>6</v>
      </c>
      <c r="U56" s="39">
        <f>T56-S56</f>
        <v>0</v>
      </c>
      <c r="V56" s="339">
        <v>1</v>
      </c>
      <c r="W56" s="337">
        <v>1</v>
      </c>
      <c r="X56" s="337">
        <v>1</v>
      </c>
      <c r="Y56" s="337">
        <f>X56-W56</f>
        <v>0</v>
      </c>
      <c r="Z56" s="339">
        <v>1</v>
      </c>
      <c r="AA56" s="337">
        <v>1</v>
      </c>
      <c r="AB56" s="337">
        <v>1</v>
      </c>
      <c r="AC56" s="337">
        <f>AB56-AA56</f>
        <v>0</v>
      </c>
      <c r="AD56" s="339">
        <v>0</v>
      </c>
      <c r="AE56" s="337">
        <v>0</v>
      </c>
      <c r="AF56" s="337">
        <v>0</v>
      </c>
      <c r="AG56" s="337">
        <f>AF56-AE56</f>
        <v>0</v>
      </c>
      <c r="AH56" s="339"/>
      <c r="AI56" s="337"/>
      <c r="AJ56" s="337"/>
      <c r="AK56" s="337">
        <f>AJ56-AI56</f>
        <v>0</v>
      </c>
      <c r="AL56" s="339"/>
      <c r="AM56" s="337"/>
      <c r="AN56" s="337"/>
      <c r="AO56" s="337">
        <f>AN56-AM56</f>
        <v>0</v>
      </c>
      <c r="AP56" s="339"/>
      <c r="AQ56" s="337"/>
      <c r="AR56" s="337"/>
      <c r="AS56" s="337">
        <f>AR56-AQ56</f>
        <v>0</v>
      </c>
      <c r="AT56" s="339">
        <v>0.5</v>
      </c>
      <c r="AU56" s="337">
        <v>0.5</v>
      </c>
      <c r="AV56" s="337">
        <v>0.5</v>
      </c>
      <c r="AW56" s="337">
        <f>AV56-AU56</f>
        <v>0</v>
      </c>
      <c r="AX56" s="339">
        <v>1</v>
      </c>
      <c r="AY56" s="337">
        <v>1</v>
      </c>
      <c r="AZ56" s="337">
        <v>1</v>
      </c>
      <c r="BA56" s="337">
        <f>AZ56-AY56</f>
        <v>0</v>
      </c>
      <c r="BB56" s="340">
        <f t="shared" si="99"/>
        <v>3.5</v>
      </c>
      <c r="BC56" s="341">
        <f t="shared" si="99"/>
        <v>3.5</v>
      </c>
      <c r="BD56" s="341">
        <f t="shared" si="99"/>
        <v>3.5</v>
      </c>
      <c r="BE56" s="42">
        <f>BD56-BC56</f>
        <v>0</v>
      </c>
      <c r="BF56" s="339">
        <v>0.5</v>
      </c>
      <c r="BG56" s="337">
        <v>0.5</v>
      </c>
      <c r="BH56" s="337">
        <v>0.5</v>
      </c>
      <c r="BI56" s="337">
        <f>BH56-BG56</f>
        <v>0</v>
      </c>
      <c r="BJ56" s="339">
        <v>0</v>
      </c>
      <c r="BK56" s="337">
        <v>0</v>
      </c>
      <c r="BL56" s="337">
        <v>0</v>
      </c>
      <c r="BM56" s="337">
        <f>BL56-BK56</f>
        <v>0</v>
      </c>
      <c r="BN56" s="339">
        <v>0</v>
      </c>
      <c r="BO56" s="337">
        <v>0</v>
      </c>
      <c r="BP56" s="337">
        <v>0</v>
      </c>
      <c r="BQ56" s="337">
        <f>BP56-BO56</f>
        <v>0</v>
      </c>
      <c r="BR56" s="342">
        <f t="shared" si="100"/>
        <v>0.5</v>
      </c>
      <c r="BS56" s="343">
        <f t="shared" si="100"/>
        <v>0.5</v>
      </c>
      <c r="BT56" s="343">
        <f t="shared" si="100"/>
        <v>0.5</v>
      </c>
      <c r="BU56" s="343">
        <f>BT56-BS56</f>
        <v>0</v>
      </c>
      <c r="BV56" s="344">
        <f t="shared" si="101"/>
        <v>31</v>
      </c>
      <c r="BW56" s="337">
        <f t="shared" si="101"/>
        <v>31</v>
      </c>
      <c r="BX56" s="337">
        <f t="shared" si="101"/>
        <v>31</v>
      </c>
      <c r="BY56" s="337">
        <f>BX56-BW56</f>
        <v>0</v>
      </c>
      <c r="BZ56" s="345">
        <v>1.25</v>
      </c>
      <c r="CA56" s="337">
        <v>1.25</v>
      </c>
      <c r="CB56" s="337">
        <f>BZ56</f>
        <v>1.25</v>
      </c>
      <c r="CC56" s="337">
        <f>CB56-CA56</f>
        <v>0</v>
      </c>
      <c r="CD56" s="346">
        <f t="shared" si="102"/>
        <v>32.25</v>
      </c>
      <c r="CE56" s="337">
        <f t="shared" si="102"/>
        <v>32.25</v>
      </c>
      <c r="CF56" s="337">
        <f t="shared" si="102"/>
        <v>32.25</v>
      </c>
      <c r="CG56" s="337">
        <f>CF56-CE56</f>
        <v>0</v>
      </c>
      <c r="CL56" s="350"/>
      <c r="CM56" s="349"/>
      <c r="CN56" s="349"/>
      <c r="CO56" s="349"/>
      <c r="CP56" s="350"/>
      <c r="CQ56" s="349"/>
      <c r="CR56" s="349"/>
      <c r="CS56" s="349"/>
      <c r="CT56" s="350"/>
      <c r="CU56" s="349"/>
      <c r="CV56" s="349"/>
      <c r="CW56" s="349"/>
      <c r="CX56" s="349"/>
      <c r="CY56" s="350"/>
    </row>
    <row r="57" spans="1:104" s="246" customFormat="1" ht="13.5" thickBot="1" x14ac:dyDescent="0.25">
      <c r="A57" s="352" t="s">
        <v>73</v>
      </c>
      <c r="B57" s="353">
        <v>0</v>
      </c>
      <c r="C57" s="354">
        <v>0</v>
      </c>
      <c r="D57" s="354">
        <v>0</v>
      </c>
      <c r="E57" s="355">
        <f>D57-C57</f>
        <v>0</v>
      </c>
      <c r="F57" s="354">
        <v>0</v>
      </c>
      <c r="G57" s="354">
        <v>0</v>
      </c>
      <c r="H57" s="354">
        <v>0</v>
      </c>
      <c r="I57" s="354">
        <f>H57-G57</f>
        <v>0</v>
      </c>
      <c r="J57" s="354">
        <v>0</v>
      </c>
      <c r="K57" s="354">
        <v>0</v>
      </c>
      <c r="L57" s="354">
        <v>0</v>
      </c>
      <c r="M57" s="39">
        <f>L57-K57</f>
        <v>0</v>
      </c>
      <c r="N57" s="356">
        <v>1</v>
      </c>
      <c r="O57" s="354">
        <v>1</v>
      </c>
      <c r="P57" s="354">
        <v>1</v>
      </c>
      <c r="Q57" s="39">
        <f>P57-O57</f>
        <v>0</v>
      </c>
      <c r="R57" s="356">
        <v>0</v>
      </c>
      <c r="S57" s="354">
        <v>0</v>
      </c>
      <c r="T57" s="354">
        <v>0</v>
      </c>
      <c r="U57" s="39">
        <f>T57-S57</f>
        <v>0</v>
      </c>
      <c r="V57" s="356">
        <v>1</v>
      </c>
      <c r="W57" s="354">
        <v>1</v>
      </c>
      <c r="X57" s="354">
        <v>1</v>
      </c>
      <c r="Y57" s="354">
        <f>X57-W57</f>
        <v>0</v>
      </c>
      <c r="Z57" s="356">
        <v>1</v>
      </c>
      <c r="AA57" s="354">
        <v>1</v>
      </c>
      <c r="AB57" s="354">
        <v>1</v>
      </c>
      <c r="AC57" s="354">
        <f>AB57-AA57</f>
        <v>0</v>
      </c>
      <c r="AD57" s="356">
        <v>0</v>
      </c>
      <c r="AE57" s="354">
        <v>0</v>
      </c>
      <c r="AF57" s="354">
        <v>0</v>
      </c>
      <c r="AG57" s="354">
        <f>AF57-AE57</f>
        <v>0</v>
      </c>
      <c r="AH57" s="356">
        <v>0</v>
      </c>
      <c r="AI57" s="354">
        <f>U57</f>
        <v>0</v>
      </c>
      <c r="AJ57" s="354">
        <f>AH57</f>
        <v>0</v>
      </c>
      <c r="AK57" s="354">
        <f>AJ57-AI57</f>
        <v>0</v>
      </c>
      <c r="AL57" s="356">
        <v>0</v>
      </c>
      <c r="AM57" s="354">
        <f>Y57</f>
        <v>0</v>
      </c>
      <c r="AN57" s="354">
        <f>AL57</f>
        <v>0</v>
      </c>
      <c r="AO57" s="354">
        <f>AN57-AM57</f>
        <v>0</v>
      </c>
      <c r="AP57" s="356">
        <v>0</v>
      </c>
      <c r="AQ57" s="354">
        <f>AC57</f>
        <v>0</v>
      </c>
      <c r="AR57" s="354">
        <f>AP57</f>
        <v>0</v>
      </c>
      <c r="AS57" s="354">
        <f>AR57-AQ57</f>
        <v>0</v>
      </c>
      <c r="AT57" s="356">
        <v>0</v>
      </c>
      <c r="AU57" s="354">
        <f>AG57</f>
        <v>0</v>
      </c>
      <c r="AV57" s="354">
        <f>AT57</f>
        <v>0</v>
      </c>
      <c r="AW57" s="354">
        <f>AV57-AU57</f>
        <v>0</v>
      </c>
      <c r="AX57" s="356">
        <v>1</v>
      </c>
      <c r="AY57" s="354">
        <v>1</v>
      </c>
      <c r="AZ57" s="354">
        <v>1</v>
      </c>
      <c r="BA57" s="354">
        <f>AZ57-AY57</f>
        <v>0</v>
      </c>
      <c r="BB57" s="357">
        <f t="shared" si="99"/>
        <v>3</v>
      </c>
      <c r="BC57" s="358">
        <f t="shared" si="99"/>
        <v>3</v>
      </c>
      <c r="BD57" s="358">
        <f t="shared" si="99"/>
        <v>3</v>
      </c>
      <c r="BE57" s="42">
        <f>BD57-BC57</f>
        <v>0</v>
      </c>
      <c r="BF57" s="356">
        <v>0</v>
      </c>
      <c r="BG57" s="354">
        <v>0</v>
      </c>
      <c r="BH57" s="354">
        <v>0</v>
      </c>
      <c r="BI57" s="354">
        <f>BH57-BG57</f>
        <v>0</v>
      </c>
      <c r="BJ57" s="356">
        <v>1</v>
      </c>
      <c r="BK57" s="354">
        <v>1</v>
      </c>
      <c r="BL57" s="354">
        <v>1</v>
      </c>
      <c r="BM57" s="354">
        <f>BL57-BK57</f>
        <v>0</v>
      </c>
      <c r="BN57" s="356">
        <v>0</v>
      </c>
      <c r="BO57" s="354">
        <v>0</v>
      </c>
      <c r="BP57" s="354">
        <v>0</v>
      </c>
      <c r="BQ57" s="354">
        <f>BP57-BO57</f>
        <v>0</v>
      </c>
      <c r="BR57" s="359">
        <f t="shared" si="100"/>
        <v>1</v>
      </c>
      <c r="BS57" s="360">
        <f t="shared" si="100"/>
        <v>1</v>
      </c>
      <c r="BT57" s="360">
        <f t="shared" si="100"/>
        <v>1</v>
      </c>
      <c r="BU57" s="360">
        <f>BT57-BS57</f>
        <v>0</v>
      </c>
      <c r="BV57" s="361">
        <f t="shared" si="101"/>
        <v>5</v>
      </c>
      <c r="BW57" s="354">
        <f t="shared" si="101"/>
        <v>5</v>
      </c>
      <c r="BX57" s="354">
        <f t="shared" si="101"/>
        <v>5</v>
      </c>
      <c r="BY57" s="354">
        <f>BX57-BW57</f>
        <v>0</v>
      </c>
      <c r="BZ57" s="362">
        <v>0</v>
      </c>
      <c r="CA57" s="354">
        <v>0</v>
      </c>
      <c r="CB57" s="354">
        <v>0</v>
      </c>
      <c r="CC57" s="354">
        <f>CB57-CA57</f>
        <v>0</v>
      </c>
      <c r="CD57" s="363">
        <f t="shared" si="102"/>
        <v>5</v>
      </c>
      <c r="CE57" s="354">
        <f t="shared" si="102"/>
        <v>5</v>
      </c>
      <c r="CF57" s="354">
        <f t="shared" si="102"/>
        <v>5</v>
      </c>
      <c r="CG57" s="354">
        <f>CF57-CE57</f>
        <v>0</v>
      </c>
      <c r="CL57" s="334"/>
      <c r="CM57" s="333"/>
      <c r="CN57" s="333"/>
      <c r="CO57" s="333"/>
      <c r="CP57" s="334"/>
      <c r="CQ57" s="333"/>
      <c r="CR57" s="333"/>
      <c r="CS57" s="333"/>
      <c r="CT57" s="334"/>
      <c r="CU57" s="333"/>
      <c r="CV57" s="333"/>
      <c r="CW57" s="333"/>
      <c r="CX57" s="333"/>
      <c r="CY57" s="334"/>
    </row>
  </sheetData>
  <mergeCells count="52">
    <mergeCell ref="AP3:AS3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CL3:CO3"/>
    <mergeCell ref="AT3:AW3"/>
    <mergeCell ref="AX3:BA3"/>
    <mergeCell ref="BB3:BE3"/>
    <mergeCell ref="BF3:BI3"/>
    <mergeCell ref="BJ3:BM3"/>
    <mergeCell ref="BN3:BQ3"/>
    <mergeCell ref="AX31:BA31"/>
    <mergeCell ref="CP3:CS3"/>
    <mergeCell ref="CT3:CW3"/>
    <mergeCell ref="A31:A32"/>
    <mergeCell ref="B31:E31"/>
    <mergeCell ref="F31:I31"/>
    <mergeCell ref="J31:M31"/>
    <mergeCell ref="N31:Q31"/>
    <mergeCell ref="R31:U31"/>
    <mergeCell ref="V31:Y31"/>
    <mergeCell ref="Z31:AC31"/>
    <mergeCell ref="BR3:BU3"/>
    <mergeCell ref="BV3:BY3"/>
    <mergeCell ref="BZ3:CC3"/>
    <mergeCell ref="CD3:CG3"/>
    <mergeCell ref="CH3:CK3"/>
    <mergeCell ref="AD31:AG31"/>
    <mergeCell ref="AH31:AK31"/>
    <mergeCell ref="AL31:AO31"/>
    <mergeCell ref="AP31:AS31"/>
    <mergeCell ref="AT31:AW31"/>
    <mergeCell ref="CT31:CW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CP31:CS31"/>
  </mergeCells>
  <pageMargins left="7.874015748031496E-2" right="0.19685039370078741" top="0" bottom="0" header="0.31496062992125984" footer="0.31496062992125984"/>
  <pageSetup paperSize="8" scale="65" fitToWidth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3. melléklet  </vt:lpstr>
      <vt:lpstr>'3. melléklet  '!Nyomtatási_cím</vt:lpstr>
      <vt:lpstr>'3. melléklet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2021-04-19T08:14:07Z</dcterms:modified>
</cp:coreProperties>
</file>