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25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9" i="1" l="1"/>
  <c r="E49" i="1"/>
  <c r="C49" i="1"/>
  <c r="O48" i="1"/>
  <c r="H47" i="1"/>
  <c r="O47" i="1" s="1"/>
  <c r="O46" i="1"/>
  <c r="O45" i="1"/>
  <c r="O44" i="1"/>
  <c r="O43" i="1"/>
  <c r="O42" i="1"/>
  <c r="O41" i="1"/>
  <c r="O40" i="1"/>
  <c r="M39" i="1"/>
  <c r="F39" i="1"/>
  <c r="E39" i="1"/>
  <c r="O39" i="1" s="1"/>
  <c r="N38" i="1"/>
  <c r="M38" i="1"/>
  <c r="L38" i="1"/>
  <c r="H38" i="1"/>
  <c r="G38" i="1"/>
  <c r="G49" i="1" s="1"/>
  <c r="F38" i="1"/>
  <c r="F49" i="1" s="1"/>
  <c r="O37" i="1"/>
  <c r="C37" i="1"/>
  <c r="J36" i="1"/>
  <c r="I36" i="1"/>
  <c r="I49" i="1" s="1"/>
  <c r="H36" i="1"/>
  <c r="H49" i="1" s="1"/>
  <c r="D36" i="1"/>
  <c r="O36" i="1" s="1"/>
  <c r="O35" i="1"/>
  <c r="O33" i="1"/>
  <c r="N32" i="1"/>
  <c r="M32" i="1"/>
  <c r="M49" i="1" s="1"/>
  <c r="K32" i="1"/>
  <c r="K49" i="1" s="1"/>
  <c r="J32" i="1"/>
  <c r="J49" i="1" s="1"/>
  <c r="H32" i="1"/>
  <c r="G32" i="1"/>
  <c r="F32" i="1"/>
  <c r="D32" i="1"/>
  <c r="D49" i="1" s="1"/>
  <c r="O31" i="1"/>
  <c r="N31" i="1"/>
  <c r="N30" i="1"/>
  <c r="O30" i="1" s="1"/>
  <c r="C28" i="1"/>
  <c r="C50" i="1" s="1"/>
  <c r="D27" i="1" s="1"/>
  <c r="D28" i="1" s="1"/>
  <c r="D50" i="1" s="1"/>
  <c r="E27" i="1" s="1"/>
  <c r="E28" i="1" s="1"/>
  <c r="E50" i="1" s="1"/>
  <c r="F27" i="1" s="1"/>
  <c r="F28" i="1" s="1"/>
  <c r="F50" i="1" s="1"/>
  <c r="G27" i="1" s="1"/>
  <c r="G28" i="1" s="1"/>
  <c r="G50" i="1" s="1"/>
  <c r="H27" i="1" s="1"/>
  <c r="O26" i="1"/>
  <c r="O25" i="1"/>
  <c r="O24" i="1"/>
  <c r="O23" i="1"/>
  <c r="O22" i="1"/>
  <c r="O21" i="1"/>
  <c r="O20" i="1"/>
  <c r="O19" i="1"/>
  <c r="O18" i="1"/>
  <c r="J18" i="1"/>
  <c r="I18" i="1"/>
  <c r="H18" i="1"/>
  <c r="G18" i="1"/>
  <c r="K17" i="1"/>
  <c r="J17" i="1"/>
  <c r="O16" i="1"/>
  <c r="O15" i="1"/>
  <c r="L14" i="1"/>
  <c r="H14" i="1"/>
  <c r="C13" i="1"/>
  <c r="O13" i="1" s="1"/>
  <c r="O28" i="1" l="1"/>
  <c r="H28" i="1"/>
  <c r="H50" i="1" s="1"/>
  <c r="I27" i="1" s="1"/>
  <c r="I28" i="1" s="1"/>
  <c r="I50" i="1" s="1"/>
  <c r="J27" i="1" s="1"/>
  <c r="J28" i="1" s="1"/>
  <c r="J50" i="1" s="1"/>
  <c r="K27" i="1" s="1"/>
  <c r="K28" i="1" s="1"/>
  <c r="K50" i="1" s="1"/>
  <c r="L27" i="1" s="1"/>
  <c r="L28" i="1" s="1"/>
  <c r="L50" i="1" s="1"/>
  <c r="M27" i="1" s="1"/>
  <c r="M28" i="1" s="1"/>
  <c r="M50" i="1" s="1"/>
  <c r="N27" i="1" s="1"/>
  <c r="N28" i="1" s="1"/>
  <c r="N50" i="1" s="1"/>
  <c r="O17" i="1"/>
  <c r="O38" i="1"/>
  <c r="O14" i="1"/>
  <c r="O32" i="1"/>
  <c r="O49" i="1" s="1"/>
  <c r="N49" i="1"/>
</calcChain>
</file>

<file path=xl/sharedStrings.xml><?xml version="1.0" encoding="utf-8"?>
<sst xmlns="http://schemas.openxmlformats.org/spreadsheetml/2006/main" count="80" uniqueCount="78">
  <si>
    <t>SÁRVÁR VÁROS ÖNKORMÁNYZATA</t>
  </si>
  <si>
    <t xml:space="preserve"> 2021. évi előirányzat-felhasználási ütemterve</t>
  </si>
  <si>
    <t>( Ft-ban)</t>
  </si>
  <si>
    <t>sor-</t>
  </si>
  <si>
    <t>Megnevezés</t>
  </si>
  <si>
    <t xml:space="preserve">Január </t>
  </si>
  <si>
    <t xml:space="preserve">Február 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</si>
  <si>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</si>
  <si>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</si>
  <si>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</si>
  <si>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</si>
  <si>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</si>
  <si>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</si>
  <si>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</si>
  <si>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</si>
  <si>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</si>
  <si>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</si>
  <si>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</si>
  <si>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szám</t>
  </si>
  <si>
    <t xml:space="preserve"> Bevételek</t>
  </si>
  <si>
    <t>1.</t>
  </si>
  <si>
    <t>működési célú támogatások államháztartáson belülről</t>
  </si>
  <si>
    <t xml:space="preserve">   -  helyi önkormányzatok  működésének  általános támogatása</t>
  </si>
  <si>
    <t xml:space="preserve">    - egyéb működési célú támogatások bevételei államháztartáson belülről</t>
  </si>
  <si>
    <t>2.</t>
  </si>
  <si>
    <t>felhalmozási célú támogatás államháztartáson belülről</t>
  </si>
  <si>
    <t>3.</t>
  </si>
  <si>
    <t>közhatalmi bevételek</t>
  </si>
  <si>
    <t>4.</t>
  </si>
  <si>
    <t>működési bevételek</t>
  </si>
  <si>
    <t>5.</t>
  </si>
  <si>
    <t>felhalmozási bevételek</t>
  </si>
  <si>
    <t>6.</t>
  </si>
  <si>
    <t>Működési célú átvett pénzeszközök</t>
  </si>
  <si>
    <t xml:space="preserve">   - működési célú visszatérítendő támogatások, kölcsönök visszatérülése államházt.kívülről</t>
  </si>
  <si>
    <t xml:space="preserve">   - egyéb működési célú átvett pénzeszközök</t>
  </si>
  <si>
    <t>7.</t>
  </si>
  <si>
    <t>felhalmozási célú átvett pénzeszközök</t>
  </si>
  <si>
    <t xml:space="preserve">   - felhalmozási célú visszatérítendő támogatások, kölcsönök visszatérülése államházt.kívülről</t>
  </si>
  <si>
    <t xml:space="preserve">   - egyéb felhalmozási célú átvett pénzeszközök</t>
  </si>
  <si>
    <t>8.</t>
  </si>
  <si>
    <t>előző évi pénzmaradvány igénybevétele</t>
  </si>
  <si>
    <t>Folyőszámla hitel igénybevétele</t>
  </si>
  <si>
    <t>9.</t>
  </si>
  <si>
    <t>Előző havi maradvány</t>
  </si>
  <si>
    <t>Bevételek összesen:</t>
  </si>
  <si>
    <t xml:space="preserve"> Kiadások</t>
  </si>
  <si>
    <t>10.</t>
  </si>
  <si>
    <t>személyi juttatások</t>
  </si>
  <si>
    <t>11.</t>
  </si>
  <si>
    <t>munkaadókat terhelő járulékok és szociális hozzájárulási adó</t>
  </si>
  <si>
    <t>12.</t>
  </si>
  <si>
    <t>dologi kiadások</t>
  </si>
  <si>
    <t>13.</t>
  </si>
  <si>
    <t>ellátottak juttatásai</t>
  </si>
  <si>
    <t>14.</t>
  </si>
  <si>
    <t>Egyéb működési kiadások</t>
  </si>
  <si>
    <t xml:space="preserve"> - államháztartáson belülre</t>
  </si>
  <si>
    <t xml:space="preserve"> - államháztartáson kívülre</t>
  </si>
  <si>
    <t xml:space="preserve"> - önkormányzatok befizetései</t>
  </si>
  <si>
    <t>15.</t>
  </si>
  <si>
    <t>beruházások</t>
  </si>
  <si>
    <t>16.</t>
  </si>
  <si>
    <t>felújítások</t>
  </si>
  <si>
    <t>17.</t>
  </si>
  <si>
    <t>Egyéb felhalmozási kiadások</t>
  </si>
  <si>
    <t>18.</t>
  </si>
  <si>
    <t>finanszírozási kiadások</t>
  </si>
  <si>
    <t xml:space="preserve"> - hosszú lejáratú hitel törlesztése</t>
  </si>
  <si>
    <t>-megelőlegezett állami támogatás visszafizetése</t>
  </si>
  <si>
    <t>19.</t>
  </si>
  <si>
    <t>finanszírozási kiadások folyószámla hitel törlesztése</t>
  </si>
  <si>
    <t>20.</t>
  </si>
  <si>
    <t>céltartalék - működési</t>
  </si>
  <si>
    <t>21.</t>
  </si>
  <si>
    <t>céltartalék - felhalmozási</t>
  </si>
  <si>
    <t>Kiadások összesen</t>
  </si>
  <si>
    <t>bevételek és kiadások egyenlege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</si>
</sst>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38"/>
    </font>
    <font>
      <sz val="12"/>
      <name val="Arial CE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 applyAlignment="1"/>
    <xf numFmtId="164" fontId="3" fillId="0" borderId="0" xfId="1" applyNumberFormat="1" applyFont="1" applyAlignment="1">
      <alignment horizontal="center"/>
    </xf>
    <xf numFmtId="164" fontId="3" fillId="0" borderId="0" xfId="1" applyNumberFormat="1" applyFont="1"/>
    <xf numFmtId="164" fontId="3" fillId="0" borderId="0" xfId="1" applyNumberFormat="1" applyFont="1" applyBorder="1"/>
    <xf numFmtId="164" fontId="2" fillId="0" borderId="0" xfId="1" applyNumberFormat="1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164" fontId="3" fillId="0" borderId="1" xfId="1" applyNumberFormat="1" applyFont="1" applyBorder="1"/>
    <xf numFmtId="164" fontId="3" fillId="0" borderId="3" xfId="1" applyNumberFormat="1" applyFont="1" applyBorder="1"/>
    <xf numFmtId="164" fontId="3" fillId="0" borderId="4" xfId="1" applyNumberFormat="1" applyFont="1" applyBorder="1"/>
    <xf numFmtId="164" fontId="3" fillId="0" borderId="5" xfId="1" applyNumberFormat="1" applyFont="1" applyBorder="1"/>
    <xf numFmtId="164" fontId="2" fillId="0" borderId="5" xfId="1" applyNumberFormat="1" applyFont="1" applyBorder="1"/>
    <xf numFmtId="164" fontId="2" fillId="0" borderId="4" xfId="1" applyNumberFormat="1" applyFont="1" applyBorder="1"/>
    <xf numFmtId="164" fontId="2" fillId="0" borderId="1" xfId="1" applyNumberFormat="1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164" fontId="2" fillId="0" borderId="10" xfId="1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164" fontId="2" fillId="0" borderId="11" xfId="1" applyNumberFormat="1" applyFont="1" applyBorder="1"/>
    <xf numFmtId="164" fontId="2" fillId="0" borderId="13" xfId="1" applyNumberFormat="1" applyFont="1" applyBorder="1"/>
    <xf numFmtId="164" fontId="2" fillId="0" borderId="14" xfId="1" applyNumberFormat="1" applyFont="1" applyBorder="1"/>
    <xf numFmtId="164" fontId="2" fillId="0" borderId="15" xfId="1" applyNumberFormat="1" applyFont="1" applyBorder="1"/>
    <xf numFmtId="0" fontId="2" fillId="0" borderId="16" xfId="0" applyFont="1" applyBorder="1"/>
    <xf numFmtId="0" fontId="3" fillId="0" borderId="0" xfId="0" applyFont="1" applyBorder="1"/>
    <xf numFmtId="164" fontId="2" fillId="0" borderId="10" xfId="1" applyNumberFormat="1" applyFont="1" applyBorder="1"/>
    <xf numFmtId="164" fontId="2" fillId="0" borderId="8" xfId="1" applyNumberFormat="1" applyFont="1" applyBorder="1"/>
    <xf numFmtId="164" fontId="2" fillId="0" borderId="9" xfId="1" applyNumberFormat="1" applyFont="1" applyBorder="1"/>
    <xf numFmtId="164" fontId="2" fillId="0" borderId="17" xfId="1" applyNumberFormat="1" applyFont="1" applyBorder="1"/>
    <xf numFmtId="0" fontId="2" fillId="0" borderId="18" xfId="0" applyFont="1" applyBorder="1" applyAlignment="1">
      <alignment horizontal="center"/>
    </xf>
    <xf numFmtId="0" fontId="4" fillId="0" borderId="19" xfId="0" applyFont="1" applyBorder="1" applyAlignment="1">
      <alignment wrapText="1"/>
    </xf>
    <xf numFmtId="164" fontId="2" fillId="0" borderId="19" xfId="1" applyNumberFormat="1" applyFont="1" applyBorder="1"/>
    <xf numFmtId="0" fontId="0" fillId="0" borderId="19" xfId="0" applyBorder="1"/>
    <xf numFmtId="164" fontId="2" fillId="0" borderId="20" xfId="1" applyNumberFormat="1" applyFont="1" applyBorder="1"/>
    <xf numFmtId="0" fontId="2" fillId="0" borderId="19" xfId="0" applyFont="1" applyBorder="1" applyAlignment="1">
      <alignment wrapText="1"/>
    </xf>
    <xf numFmtId="164" fontId="4" fillId="0" borderId="19" xfId="1" applyNumberFormat="1" applyFont="1" applyBorder="1"/>
    <xf numFmtId="164" fontId="4" fillId="0" borderId="10" xfId="1" applyNumberFormat="1" applyFont="1" applyFill="1" applyBorder="1"/>
    <xf numFmtId="0" fontId="2" fillId="0" borderId="19" xfId="0" applyFont="1" applyBorder="1"/>
    <xf numFmtId="164" fontId="5" fillId="0" borderId="19" xfId="1" applyNumberFormat="1" applyFont="1" applyFill="1" applyBorder="1"/>
    <xf numFmtId="164" fontId="5" fillId="0" borderId="21" xfId="1" applyNumberFormat="1" applyFont="1" applyFill="1" applyBorder="1"/>
    <xf numFmtId="164" fontId="4" fillId="0" borderId="19" xfId="1" applyNumberFormat="1" applyFont="1" applyFill="1" applyBorder="1"/>
    <xf numFmtId="164" fontId="4" fillId="0" borderId="21" xfId="1" applyNumberFormat="1" applyFont="1" applyFill="1" applyBorder="1"/>
    <xf numFmtId="0" fontId="2" fillId="0" borderId="22" xfId="0" applyFont="1" applyBorder="1" applyAlignment="1">
      <alignment horizontal="center"/>
    </xf>
    <xf numFmtId="0" fontId="2" fillId="0" borderId="23" xfId="0" applyFont="1" applyBorder="1"/>
    <xf numFmtId="0" fontId="6" fillId="0" borderId="24" xfId="0" applyFont="1" applyBorder="1"/>
    <xf numFmtId="164" fontId="6" fillId="0" borderId="25" xfId="1" applyNumberFormat="1" applyFont="1" applyBorder="1"/>
    <xf numFmtId="164" fontId="6" fillId="0" borderId="24" xfId="1" applyNumberFormat="1" applyFont="1" applyBorder="1"/>
    <xf numFmtId="0" fontId="2" fillId="0" borderId="16" xfId="0" applyFont="1" applyBorder="1" applyAlignment="1">
      <alignment horizontal="center"/>
    </xf>
    <xf numFmtId="0" fontId="3" fillId="0" borderId="26" xfId="0" applyFont="1" applyBorder="1"/>
    <xf numFmtId="164" fontId="2" fillId="0" borderId="27" xfId="1" applyNumberFormat="1" applyFont="1" applyBorder="1"/>
    <xf numFmtId="164" fontId="2" fillId="0" borderId="21" xfId="1" applyNumberFormat="1" applyFont="1" applyBorder="1"/>
    <xf numFmtId="0" fontId="2" fillId="0" borderId="19" xfId="0" quotePrefix="1" applyFont="1" applyBorder="1"/>
    <xf numFmtId="164" fontId="2" fillId="0" borderId="10" xfId="1" applyNumberFormat="1" applyFont="1" applyFill="1" applyBorder="1"/>
    <xf numFmtId="0" fontId="2" fillId="0" borderId="24" xfId="0" applyFont="1" applyBorder="1"/>
    <xf numFmtId="0" fontId="3" fillId="0" borderId="28" xfId="0" applyFont="1" applyBorder="1"/>
    <xf numFmtId="164" fontId="2" fillId="0" borderId="29" xfId="1" applyNumberFormat="1" applyFont="1" applyBorder="1"/>
    <xf numFmtId="164" fontId="2" fillId="0" borderId="30" xfId="1" applyNumberFormat="1" applyFont="1" applyBorder="1"/>
    <xf numFmtId="164" fontId="2" fillId="0" borderId="0" xfId="1" applyNumberFormat="1" applyFont="1" applyAlignment="1"/>
    <xf numFmtId="0" fontId="0" fillId="0" borderId="0" xfId="0" applyAlignme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workbookViewId="0">
      <selection activeCell="J2" sqref="J2:O2"/>
    </sheetView>
  </sheetViews>
  <sheetFormatPr defaultRowHeight="15" x14ac:dyDescent="0.25"/>
  <cols>
    <col min="1" max="1" width="5.28515625" bestFit="1" customWidth="1"/>
    <col min="2" max="2" width="45.85546875" bestFit="1" customWidth="1"/>
    <col min="3" max="6" width="18.5703125" bestFit="1" customWidth="1"/>
    <col min="7" max="8" width="18.42578125" bestFit="1" customWidth="1"/>
    <col min="9" max="14" width="16.7109375" bestFit="1" customWidth="1"/>
    <col min="15" max="15" width="18.5703125" bestFit="1" customWidth="1"/>
  </cols>
  <sheetData>
    <row r="1" spans="1:15" ht="15.75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64"/>
      <c r="M1" s="65"/>
      <c r="N1" s="64"/>
      <c r="O1" s="64"/>
    </row>
    <row r="2" spans="1:15" ht="15.75" x14ac:dyDescent="0.25">
      <c r="A2" s="1"/>
      <c r="B2" s="3"/>
      <c r="C2" s="3"/>
      <c r="D2" s="3"/>
      <c r="E2" s="3"/>
      <c r="F2" s="3"/>
      <c r="G2" s="3"/>
      <c r="H2" s="3"/>
      <c r="I2" s="3"/>
      <c r="J2" s="66"/>
      <c r="K2" s="66"/>
      <c r="L2" s="66"/>
      <c r="M2" s="66"/>
      <c r="N2" s="66"/>
      <c r="O2" s="66"/>
    </row>
    <row r="3" spans="1:15" ht="15.75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 ht="15.75" x14ac:dyDescent="0.25">
      <c r="A4" s="1"/>
      <c r="B4" s="67" t="s">
        <v>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5" ht="15.75" x14ac:dyDescent="0.25">
      <c r="A5" s="1"/>
      <c r="B5" s="1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.75" x14ac:dyDescent="0.25">
      <c r="A6" s="1"/>
      <c r="B6" s="67" t="s">
        <v>1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 ht="16.5" thickBot="1" x14ac:dyDescent="0.3">
      <c r="A7" s="1"/>
      <c r="B7" s="1"/>
      <c r="C7" s="5"/>
      <c r="D7" s="5"/>
      <c r="E7" s="5"/>
      <c r="F7" s="6"/>
      <c r="G7" s="5"/>
      <c r="H7" s="5"/>
      <c r="I7" s="5"/>
      <c r="J7" s="5"/>
      <c r="K7" s="2"/>
      <c r="L7" s="2"/>
      <c r="M7" s="2"/>
      <c r="N7" s="2"/>
      <c r="O7" s="7" t="s">
        <v>2</v>
      </c>
    </row>
    <row r="8" spans="1:15" ht="15.75" x14ac:dyDescent="0.25">
      <c r="A8" s="8" t="s">
        <v>3</v>
      </c>
      <c r="B8" s="9"/>
      <c r="C8" s="10"/>
      <c r="D8" s="11"/>
      <c r="E8" s="12"/>
      <c r="F8" s="13"/>
      <c r="G8" s="13"/>
      <c r="H8" s="13"/>
      <c r="I8" s="13"/>
      <c r="J8" s="13"/>
      <c r="K8" s="14"/>
      <c r="L8" s="14"/>
      <c r="M8" s="14"/>
      <c r="N8" s="15"/>
      <c r="O8" s="16"/>
    </row>
    <row r="9" spans="1:15" ht="15.75" x14ac:dyDescent="0.25">
      <c r="A9" s="17"/>
      <c r="B9" s="18" t="s">
        <v>4</v>
      </c>
      <c r="C9" s="19" t="s">
        <v>5</v>
      </c>
      <c r="D9" s="20" t="s">
        <v>6</v>
      </c>
      <c r="E9" s="21" t="s">
        <v>7</v>
      </c>
      <c r="F9" s="22" t="s">
        <v>8</v>
      </c>
      <c r="G9" s="22" t="s">
        <v>9</v>
      </c>
      <c r="H9" s="22" t="s">
        <v>10</v>
      </c>
      <c r="I9" s="22" t="s">
        <v>11</v>
      </c>
      <c r="J9" s="22" t="s">
        <v>12</v>
      </c>
      <c r="K9" s="22" t="s">
        <v>13</v>
      </c>
      <c r="L9" s="22" t="s">
        <v>14</v>
      </c>
      <c r="M9" s="22" t="s">
        <v>15</v>
      </c>
      <c r="N9" s="21" t="s">
        <v>16</v>
      </c>
      <c r="O9" s="23" t="s">
        <v>17</v>
      </c>
    </row>
    <row r="10" spans="1:15" ht="16.5" thickBot="1" x14ac:dyDescent="0.3">
      <c r="A10" s="24" t="s">
        <v>18</v>
      </c>
      <c r="B10" s="25"/>
      <c r="C10" s="26"/>
      <c r="D10" s="27"/>
      <c r="E10" s="28"/>
      <c r="F10" s="29"/>
      <c r="G10" s="29"/>
      <c r="H10" s="29"/>
      <c r="I10" s="29"/>
      <c r="J10" s="29"/>
      <c r="K10" s="29"/>
      <c r="L10" s="29"/>
      <c r="M10" s="29"/>
      <c r="N10" s="28"/>
      <c r="O10" s="26"/>
    </row>
    <row r="11" spans="1:15" ht="15.75" x14ac:dyDescent="0.25">
      <c r="A11" s="30"/>
      <c r="B11" s="31" t="s">
        <v>19</v>
      </c>
      <c r="C11" s="32"/>
      <c r="D11" s="33"/>
      <c r="E11" s="34"/>
      <c r="F11" s="32"/>
      <c r="G11" s="32"/>
      <c r="H11" s="32"/>
      <c r="I11" s="32"/>
      <c r="J11" s="32"/>
      <c r="K11" s="32"/>
      <c r="L11" s="32"/>
      <c r="M11" s="32"/>
      <c r="N11" s="34"/>
      <c r="O11" s="35"/>
    </row>
    <row r="12" spans="1:15" ht="31.5" x14ac:dyDescent="0.25">
      <c r="A12" s="36" t="s">
        <v>20</v>
      </c>
      <c r="B12" s="37" t="s">
        <v>21</v>
      </c>
      <c r="C12" s="38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40"/>
    </row>
    <row r="13" spans="1:15" ht="31.5" x14ac:dyDescent="0.25">
      <c r="A13" s="36"/>
      <c r="B13" s="37" t="s">
        <v>22</v>
      </c>
      <c r="C13" s="38">
        <f>41318084+82636168</f>
        <v>123954252</v>
      </c>
      <c r="D13" s="38">
        <v>82636169</v>
      </c>
      <c r="E13" s="38">
        <v>82636169</v>
      </c>
      <c r="F13" s="38">
        <v>82636169</v>
      </c>
      <c r="G13" s="38">
        <v>82636169</v>
      </c>
      <c r="H13" s="38">
        <v>82636169</v>
      </c>
      <c r="I13" s="38">
        <v>82636169</v>
      </c>
      <c r="J13" s="38">
        <v>82636169</v>
      </c>
      <c r="K13" s="38">
        <v>82636169</v>
      </c>
      <c r="L13" s="38">
        <v>82636169</v>
      </c>
      <c r="M13" s="38">
        <v>82636169</v>
      </c>
      <c r="N13" s="38">
        <v>82636169</v>
      </c>
      <c r="O13" s="40">
        <f>SUM(C13:N13)</f>
        <v>1032952111</v>
      </c>
    </row>
    <row r="14" spans="1:15" ht="31.5" x14ac:dyDescent="0.25">
      <c r="A14" s="36"/>
      <c r="B14" s="41" t="s">
        <v>23</v>
      </c>
      <c r="C14" s="38">
        <v>10600000</v>
      </c>
      <c r="D14" s="38">
        <v>10600000</v>
      </c>
      <c r="E14" s="38">
        <v>10600000</v>
      </c>
      <c r="F14" s="38">
        <v>10600000</v>
      </c>
      <c r="G14" s="38">
        <v>10600000</v>
      </c>
      <c r="H14" s="38">
        <f>21000000+125000000+10600000</f>
        <v>156600000</v>
      </c>
      <c r="I14" s="38">
        <v>10600000</v>
      </c>
      <c r="J14" s="38">
        <v>10600000</v>
      </c>
      <c r="K14" s="38">
        <v>10600000</v>
      </c>
      <c r="L14" s="38">
        <f>125000000+3453144</f>
        <v>128453144</v>
      </c>
      <c r="M14" s="38">
        <v>10600000</v>
      </c>
      <c r="N14" s="38">
        <v>10600000</v>
      </c>
      <c r="O14" s="40">
        <f>SUM(C14:N14)</f>
        <v>391053144</v>
      </c>
    </row>
    <row r="15" spans="1:15" ht="31.5" x14ac:dyDescent="0.25">
      <c r="A15" s="36" t="s">
        <v>24</v>
      </c>
      <c r="B15" s="41" t="s">
        <v>25</v>
      </c>
      <c r="C15" s="38"/>
      <c r="D15" s="38"/>
      <c r="E15" s="38"/>
      <c r="F15" s="38"/>
      <c r="G15" s="38"/>
      <c r="I15" s="38"/>
      <c r="J15" s="38"/>
      <c r="K15" s="38"/>
      <c r="L15" s="38"/>
      <c r="N15" s="38"/>
      <c r="O15" s="40">
        <f>SUM(C15:N15)</f>
        <v>0</v>
      </c>
    </row>
    <row r="16" spans="1:15" ht="15.75" x14ac:dyDescent="0.25">
      <c r="A16" s="36" t="s">
        <v>26</v>
      </c>
      <c r="B16" s="41" t="s">
        <v>27</v>
      </c>
      <c r="C16" s="42">
        <v>5000000</v>
      </c>
      <c r="D16" s="42">
        <v>5000000</v>
      </c>
      <c r="E16" s="42">
        <v>380000000</v>
      </c>
      <c r="F16" s="42">
        <v>8000000</v>
      </c>
      <c r="G16" s="43">
        <v>15000000</v>
      </c>
      <c r="H16" s="42">
        <v>420000000</v>
      </c>
      <c r="I16" s="42">
        <v>10000000</v>
      </c>
      <c r="J16" s="42">
        <v>10000000</v>
      </c>
      <c r="K16" s="42">
        <v>380000000</v>
      </c>
      <c r="L16" s="42">
        <v>10000000</v>
      </c>
      <c r="M16" s="42">
        <v>12000000</v>
      </c>
      <c r="N16" s="42">
        <v>401000000</v>
      </c>
      <c r="O16" s="40">
        <f t="shared" ref="O16:O24" si="0">SUM(C16:N16)</f>
        <v>1656000000</v>
      </c>
    </row>
    <row r="17" spans="1:15" ht="15.75" x14ac:dyDescent="0.25">
      <c r="A17" s="36" t="s">
        <v>28</v>
      </c>
      <c r="B17" s="44" t="s">
        <v>29</v>
      </c>
      <c r="C17" s="42">
        <v>41000000</v>
      </c>
      <c r="D17" s="42">
        <v>11500000</v>
      </c>
      <c r="E17" s="42">
        <v>11800000</v>
      </c>
      <c r="F17" s="42">
        <v>22700000</v>
      </c>
      <c r="G17" s="42">
        <v>21000000</v>
      </c>
      <c r="H17" s="42">
        <v>31400000</v>
      </c>
      <c r="I17" s="42">
        <v>31000000</v>
      </c>
      <c r="J17" s="42">
        <f>29700000+1862399+10000000</f>
        <v>41562399</v>
      </c>
      <c r="K17" s="42">
        <f>31000000+4766278</f>
        <v>35766278</v>
      </c>
      <c r="L17" s="42">
        <v>37000000</v>
      </c>
      <c r="M17" s="42">
        <v>31000000</v>
      </c>
      <c r="N17" s="42">
        <v>31000000</v>
      </c>
      <c r="O17" s="40">
        <f t="shared" si="0"/>
        <v>346728677</v>
      </c>
    </row>
    <row r="18" spans="1:15" ht="15.75" x14ac:dyDescent="0.25">
      <c r="A18" s="36" t="s">
        <v>30</v>
      </c>
      <c r="B18" s="44" t="s">
        <v>31</v>
      </c>
      <c r="C18" s="42">
        <v>1050000</v>
      </c>
      <c r="D18" s="42">
        <v>1050000</v>
      </c>
      <c r="E18" s="42">
        <v>1050000</v>
      </c>
      <c r="F18" s="42">
        <v>1050000</v>
      </c>
      <c r="G18" s="42">
        <f>1050000+12000000</f>
        <v>13050000</v>
      </c>
      <c r="H18" s="42">
        <f>1050000+14000000</f>
        <v>15050000</v>
      </c>
      <c r="I18" s="42">
        <f>1050000+18000000</f>
        <v>19050000</v>
      </c>
      <c r="J18" s="42">
        <f>1050000+7300000</f>
        <v>8350000</v>
      </c>
      <c r="K18" s="42">
        <v>1100000</v>
      </c>
      <c r="L18" s="42">
        <v>1100000</v>
      </c>
      <c r="M18" s="42">
        <v>1050000</v>
      </c>
      <c r="N18" s="42">
        <v>1050000</v>
      </c>
      <c r="O18" s="40">
        <f t="shared" si="0"/>
        <v>64000000</v>
      </c>
    </row>
    <row r="19" spans="1:15" ht="15.75" x14ac:dyDescent="0.25">
      <c r="A19" s="36" t="s">
        <v>32</v>
      </c>
      <c r="B19" s="44" t="s">
        <v>33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40">
        <f t="shared" si="0"/>
        <v>0</v>
      </c>
    </row>
    <row r="20" spans="1:15" ht="31.5" x14ac:dyDescent="0.25">
      <c r="A20" s="36"/>
      <c r="B20" s="41" t="s">
        <v>34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0">
        <f t="shared" si="0"/>
        <v>0</v>
      </c>
    </row>
    <row r="21" spans="1:15" ht="15.75" x14ac:dyDescent="0.25">
      <c r="A21" s="36"/>
      <c r="B21" s="41" t="s">
        <v>35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0">
        <f t="shared" si="0"/>
        <v>0</v>
      </c>
    </row>
    <row r="22" spans="1:15" ht="15.75" x14ac:dyDescent="0.25">
      <c r="A22" s="36" t="s">
        <v>36</v>
      </c>
      <c r="B22" s="44" t="s">
        <v>37</v>
      </c>
      <c r="C22" s="47"/>
      <c r="E22" s="47"/>
      <c r="F22" s="47"/>
      <c r="G22" s="47"/>
      <c r="I22" s="47"/>
      <c r="K22" s="47"/>
      <c r="M22" s="47"/>
      <c r="N22" s="48"/>
      <c r="O22" s="40">
        <f t="shared" si="0"/>
        <v>0</v>
      </c>
    </row>
    <row r="23" spans="1:15" ht="31.5" x14ac:dyDescent="0.25">
      <c r="A23" s="36"/>
      <c r="B23" s="41" t="s">
        <v>38</v>
      </c>
      <c r="C23" s="47">
        <v>50000</v>
      </c>
      <c r="D23" s="47">
        <v>50000</v>
      </c>
      <c r="E23" s="47">
        <v>70000</v>
      </c>
      <c r="F23" s="47">
        <v>500000</v>
      </c>
      <c r="G23" s="47">
        <v>200000</v>
      </c>
      <c r="H23" s="47">
        <v>300000</v>
      </c>
      <c r="I23" s="47">
        <v>150000</v>
      </c>
      <c r="J23" s="47">
        <v>80000</v>
      </c>
      <c r="K23" s="47">
        <v>400000</v>
      </c>
      <c r="L23" s="47">
        <v>50000</v>
      </c>
      <c r="M23" s="47">
        <v>50000</v>
      </c>
      <c r="N23" s="47">
        <v>100000</v>
      </c>
      <c r="O23" s="40">
        <f t="shared" si="0"/>
        <v>2000000</v>
      </c>
    </row>
    <row r="24" spans="1:15" ht="15.75" x14ac:dyDescent="0.25">
      <c r="A24" s="36"/>
      <c r="B24" s="41" t="s">
        <v>39</v>
      </c>
      <c r="C24" s="47"/>
      <c r="D24" s="47"/>
      <c r="E24" s="47"/>
      <c r="F24" s="47">
        <v>150000</v>
      </c>
      <c r="G24" s="47"/>
      <c r="H24" s="47">
        <v>100000</v>
      </c>
      <c r="I24" s="47"/>
      <c r="J24" s="47"/>
      <c r="K24" s="47"/>
      <c r="L24" s="47">
        <v>100000</v>
      </c>
      <c r="M24" s="47"/>
      <c r="N24" s="47"/>
      <c r="O24" s="40">
        <f t="shared" si="0"/>
        <v>350000</v>
      </c>
    </row>
    <row r="25" spans="1:15" ht="15.75" x14ac:dyDescent="0.25">
      <c r="A25" s="36" t="s">
        <v>40</v>
      </c>
      <c r="B25" s="44" t="s">
        <v>41</v>
      </c>
      <c r="C25" s="47">
        <v>2740000000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8"/>
      <c r="O25" s="40">
        <f>SUM(C25:N25)</f>
        <v>2740000000</v>
      </c>
    </row>
    <row r="26" spans="1:15" ht="15.75" x14ac:dyDescent="0.25">
      <c r="A26" s="49"/>
      <c r="B26" s="50" t="s">
        <v>42</v>
      </c>
      <c r="C26" s="47"/>
      <c r="D26" s="47"/>
      <c r="E26" s="47">
        <v>100000000</v>
      </c>
      <c r="F26" s="47"/>
      <c r="G26" s="47"/>
      <c r="H26" s="47"/>
      <c r="I26" s="47"/>
      <c r="J26" s="47"/>
      <c r="K26" s="47"/>
      <c r="L26" s="47"/>
      <c r="M26" s="47"/>
      <c r="N26" s="48"/>
      <c r="O26" s="40">
        <f>SUM(C26:N26)</f>
        <v>100000000</v>
      </c>
    </row>
    <row r="27" spans="1:15" ht="16.5" thickBot="1" x14ac:dyDescent="0.3">
      <c r="A27" s="49" t="s">
        <v>43</v>
      </c>
      <c r="B27" s="50" t="s">
        <v>44</v>
      </c>
      <c r="C27" s="47"/>
      <c r="D27" s="47">
        <f t="shared" ref="D27:N27" si="1">C50</f>
        <v>2648486080</v>
      </c>
      <c r="E27" s="47">
        <f t="shared" si="1"/>
        <v>1162369936</v>
      </c>
      <c r="F27" s="47">
        <f t="shared" si="1"/>
        <v>1332380766</v>
      </c>
      <c r="G27" s="47">
        <f t="shared" si="1"/>
        <v>923401748</v>
      </c>
      <c r="H27" s="47">
        <f t="shared" si="1"/>
        <v>677362956</v>
      </c>
      <c r="I27" s="47">
        <f t="shared" si="1"/>
        <v>782429929</v>
      </c>
      <c r="J27" s="47">
        <f t="shared" si="1"/>
        <v>520353785</v>
      </c>
      <c r="K27" s="47">
        <f t="shared" si="1"/>
        <v>225887030</v>
      </c>
      <c r="L27" s="47">
        <f t="shared" si="1"/>
        <v>339937164</v>
      </c>
      <c r="M27" s="47">
        <f t="shared" si="1"/>
        <v>231508393</v>
      </c>
      <c r="N27" s="47">
        <f t="shared" si="1"/>
        <v>68309012</v>
      </c>
      <c r="O27" s="40"/>
    </row>
    <row r="28" spans="1:15" ht="16.5" thickBot="1" x14ac:dyDescent="0.3">
      <c r="A28" s="51"/>
      <c r="B28" s="51" t="s">
        <v>45</v>
      </c>
      <c r="C28" s="52">
        <f t="shared" ref="C28:O28" si="2">SUM(C13:C27)</f>
        <v>2921654252</v>
      </c>
      <c r="D28" s="52">
        <f t="shared" si="2"/>
        <v>2759322249</v>
      </c>
      <c r="E28" s="52">
        <f t="shared" si="2"/>
        <v>1748526105</v>
      </c>
      <c r="F28" s="52">
        <f t="shared" si="2"/>
        <v>1458016935</v>
      </c>
      <c r="G28" s="52">
        <f t="shared" si="2"/>
        <v>1065887917</v>
      </c>
      <c r="H28" s="52">
        <f t="shared" si="2"/>
        <v>1383449125</v>
      </c>
      <c r="I28" s="52">
        <f t="shared" si="2"/>
        <v>935866098</v>
      </c>
      <c r="J28" s="52">
        <f t="shared" si="2"/>
        <v>673582353</v>
      </c>
      <c r="K28" s="52">
        <f t="shared" si="2"/>
        <v>736389477</v>
      </c>
      <c r="L28" s="52">
        <f t="shared" si="2"/>
        <v>599276477</v>
      </c>
      <c r="M28" s="52">
        <f t="shared" si="2"/>
        <v>368844562</v>
      </c>
      <c r="N28" s="52">
        <f t="shared" si="2"/>
        <v>594695181</v>
      </c>
      <c r="O28" s="53">
        <f t="shared" si="2"/>
        <v>6333083932</v>
      </c>
    </row>
    <row r="29" spans="1:15" ht="15.75" x14ac:dyDescent="0.25">
      <c r="A29" s="54"/>
      <c r="B29" s="55" t="s">
        <v>46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56"/>
    </row>
    <row r="30" spans="1:15" ht="15.75" x14ac:dyDescent="0.25">
      <c r="A30" s="36" t="s">
        <v>47</v>
      </c>
      <c r="B30" s="44" t="s">
        <v>48</v>
      </c>
      <c r="C30" s="38">
        <v>100234212</v>
      </c>
      <c r="D30" s="38">
        <v>100234212</v>
      </c>
      <c r="E30" s="38">
        <v>100234212</v>
      </c>
      <c r="F30" s="38">
        <v>100234212</v>
      </c>
      <c r="G30" s="38">
        <v>100234212</v>
      </c>
      <c r="H30" s="38">
        <v>100234212</v>
      </c>
      <c r="I30" s="38">
        <v>100234212</v>
      </c>
      <c r="J30" s="38">
        <v>100234212</v>
      </c>
      <c r="K30" s="38">
        <v>100234212</v>
      </c>
      <c r="L30" s="38">
        <v>100234212</v>
      </c>
      <c r="M30" s="38">
        <v>100234212</v>
      </c>
      <c r="N30" s="38">
        <f>100234212+2535000</f>
        <v>102769212</v>
      </c>
      <c r="O30" s="40">
        <f>SUM(C30:N30)</f>
        <v>1205345544</v>
      </c>
    </row>
    <row r="31" spans="1:15" ht="31.5" x14ac:dyDescent="0.25">
      <c r="A31" s="36" t="s">
        <v>49</v>
      </c>
      <c r="B31" s="41" t="s">
        <v>50</v>
      </c>
      <c r="C31" s="38">
        <v>16122564</v>
      </c>
      <c r="D31" s="38">
        <v>16122561</v>
      </c>
      <c r="E31" s="38">
        <v>16122561</v>
      </c>
      <c r="F31" s="38">
        <v>16122561</v>
      </c>
      <c r="G31" s="38">
        <v>16122561</v>
      </c>
      <c r="H31" s="38">
        <v>16122561</v>
      </c>
      <c r="I31" s="38">
        <v>16122561</v>
      </c>
      <c r="J31" s="38">
        <v>16122561</v>
      </c>
      <c r="K31" s="38">
        <v>16122561</v>
      </c>
      <c r="L31" s="38">
        <v>16122561</v>
      </c>
      <c r="M31" s="38">
        <v>16122561</v>
      </c>
      <c r="N31" s="38">
        <f>16122561+465000</f>
        <v>16587561</v>
      </c>
      <c r="O31" s="40">
        <f>SUM(C31:N31)</f>
        <v>193935735</v>
      </c>
    </row>
    <row r="32" spans="1:15" ht="15.75" x14ac:dyDescent="0.25">
      <c r="A32" s="36" t="s">
        <v>51</v>
      </c>
      <c r="B32" s="44" t="s">
        <v>52</v>
      </c>
      <c r="C32" s="38">
        <v>48000000</v>
      </c>
      <c r="D32" s="38">
        <f>102000000+100000000</f>
        <v>202000000</v>
      </c>
      <c r="E32" s="38">
        <v>118000000</v>
      </c>
      <c r="F32" s="38">
        <f>105000000+30000000</f>
        <v>135000000</v>
      </c>
      <c r="G32" s="38">
        <f>98000000+5572648</f>
        <v>103572648</v>
      </c>
      <c r="H32" s="38">
        <f>98000000+60000000</f>
        <v>158000000</v>
      </c>
      <c r="I32" s="38">
        <v>98000000</v>
      </c>
      <c r="J32" s="38">
        <f>58000000+70464010</f>
        <v>128464010</v>
      </c>
      <c r="K32" s="38">
        <f>80000000+30000000</f>
        <v>110000000</v>
      </c>
      <c r="L32" s="38">
        <v>98000000</v>
      </c>
      <c r="M32" s="38">
        <f>72000000+1326600</f>
        <v>73326600</v>
      </c>
      <c r="N32" s="38">
        <f>158000000-3000000</f>
        <v>155000000</v>
      </c>
      <c r="O32" s="40">
        <f>SUM(C32:N32)</f>
        <v>1427363258</v>
      </c>
    </row>
    <row r="33" spans="1:15" ht="15.75" x14ac:dyDescent="0.25">
      <c r="A33" s="36" t="s">
        <v>53</v>
      </c>
      <c r="B33" s="44" t="s">
        <v>54</v>
      </c>
      <c r="C33" s="38">
        <v>1800000</v>
      </c>
      <c r="D33" s="38">
        <v>1800000</v>
      </c>
      <c r="E33" s="38">
        <v>1800000</v>
      </c>
      <c r="F33" s="38">
        <v>1800000</v>
      </c>
      <c r="G33" s="38">
        <v>1800000</v>
      </c>
      <c r="H33" s="38">
        <v>1800000</v>
      </c>
      <c r="I33" s="38">
        <v>2600000</v>
      </c>
      <c r="J33" s="38">
        <v>3500000</v>
      </c>
      <c r="K33" s="38">
        <v>3800000</v>
      </c>
      <c r="L33" s="38">
        <v>3700000</v>
      </c>
      <c r="M33" s="38">
        <v>2800000</v>
      </c>
      <c r="N33" s="38">
        <v>2800000</v>
      </c>
      <c r="O33" s="40">
        <f>SUM(C33:N33)</f>
        <v>30000000</v>
      </c>
    </row>
    <row r="34" spans="1:15" ht="15.75" x14ac:dyDescent="0.25">
      <c r="A34" s="36" t="s">
        <v>55</v>
      </c>
      <c r="B34" s="44" t="s">
        <v>56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57"/>
      <c r="O34" s="40"/>
    </row>
    <row r="35" spans="1:15" ht="15.75" x14ac:dyDescent="0.25">
      <c r="A35" s="36"/>
      <c r="B35" s="44" t="s">
        <v>57</v>
      </c>
      <c r="C35" s="38"/>
      <c r="D35" s="38"/>
      <c r="E35" s="38"/>
      <c r="F35" s="38"/>
      <c r="G35" s="38">
        <v>4500000</v>
      </c>
      <c r="H35" s="38">
        <v>200000</v>
      </c>
      <c r="I35" s="38"/>
      <c r="J35" s="38"/>
      <c r="K35" s="38"/>
      <c r="L35" s="38"/>
      <c r="M35" s="38"/>
      <c r="N35" s="38"/>
      <c r="O35" s="40">
        <f t="shared" ref="O35:O48" si="3">SUM(C35:N35)</f>
        <v>4700000</v>
      </c>
    </row>
    <row r="36" spans="1:15" ht="15.75" x14ac:dyDescent="0.25">
      <c r="A36" s="36"/>
      <c r="B36" s="44" t="s">
        <v>58</v>
      </c>
      <c r="C36" s="38"/>
      <c r="D36" s="38">
        <f>22000000+1200000000</f>
        <v>1222000000</v>
      </c>
      <c r="E36" s="38">
        <v>45800000</v>
      </c>
      <c r="F36" s="38">
        <v>12800000</v>
      </c>
      <c r="G36" s="38">
        <v>12800000</v>
      </c>
      <c r="H36" s="38">
        <f>2800000+12020000</f>
        <v>14820000</v>
      </c>
      <c r="I36" s="38">
        <f>1800000+24040000-8080000</f>
        <v>17760000</v>
      </c>
      <c r="J36" s="38">
        <f>15800000+8379000</f>
        <v>24179000</v>
      </c>
      <c r="K36" s="38">
        <v>12500000</v>
      </c>
      <c r="L36" s="38">
        <v>2500000</v>
      </c>
      <c r="M36" s="38">
        <v>2500000</v>
      </c>
      <c r="N36" s="38">
        <v>2500000</v>
      </c>
      <c r="O36" s="40">
        <f>SUM(C36:N36)</f>
        <v>1370159000</v>
      </c>
    </row>
    <row r="37" spans="1:15" ht="15.75" x14ac:dyDescent="0.25">
      <c r="A37" s="36"/>
      <c r="B37" s="58" t="s">
        <v>59</v>
      </c>
      <c r="C37" s="38">
        <f>19897770+39795542</f>
        <v>59693312</v>
      </c>
      <c r="D37" s="38">
        <v>39795540</v>
      </c>
      <c r="E37" s="38">
        <v>39795540</v>
      </c>
      <c r="F37" s="38">
        <v>39795540</v>
      </c>
      <c r="G37" s="38">
        <v>39795540</v>
      </c>
      <c r="H37" s="38">
        <v>39795540</v>
      </c>
      <c r="I37" s="38">
        <v>39795540</v>
      </c>
      <c r="J37" s="38">
        <v>39795540</v>
      </c>
      <c r="K37" s="38">
        <v>39795540</v>
      </c>
      <c r="L37" s="38">
        <v>39795540</v>
      </c>
      <c r="M37" s="38">
        <v>39795540</v>
      </c>
      <c r="N37" s="38">
        <v>39795540</v>
      </c>
      <c r="O37" s="40">
        <f>SUM(C37:N37)</f>
        <v>497444252</v>
      </c>
    </row>
    <row r="38" spans="1:15" ht="15.75" x14ac:dyDescent="0.25">
      <c r="A38" s="36" t="s">
        <v>60</v>
      </c>
      <c r="B38" s="44" t="s">
        <v>61</v>
      </c>
      <c r="C38" s="38">
        <v>6000000</v>
      </c>
      <c r="D38" s="38">
        <v>15000000</v>
      </c>
      <c r="E38" s="38">
        <v>28000000</v>
      </c>
      <c r="F38" s="38">
        <f>34000000+88579902</f>
        <v>122579902</v>
      </c>
      <c r="G38" s="38">
        <f>56000000</f>
        <v>56000000</v>
      </c>
      <c r="H38" s="38">
        <f>140000000</f>
        <v>140000000</v>
      </c>
      <c r="I38" s="38">
        <v>110000000</v>
      </c>
      <c r="J38" s="38">
        <v>117000000</v>
      </c>
      <c r="K38" s="38">
        <v>88000000</v>
      </c>
      <c r="L38" s="59">
        <f>7500000+17000000+74455771</f>
        <v>98955771</v>
      </c>
      <c r="M38" s="38">
        <f>35000000+25000000</f>
        <v>60000000</v>
      </c>
      <c r="N38" s="38">
        <f>3645594+55000000+26000000-7876120+55000000+33673406-12</f>
        <v>165442868</v>
      </c>
      <c r="O38" s="40">
        <f t="shared" si="3"/>
        <v>1006978541</v>
      </c>
    </row>
    <row r="39" spans="1:15" ht="15.75" x14ac:dyDescent="0.25">
      <c r="A39" s="36" t="s">
        <v>62</v>
      </c>
      <c r="B39" s="44" t="s">
        <v>63</v>
      </c>
      <c r="C39" s="38"/>
      <c r="D39" s="38"/>
      <c r="E39" s="38">
        <f>7800000+46462104-9369078</f>
        <v>44893026</v>
      </c>
      <c r="F39" s="38">
        <f>99963972-27000</f>
        <v>99936972</v>
      </c>
      <c r="G39" s="38">
        <v>38000000</v>
      </c>
      <c r="H39" s="38">
        <v>74000000</v>
      </c>
      <c r="I39" s="38">
        <v>25000000</v>
      </c>
      <c r="J39" s="38">
        <v>15000000</v>
      </c>
      <c r="K39" s="38">
        <v>22000000</v>
      </c>
      <c r="L39" s="38">
        <v>4700000</v>
      </c>
      <c r="M39" s="38">
        <f>7500000+1456637-6000000</f>
        <v>2956637</v>
      </c>
      <c r="N39" s="38">
        <v>6000000</v>
      </c>
      <c r="O39" s="40">
        <f t="shared" si="3"/>
        <v>332486635</v>
      </c>
    </row>
    <row r="40" spans="1:15" ht="15.75" x14ac:dyDescent="0.25">
      <c r="A40" s="36" t="s">
        <v>64</v>
      </c>
      <c r="B40" s="44" t="s">
        <v>65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40">
        <f t="shared" si="3"/>
        <v>0</v>
      </c>
    </row>
    <row r="41" spans="1:15" ht="15.75" x14ac:dyDescent="0.25">
      <c r="A41" s="36"/>
      <c r="B41" s="44" t="s">
        <v>57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40">
        <f t="shared" si="3"/>
        <v>0</v>
      </c>
    </row>
    <row r="42" spans="1:15" ht="15.75" x14ac:dyDescent="0.25">
      <c r="A42" s="36"/>
      <c r="B42" s="44" t="s">
        <v>58</v>
      </c>
      <c r="C42" s="38"/>
      <c r="D42" s="38"/>
      <c r="E42" s="38"/>
      <c r="F42" s="38">
        <v>4396000</v>
      </c>
      <c r="G42" s="38">
        <v>8000000</v>
      </c>
      <c r="H42" s="38">
        <v>51000000</v>
      </c>
      <c r="I42" s="38">
        <v>6000000</v>
      </c>
      <c r="J42" s="38">
        <v>1000000</v>
      </c>
      <c r="K42" s="38">
        <v>4000000</v>
      </c>
      <c r="L42" s="38">
        <v>1000000</v>
      </c>
      <c r="M42" s="38">
        <v>1000000</v>
      </c>
      <c r="N42" s="38">
        <v>3000000</v>
      </c>
      <c r="O42" s="40">
        <f t="shared" si="3"/>
        <v>79396000</v>
      </c>
    </row>
    <row r="43" spans="1:15" ht="15.75" x14ac:dyDescent="0.25">
      <c r="A43" s="36" t="s">
        <v>66</v>
      </c>
      <c r="B43" s="44" t="s">
        <v>67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40">
        <f t="shared" si="3"/>
        <v>0</v>
      </c>
    </row>
    <row r="44" spans="1:15" ht="15.75" x14ac:dyDescent="0.25">
      <c r="A44" s="36"/>
      <c r="B44" s="44" t="s">
        <v>68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40">
        <f t="shared" si="3"/>
        <v>0</v>
      </c>
    </row>
    <row r="45" spans="1:15" ht="15.75" x14ac:dyDescent="0.25">
      <c r="A45" s="36"/>
      <c r="B45" s="58" t="s">
        <v>69</v>
      </c>
      <c r="C45" s="38">
        <v>41318084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40">
        <f t="shared" si="3"/>
        <v>41318084</v>
      </c>
    </row>
    <row r="46" spans="1:15" ht="15.75" x14ac:dyDescent="0.25">
      <c r="A46" s="36" t="s">
        <v>70</v>
      </c>
      <c r="B46" s="44" t="s">
        <v>71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>
        <v>100000000</v>
      </c>
      <c r="O46" s="40">
        <f t="shared" si="3"/>
        <v>100000000</v>
      </c>
    </row>
    <row r="47" spans="1:15" ht="15.75" x14ac:dyDescent="0.25">
      <c r="A47" s="49" t="s">
        <v>72</v>
      </c>
      <c r="B47" s="50" t="s">
        <v>73</v>
      </c>
      <c r="C47" s="38"/>
      <c r="D47" s="38"/>
      <c r="E47" s="38">
        <v>1500000</v>
      </c>
      <c r="F47" s="38">
        <v>1950000</v>
      </c>
      <c r="G47" s="38">
        <v>2700000</v>
      </c>
      <c r="H47" s="38">
        <f>5280000-233177+60</f>
        <v>5046883</v>
      </c>
      <c r="I47" s="38"/>
      <c r="J47" s="38">
        <v>2400000</v>
      </c>
      <c r="L47" s="38">
        <v>2760000</v>
      </c>
      <c r="M47" s="38">
        <v>1800000</v>
      </c>
      <c r="N47" s="38">
        <v>800000</v>
      </c>
      <c r="O47" s="40">
        <f t="shared" si="3"/>
        <v>18956883</v>
      </c>
    </row>
    <row r="48" spans="1:15" ht="16.5" thickBot="1" x14ac:dyDescent="0.3">
      <c r="A48" s="18" t="s">
        <v>74</v>
      </c>
      <c r="B48" s="50" t="s">
        <v>75</v>
      </c>
      <c r="C48" s="33"/>
      <c r="D48" s="33"/>
      <c r="E48" s="33">
        <v>20000000</v>
      </c>
      <c r="F48" s="33"/>
      <c r="G48" s="33">
        <v>5000000</v>
      </c>
      <c r="H48" s="33"/>
      <c r="I48" s="33"/>
      <c r="J48" s="33"/>
      <c r="K48" s="38"/>
      <c r="L48" s="33"/>
      <c r="M48" s="33"/>
      <c r="N48" s="33"/>
      <c r="O48" s="40">
        <f t="shared" si="3"/>
        <v>25000000</v>
      </c>
    </row>
    <row r="49" spans="1:15" ht="16.5" thickBot="1" x14ac:dyDescent="0.3">
      <c r="A49" s="51"/>
      <c r="B49" s="51" t="s">
        <v>76</v>
      </c>
      <c r="C49" s="52">
        <f>SUM(C30:C48)</f>
        <v>273168172</v>
      </c>
      <c r="D49" s="52">
        <f>SUM(D30:D48)</f>
        <v>1596952313</v>
      </c>
      <c r="E49" s="52">
        <f t="shared" ref="E49:N49" si="4">SUM(E30:E48)</f>
        <v>416145339</v>
      </c>
      <c r="F49" s="52">
        <f t="shared" si="4"/>
        <v>534615187</v>
      </c>
      <c r="G49" s="52">
        <f t="shared" si="4"/>
        <v>388524961</v>
      </c>
      <c r="H49" s="52">
        <f t="shared" si="4"/>
        <v>601019196</v>
      </c>
      <c r="I49" s="52">
        <f t="shared" si="4"/>
        <v>415512313</v>
      </c>
      <c r="J49" s="52">
        <f t="shared" si="4"/>
        <v>447695323</v>
      </c>
      <c r="K49" s="52">
        <f>SUM(K30:K48)</f>
        <v>396452313</v>
      </c>
      <c r="L49" s="52">
        <f t="shared" si="4"/>
        <v>367768084</v>
      </c>
      <c r="M49" s="52">
        <f t="shared" si="4"/>
        <v>300535550</v>
      </c>
      <c r="N49" s="52">
        <f t="shared" si="4"/>
        <v>594695181</v>
      </c>
      <c r="O49" s="53">
        <f>SUM(O30:O48)</f>
        <v>6333083932</v>
      </c>
    </row>
    <row r="50" spans="1:15" ht="16.5" thickBot="1" x14ac:dyDescent="0.3">
      <c r="A50" s="60"/>
      <c r="B50" s="61" t="s">
        <v>77</v>
      </c>
      <c r="C50" s="62">
        <f t="shared" ref="C50:N50" si="5">C28-C49</f>
        <v>2648486080</v>
      </c>
      <c r="D50" s="62">
        <f t="shared" si="5"/>
        <v>1162369936</v>
      </c>
      <c r="E50" s="62">
        <f t="shared" si="5"/>
        <v>1332380766</v>
      </c>
      <c r="F50" s="62">
        <f t="shared" si="5"/>
        <v>923401748</v>
      </c>
      <c r="G50" s="62">
        <f t="shared" si="5"/>
        <v>677362956</v>
      </c>
      <c r="H50" s="62">
        <f t="shared" si="5"/>
        <v>782429929</v>
      </c>
      <c r="I50" s="62">
        <f t="shared" si="5"/>
        <v>520353785</v>
      </c>
      <c r="J50" s="62">
        <f t="shared" si="5"/>
        <v>225887030</v>
      </c>
      <c r="K50" s="62">
        <f t="shared" si="5"/>
        <v>339937164</v>
      </c>
      <c r="L50" s="62">
        <f t="shared" si="5"/>
        <v>231508393</v>
      </c>
      <c r="M50" s="62">
        <f t="shared" si="5"/>
        <v>68309012</v>
      </c>
      <c r="N50" s="62">
        <f t="shared" si="5"/>
        <v>0</v>
      </c>
      <c r="O50" s="63"/>
    </row>
  </sheetData>
  <mergeCells count="5">
    <mergeCell ref="L1:O1"/>
    <mergeCell ref="J2:O2"/>
    <mergeCell ref="A3:O3"/>
    <mergeCell ref="B4:O4"/>
    <mergeCell ref="B6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Gétai Edina</cp:lastModifiedBy>
  <dcterms:created xsi:type="dcterms:W3CDTF">2021-05-19T09:50:41Z</dcterms:created>
  <dcterms:modified xsi:type="dcterms:W3CDTF">2021-05-19T13:17:26Z</dcterms:modified>
</cp:coreProperties>
</file>