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50. melléklet" sheetId="1" r:id="rId1"/>
  </sheets>
  <definedNames>
    <definedName name="_xlnm.Print_Area" localSheetId="0">'50. melléklet'!$A$1:$O$49</definedName>
  </definedNames>
  <calcPr calcId="145621"/>
</workbook>
</file>

<file path=xl/calcChain.xml><?xml version="1.0" encoding="utf-8"?>
<calcChain xmlns="http://schemas.openxmlformats.org/spreadsheetml/2006/main">
  <c r="N47" i="1" l="1"/>
  <c r="K47" i="1"/>
  <c r="G47" i="1"/>
  <c r="O47" i="1" s="1"/>
  <c r="J46" i="1"/>
  <c r="H46" i="1"/>
  <c r="O46" i="1" s="1"/>
  <c r="N45" i="1"/>
  <c r="M45" i="1"/>
  <c r="K45" i="1"/>
  <c r="O45" i="1" s="1"/>
  <c r="O44" i="1"/>
  <c r="K43" i="1"/>
  <c r="O43" i="1" s="1"/>
  <c r="O42" i="1"/>
  <c r="H41" i="1"/>
  <c r="G41" i="1"/>
  <c r="O41" i="1" s="1"/>
  <c r="O40" i="1"/>
  <c r="O39" i="1"/>
  <c r="N38" i="1"/>
  <c r="M38" i="1"/>
  <c r="L38" i="1"/>
  <c r="K38" i="1"/>
  <c r="G38" i="1"/>
  <c r="F38" i="1"/>
  <c r="O38" i="1" s="1"/>
  <c r="N37" i="1"/>
  <c r="M37" i="1"/>
  <c r="L37" i="1"/>
  <c r="K37" i="1"/>
  <c r="J37" i="1"/>
  <c r="I37" i="1"/>
  <c r="H37" i="1"/>
  <c r="G37" i="1"/>
  <c r="O37" i="1" s="1"/>
  <c r="F37" i="1"/>
  <c r="O36" i="1"/>
  <c r="N35" i="1"/>
  <c r="M35" i="1"/>
  <c r="J35" i="1"/>
  <c r="E35" i="1"/>
  <c r="N34" i="1"/>
  <c r="O34" i="1" s="1"/>
  <c r="G34" i="1"/>
  <c r="O32" i="1"/>
  <c r="N31" i="1"/>
  <c r="M31" i="1"/>
  <c r="J31" i="1"/>
  <c r="H31" i="1"/>
  <c r="G31" i="1"/>
  <c r="F31" i="1"/>
  <c r="N30" i="1"/>
  <c r="M30" i="1"/>
  <c r="L30" i="1"/>
  <c r="K30" i="1"/>
  <c r="K48" i="1" s="1"/>
  <c r="J30" i="1"/>
  <c r="I30" i="1"/>
  <c r="I48" i="1" s="1"/>
  <c r="H30" i="1"/>
  <c r="G30" i="1"/>
  <c r="F30" i="1"/>
  <c r="D30" i="1"/>
  <c r="D48" i="1" s="1"/>
  <c r="C30" i="1"/>
  <c r="C48" i="1" s="1"/>
  <c r="N29" i="1"/>
  <c r="N48" i="1" s="1"/>
  <c r="M29" i="1"/>
  <c r="L29" i="1"/>
  <c r="L48" i="1" s="1"/>
  <c r="J29" i="1"/>
  <c r="J48" i="1" s="1"/>
  <c r="H29" i="1"/>
  <c r="H48" i="1" s="1"/>
  <c r="G29" i="1"/>
  <c r="F29" i="1"/>
  <c r="F48" i="1" s="1"/>
  <c r="E29" i="1"/>
  <c r="O25" i="1"/>
  <c r="K24" i="1"/>
  <c r="G24" i="1"/>
  <c r="O24" i="1" s="1"/>
  <c r="D24" i="1"/>
  <c r="N23" i="1"/>
  <c r="L23" i="1"/>
  <c r="O22" i="1"/>
  <c r="O21" i="1"/>
  <c r="N20" i="1"/>
  <c r="M20" i="1"/>
  <c r="O19" i="1"/>
  <c r="O18" i="1"/>
  <c r="M17" i="1"/>
  <c r="J17" i="1"/>
  <c r="I17" i="1"/>
  <c r="G17" i="1"/>
  <c r="N16" i="1"/>
  <c r="J16" i="1"/>
  <c r="H16" i="1"/>
  <c r="N15" i="1"/>
  <c r="K15" i="1"/>
  <c r="J15" i="1"/>
  <c r="I15" i="1"/>
  <c r="H15" i="1"/>
  <c r="G15" i="1"/>
  <c r="E15" i="1"/>
  <c r="J14" i="1"/>
  <c r="O14" i="1" s="1"/>
  <c r="N13" i="1"/>
  <c r="M13" i="1"/>
  <c r="K13" i="1"/>
  <c r="H13" i="1"/>
  <c r="G13" i="1"/>
  <c r="F13" i="1"/>
  <c r="E13" i="1"/>
  <c r="D13" i="1"/>
  <c r="C13" i="1"/>
  <c r="N12" i="1"/>
  <c r="M12" i="1"/>
  <c r="L12" i="1"/>
  <c r="K12" i="1"/>
  <c r="J12" i="1"/>
  <c r="G12" i="1"/>
  <c r="E12" i="1"/>
  <c r="C12" i="1"/>
  <c r="C27" i="1" s="1"/>
  <c r="C49" i="1" s="1"/>
  <c r="D26" i="1" s="1"/>
  <c r="O16" i="1" l="1"/>
  <c r="O31" i="1"/>
  <c r="O35" i="1"/>
  <c r="O15" i="1"/>
  <c r="O20" i="1"/>
  <c r="O23" i="1"/>
  <c r="G48" i="1"/>
  <c r="M48" i="1"/>
  <c r="O13" i="1"/>
  <c r="O17" i="1"/>
  <c r="O29" i="1"/>
  <c r="D27" i="1"/>
  <c r="D49" i="1" s="1"/>
  <c r="E26" i="1" s="1"/>
  <c r="E27" i="1" s="1"/>
  <c r="O12" i="1"/>
  <c r="E30" i="1"/>
  <c r="O30" i="1" s="1"/>
  <c r="O48" i="1" s="1"/>
  <c r="O27" i="1" l="1"/>
  <c r="E48" i="1"/>
  <c r="E49" i="1"/>
  <c r="F26" i="1" s="1"/>
  <c r="F27" i="1" s="1"/>
  <c r="F49" i="1" s="1"/>
  <c r="G26" i="1" s="1"/>
  <c r="G27" i="1" s="1"/>
  <c r="G49" i="1" s="1"/>
  <c r="H26" i="1" s="1"/>
  <c r="H27" i="1" s="1"/>
  <c r="H49" i="1" s="1"/>
  <c r="I26" i="1" s="1"/>
  <c r="I27" i="1" s="1"/>
  <c r="I49" i="1" s="1"/>
  <c r="J26" i="1" s="1"/>
  <c r="J27" i="1" s="1"/>
  <c r="J49" i="1" s="1"/>
  <c r="K26" i="1" s="1"/>
  <c r="K27" i="1" s="1"/>
  <c r="K49" i="1" s="1"/>
  <c r="L26" i="1" s="1"/>
  <c r="L27" i="1" s="1"/>
  <c r="L49" i="1" s="1"/>
  <c r="M26" i="1" s="1"/>
  <c r="M27" i="1" s="1"/>
  <c r="M49" i="1" s="1"/>
  <c r="N26" i="1" s="1"/>
  <c r="N27" i="1" s="1"/>
  <c r="N49" i="1" s="1"/>
</calcChain>
</file>

<file path=xl/sharedStrings.xml><?xml version="1.0" encoding="utf-8"?>
<sst xmlns="http://schemas.openxmlformats.org/spreadsheetml/2006/main" count="81" uniqueCount="79">
  <si>
    <t>SÁRVÁR VÁROS ÖNKORMÁNYZATA</t>
  </si>
  <si>
    <t xml:space="preserve"> 2020. évi előirányzat-felhasználási ütemterve</t>
  </si>
  <si>
    <t>( Ft-ban)</t>
  </si>
  <si>
    <t>sor-</t>
  </si>
  <si>
    <t>Megnevezés</t>
  </si>
  <si>
    <t xml:space="preserve">Január </t>
  </si>
  <si>
    <t xml:space="preserve">Február 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</si>
  <si>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</si>
  <si>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</si>
  <si>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</si>
  <si>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</si>
  <si>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</si>
  <si>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</si>
  <si>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</si>
  <si>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</si>
  <si>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</si>
  <si>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</si>
  <si>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</si>
  <si>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szám</t>
  </si>
  <si>
    <t xml:space="preserve"> Bevételek</t>
  </si>
  <si>
    <t>1.</t>
  </si>
  <si>
    <t>működési célú támogatások államháztartáson belülről</t>
  </si>
  <si>
    <t xml:space="preserve">   -  helyi önkormányzatok  működésének  általános támogatása</t>
  </si>
  <si>
    <t xml:space="preserve">    - egyéb működési célú támogatások bevételei államháztartáson belülről</t>
  </si>
  <si>
    <t>2.</t>
  </si>
  <si>
    <t>felhalmozási célú támogatás államháztartáson belülről</t>
  </si>
  <si>
    <t>3.</t>
  </si>
  <si>
    <t>közhatalmi bevételek</t>
  </si>
  <si>
    <t>4.</t>
  </si>
  <si>
    <t>működési bevételek</t>
  </si>
  <si>
    <t>5.</t>
  </si>
  <si>
    <t>felhalmozási bevételek</t>
  </si>
  <si>
    <t>6.</t>
  </si>
  <si>
    <t>Működési célú átvett pénzeszközök</t>
  </si>
  <si>
    <t xml:space="preserve">   - működési célú visszatérítendő támogatások, kölcsönök visszatérülése államházt.kívülről</t>
  </si>
  <si>
    <t xml:space="preserve">   - egyéb működési célú átvett pénzeszközök</t>
  </si>
  <si>
    <t>7.</t>
  </si>
  <si>
    <t>felhalmozási célú átvett pénzeszközök</t>
  </si>
  <si>
    <t xml:space="preserve">   - felhalmozási célú visszatérítendő támogatások, kölcsönök visszatérülése államházt.kívülről</t>
  </si>
  <si>
    <t xml:space="preserve">   - egyéb felhalmozási célú átvett pénzeszközök</t>
  </si>
  <si>
    <t>8.</t>
  </si>
  <si>
    <t>előző évi pénzmaradvány igénybevétele</t>
  </si>
  <si>
    <t>9.</t>
  </si>
  <si>
    <t xml:space="preserve">Elvonások és befizetések </t>
  </si>
  <si>
    <t>10.</t>
  </si>
  <si>
    <t>Előző havi maradvány</t>
  </si>
  <si>
    <t>Bevételek összesen:</t>
  </si>
  <si>
    <t xml:space="preserve"> Kiadások</t>
  </si>
  <si>
    <t>11.</t>
  </si>
  <si>
    <t>személyi juttatások</t>
  </si>
  <si>
    <t>12.</t>
  </si>
  <si>
    <t>munkaadókat terhelő járulékok és szociális hozzájárulási adó</t>
  </si>
  <si>
    <t>13.</t>
  </si>
  <si>
    <t>dologi kiadások</t>
  </si>
  <si>
    <t>14.</t>
  </si>
  <si>
    <t>ellátottak juttatásai</t>
  </si>
  <si>
    <t>15.</t>
  </si>
  <si>
    <t>Egyéb működési kiadások</t>
  </si>
  <si>
    <t xml:space="preserve"> - államháztartáson belülre</t>
  </si>
  <si>
    <t xml:space="preserve"> - államháztartáson kívülre</t>
  </si>
  <si>
    <t xml:space="preserve"> '- egyéb elvonások, befizetések</t>
  </si>
  <si>
    <t>16.</t>
  </si>
  <si>
    <t>beruházások</t>
  </si>
  <si>
    <t>17.</t>
  </si>
  <si>
    <t>felújítások</t>
  </si>
  <si>
    <t>18.</t>
  </si>
  <si>
    <t>Egyéb felhalmozási kiadások</t>
  </si>
  <si>
    <t>19.</t>
  </si>
  <si>
    <t>finanszírozási kiadások</t>
  </si>
  <si>
    <t xml:space="preserve"> - betétlekötés</t>
  </si>
  <si>
    <t>-megelőlegezett állami támogatás visszafizetése</t>
  </si>
  <si>
    <t>20.</t>
  </si>
  <si>
    <t>általános tartalék</t>
  </si>
  <si>
    <t>21.</t>
  </si>
  <si>
    <t>céltartalék - működési</t>
  </si>
  <si>
    <t>22.</t>
  </si>
  <si>
    <t>céltartalék - felhalmozási</t>
  </si>
  <si>
    <t>Kiadások összesen</t>
  </si>
  <si>
    <t>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</si>
</sst>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6"/>
      <name val="Arial CE"/>
      <charset val="238"/>
    </font>
    <font>
      <sz val="12"/>
      <name val="Arial CE"/>
      <charset val="238"/>
    </font>
    <font>
      <b/>
      <sz val="12"/>
      <name val="Times New Roman"/>
      <family val="1"/>
      <charset val="238"/>
    </font>
    <font>
      <b/>
      <u/>
      <sz val="16"/>
      <name val="Arial CE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Border="1"/>
    <xf numFmtId="164" fontId="3" fillId="0" borderId="0" xfId="1" applyNumberFormat="1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164" fontId="4" fillId="0" borderId="1" xfId="1" applyNumberFormat="1" applyFont="1" applyBorder="1"/>
    <xf numFmtId="164" fontId="4" fillId="0" borderId="3" xfId="1" applyNumberFormat="1" applyFont="1" applyBorder="1"/>
    <xf numFmtId="164" fontId="4" fillId="0" borderId="4" xfId="1" applyNumberFormat="1" applyFont="1" applyBorder="1"/>
    <xf numFmtId="164" fontId="4" fillId="0" borderId="5" xfId="1" applyNumberFormat="1" applyFont="1" applyBorder="1"/>
    <xf numFmtId="164" fontId="3" fillId="0" borderId="5" xfId="1" applyNumberFormat="1" applyFont="1" applyBorder="1"/>
    <xf numFmtId="164" fontId="3" fillId="0" borderId="4" xfId="1" applyNumberFormat="1" applyFont="1" applyBorder="1"/>
    <xf numFmtId="164" fontId="3" fillId="0" borderId="1" xfId="1" applyNumberFormat="1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164" fontId="3" fillId="0" borderId="11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3" fontId="6" fillId="0" borderId="0" xfId="0" applyNumberFormat="1" applyFont="1"/>
    <xf numFmtId="3" fontId="7" fillId="0" borderId="0" xfId="0" applyNumberFormat="1" applyFont="1"/>
    <xf numFmtId="0" fontId="3" fillId="0" borderId="16" xfId="0" applyFont="1" applyBorder="1"/>
    <xf numFmtId="0" fontId="4" fillId="0" borderId="0" xfId="0" applyFont="1" applyBorder="1"/>
    <xf numFmtId="164" fontId="3" fillId="0" borderId="10" xfId="1" applyNumberFormat="1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164" fontId="3" fillId="0" borderId="17" xfId="1" applyNumberFormat="1" applyFont="1" applyBorder="1"/>
    <xf numFmtId="0" fontId="3" fillId="0" borderId="18" xfId="0" applyFont="1" applyBorder="1" applyAlignment="1">
      <alignment horizontal="center"/>
    </xf>
    <xf numFmtId="0" fontId="5" fillId="0" borderId="19" xfId="0" applyFont="1" applyBorder="1" applyAlignment="1">
      <alignment wrapText="1"/>
    </xf>
    <xf numFmtId="164" fontId="3" fillId="0" borderId="19" xfId="1" applyNumberFormat="1" applyFont="1" applyBorder="1"/>
    <xf numFmtId="0" fontId="0" fillId="0" borderId="19" xfId="0" applyBorder="1"/>
    <xf numFmtId="164" fontId="3" fillId="0" borderId="20" xfId="1" applyNumberFormat="1" applyFont="1" applyBorder="1"/>
    <xf numFmtId="164" fontId="0" fillId="0" borderId="0" xfId="0" applyNumberFormat="1"/>
    <xf numFmtId="3" fontId="6" fillId="0" borderId="0" xfId="0" applyNumberFormat="1" applyFont="1" applyFill="1"/>
    <xf numFmtId="0" fontId="3" fillId="0" borderId="19" xfId="0" applyFont="1" applyBorder="1" applyAlignment="1">
      <alignment wrapText="1"/>
    </xf>
    <xf numFmtId="164" fontId="5" fillId="0" borderId="19" xfId="1" applyNumberFormat="1" applyFont="1" applyBorder="1"/>
    <xf numFmtId="164" fontId="5" fillId="0" borderId="10" xfId="1" applyNumberFormat="1" applyFont="1" applyFill="1" applyBorder="1"/>
    <xf numFmtId="0" fontId="3" fillId="0" borderId="19" xfId="0" applyFont="1" applyBorder="1"/>
    <xf numFmtId="164" fontId="7" fillId="0" borderId="19" xfId="1" applyNumberFormat="1" applyFont="1" applyFill="1" applyBorder="1"/>
    <xf numFmtId="164" fontId="7" fillId="0" borderId="21" xfId="1" applyNumberFormat="1" applyFont="1" applyFill="1" applyBorder="1"/>
    <xf numFmtId="164" fontId="5" fillId="0" borderId="19" xfId="1" applyNumberFormat="1" applyFont="1" applyFill="1" applyBorder="1"/>
    <xf numFmtId="164" fontId="5" fillId="0" borderId="21" xfId="1" applyNumberFormat="1" applyFont="1" applyFill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8" fillId="0" borderId="24" xfId="0" applyFont="1" applyBorder="1"/>
    <xf numFmtId="164" fontId="8" fillId="0" borderId="25" xfId="1" applyNumberFormat="1" applyFont="1" applyBorder="1"/>
    <xf numFmtId="164" fontId="8" fillId="0" borderId="24" xfId="1" applyNumberFormat="1" applyFont="1" applyBorder="1"/>
    <xf numFmtId="3" fontId="9" fillId="0" borderId="0" xfId="0" applyNumberFormat="1" applyFont="1" applyFill="1"/>
    <xf numFmtId="0" fontId="3" fillId="0" borderId="16" xfId="0" applyFont="1" applyBorder="1" applyAlignment="1">
      <alignment horizontal="center"/>
    </xf>
    <xf numFmtId="0" fontId="4" fillId="0" borderId="26" xfId="0" applyFont="1" applyBorder="1"/>
    <xf numFmtId="164" fontId="3" fillId="0" borderId="27" xfId="1" applyNumberFormat="1" applyFont="1" applyBorder="1"/>
    <xf numFmtId="164" fontId="3" fillId="0" borderId="21" xfId="1" applyNumberFormat="1" applyFont="1" applyBorder="1"/>
    <xf numFmtId="164" fontId="3" fillId="0" borderId="10" xfId="1" applyNumberFormat="1" applyFont="1" applyFill="1" applyBorder="1"/>
    <xf numFmtId="0" fontId="3" fillId="0" borderId="19" xfId="0" quotePrefix="1" applyFont="1" applyBorder="1"/>
    <xf numFmtId="3" fontId="0" fillId="0" borderId="0" xfId="0" applyNumberFormat="1"/>
    <xf numFmtId="0" fontId="3" fillId="0" borderId="24" xfId="0" applyFont="1" applyBorder="1"/>
    <xf numFmtId="0" fontId="4" fillId="0" borderId="28" xfId="0" applyFont="1" applyBorder="1"/>
    <xf numFmtId="164" fontId="3" fillId="0" borderId="29" xfId="1" applyNumberFormat="1" applyFont="1" applyBorder="1"/>
    <xf numFmtId="164" fontId="3" fillId="0" borderId="30" xfId="1" applyNumberFormat="1" applyFont="1" applyBorder="1"/>
    <xf numFmtId="3" fontId="9" fillId="0" borderId="0" xfId="0" applyNumberFormat="1" applyFont="1"/>
    <xf numFmtId="164" fontId="3" fillId="0" borderId="0" xfId="1" applyNumberFormat="1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5">
    <cellStyle name="Ezres 2" xfId="2"/>
    <cellStyle name="Ezres 2 2" xfId="3"/>
    <cellStyle name="Ezres 2 3" xfId="4"/>
    <cellStyle name="Ezres 3" xfId="1"/>
    <cellStyle name="Ezres 3 2" xfId="5"/>
    <cellStyle name="Ezres 3 3" xfId="6"/>
    <cellStyle name="Ezres 4" xfId="7"/>
    <cellStyle name="Ezres 5" xfId="8"/>
    <cellStyle name="Ezres 6" xfId="9"/>
    <cellStyle name="Normál" xfId="0" builtinId="0"/>
    <cellStyle name="Normál 2" xfId="10"/>
    <cellStyle name="Normál 3" xfId="11"/>
    <cellStyle name="Pénznem 2" xfId="12"/>
    <cellStyle name="Pénznem 3" xfId="13"/>
    <cellStyle name="Pénznem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F51"/>
  <sheetViews>
    <sheetView tabSelected="1" view="pageBreakPreview" zoomScale="60" zoomScaleNormal="100" workbookViewId="0">
      <selection activeCell="A2" sqref="A2:O2"/>
    </sheetView>
  </sheetViews>
  <sheetFormatPr defaultRowHeight="12.75" x14ac:dyDescent="0.2"/>
  <cols>
    <col min="1" max="1" width="3.85546875" customWidth="1"/>
    <col min="2" max="2" width="55.28515625" customWidth="1"/>
    <col min="3" max="3" width="19.42578125" customWidth="1"/>
    <col min="4" max="4" width="19.28515625" customWidth="1"/>
    <col min="5" max="5" width="19.42578125" customWidth="1"/>
    <col min="6" max="6" width="20.85546875" customWidth="1"/>
    <col min="7" max="7" width="20" customWidth="1"/>
    <col min="8" max="8" width="20.7109375" customWidth="1"/>
    <col min="9" max="9" width="18" customWidth="1"/>
    <col min="10" max="10" width="18.140625" customWidth="1"/>
    <col min="11" max="11" width="18.85546875" customWidth="1"/>
    <col min="12" max="13" width="19.28515625" customWidth="1"/>
    <col min="14" max="14" width="19" customWidth="1"/>
    <col min="15" max="15" width="21.7109375" customWidth="1"/>
    <col min="16" max="16" width="22.140625" customWidth="1"/>
    <col min="17" max="17" width="26" customWidth="1"/>
    <col min="18" max="18" width="27.42578125" customWidth="1"/>
    <col min="19" max="19" width="24.5703125" customWidth="1"/>
    <col min="20" max="20" width="22.42578125" customWidth="1"/>
    <col min="22" max="22" width="22.140625" bestFit="1" customWidth="1"/>
  </cols>
  <sheetData>
    <row r="1" spans="1:32" ht="15.75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70"/>
      <c r="M1" s="71"/>
      <c r="N1" s="70"/>
      <c r="O1" s="70"/>
    </row>
    <row r="2" spans="1:32" s="3" customFormat="1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32" ht="15.75" x14ac:dyDescent="0.25">
      <c r="A3" s="1"/>
      <c r="B3" s="73" t="s">
        <v>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32" ht="15.75" x14ac:dyDescent="0.25">
      <c r="A4" s="1"/>
      <c r="B4" s="73" t="s">
        <v>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32" ht="15.75" x14ac:dyDescent="0.25">
      <c r="A5" s="1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32" ht="16.5" thickBot="1" x14ac:dyDescent="0.3">
      <c r="A6" s="1"/>
      <c r="B6" s="1"/>
      <c r="C6" s="4"/>
      <c r="D6" s="4"/>
      <c r="E6" s="4"/>
      <c r="F6" s="5"/>
      <c r="G6" s="4"/>
      <c r="H6" s="4"/>
      <c r="I6" s="4"/>
      <c r="J6" s="4"/>
      <c r="K6" s="2"/>
      <c r="L6" s="2"/>
      <c r="M6" s="2"/>
      <c r="N6" s="2"/>
      <c r="O6" s="6" t="s">
        <v>2</v>
      </c>
    </row>
    <row r="7" spans="1:32" ht="15.75" x14ac:dyDescent="0.25">
      <c r="A7" s="7" t="s">
        <v>3</v>
      </c>
      <c r="B7" s="8"/>
      <c r="C7" s="9"/>
      <c r="D7" s="10"/>
      <c r="E7" s="11"/>
      <c r="F7" s="12"/>
      <c r="G7" s="12"/>
      <c r="H7" s="12"/>
      <c r="I7" s="12"/>
      <c r="J7" s="12"/>
      <c r="K7" s="13"/>
      <c r="L7" s="13"/>
      <c r="M7" s="13"/>
      <c r="N7" s="14"/>
      <c r="O7" s="15"/>
    </row>
    <row r="8" spans="1:32" ht="15.75" x14ac:dyDescent="0.25">
      <c r="A8" s="16"/>
      <c r="B8" s="17" t="s">
        <v>4</v>
      </c>
      <c r="C8" s="18" t="s">
        <v>5</v>
      </c>
      <c r="D8" s="19" t="s">
        <v>6</v>
      </c>
      <c r="E8" s="20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21" t="s">
        <v>12</v>
      </c>
      <c r="K8" s="21" t="s">
        <v>13</v>
      </c>
      <c r="L8" s="21" t="s">
        <v>14</v>
      </c>
      <c r="M8" s="21" t="s">
        <v>15</v>
      </c>
      <c r="N8" s="20" t="s">
        <v>16</v>
      </c>
      <c r="O8" s="22" t="s">
        <v>17</v>
      </c>
    </row>
    <row r="9" spans="1:32" ht="21" thickBot="1" x14ac:dyDescent="0.35">
      <c r="A9" s="23" t="s">
        <v>18</v>
      </c>
      <c r="B9" s="24"/>
      <c r="C9" s="25"/>
      <c r="D9" s="26"/>
      <c r="E9" s="27"/>
      <c r="F9" s="28"/>
      <c r="G9" s="28"/>
      <c r="H9" s="28"/>
      <c r="I9" s="28"/>
      <c r="J9" s="28"/>
      <c r="K9" s="28"/>
      <c r="L9" s="28"/>
      <c r="M9" s="28"/>
      <c r="N9" s="27"/>
      <c r="O9" s="25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30"/>
    </row>
    <row r="10" spans="1:32" ht="20.25" x14ac:dyDescent="0.3">
      <c r="A10" s="31"/>
      <c r="B10" s="32" t="s">
        <v>19</v>
      </c>
      <c r="C10" s="33"/>
      <c r="D10" s="34"/>
      <c r="E10" s="35"/>
      <c r="F10" s="33"/>
      <c r="G10" s="33"/>
      <c r="H10" s="33"/>
      <c r="I10" s="33"/>
      <c r="J10" s="33"/>
      <c r="K10" s="33"/>
      <c r="L10" s="33"/>
      <c r="M10" s="33"/>
      <c r="N10" s="35"/>
      <c r="O10" s="36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</row>
    <row r="11" spans="1:32" ht="21.75" customHeight="1" x14ac:dyDescent="0.3">
      <c r="A11" s="37" t="s">
        <v>20</v>
      </c>
      <c r="B11" s="38" t="s">
        <v>21</v>
      </c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30"/>
    </row>
    <row r="12" spans="1:32" ht="32.25" x14ac:dyDescent="0.3">
      <c r="A12" s="37"/>
      <c r="B12" s="38" t="s">
        <v>22</v>
      </c>
      <c r="C12" s="39">
        <f>28348281+58872479+5</f>
        <v>87220765</v>
      </c>
      <c r="D12" s="39">
        <v>58872479</v>
      </c>
      <c r="E12" s="39">
        <f>58872479+33627100+4838294+760000</f>
        <v>98097873</v>
      </c>
      <c r="F12" s="39">
        <v>58872479</v>
      </c>
      <c r="G12" s="39">
        <f>58872479+633799+3415370+9067855</f>
        <v>71989503</v>
      </c>
      <c r="H12" s="39">
        <v>58872479</v>
      </c>
      <c r="I12" s="39">
        <v>58872479</v>
      </c>
      <c r="J12" s="39">
        <f>58872479+540208+5824172+2077329+1436000+27258+7495756</f>
        <v>76273202</v>
      </c>
      <c r="K12" s="39">
        <f>58872479-21341083+43998213+6304200+5821000</f>
        <v>93654809</v>
      </c>
      <c r="L12" s="39">
        <f>58872479+270386+4174643+1314483-4954334-75340+508050-906000-773400</f>
        <v>58430967</v>
      </c>
      <c r="M12" s="39">
        <f>58872479+1800000000+61506500</f>
        <v>1920378979</v>
      </c>
      <c r="N12" s="39">
        <f>58872479+281283+4150810+1369398+6998350</f>
        <v>71672320</v>
      </c>
      <c r="O12" s="41">
        <f>SUM(C12:N12)</f>
        <v>2713208334</v>
      </c>
      <c r="P12" s="42"/>
      <c r="Q12" s="43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30"/>
    </row>
    <row r="13" spans="1:32" ht="32.25" x14ac:dyDescent="0.3">
      <c r="A13" s="37"/>
      <c r="B13" s="44" t="s">
        <v>23</v>
      </c>
      <c r="C13" s="39">
        <f>11023240-10000000</f>
        <v>1023240</v>
      </c>
      <c r="D13" s="39">
        <f>11023240-10000000</f>
        <v>1023240</v>
      </c>
      <c r="E13" s="39">
        <f>11023240-10000000-760000</f>
        <v>263240</v>
      </c>
      <c r="F13" s="39">
        <f>11023240-3627100+2127936</f>
        <v>9524076</v>
      </c>
      <c r="G13" s="39">
        <f>11023240+4199000</f>
        <v>15222240</v>
      </c>
      <c r="H13" s="39">
        <f>11023240+4700000</f>
        <v>15723240</v>
      </c>
      <c r="I13" s="39">
        <v>11023240</v>
      </c>
      <c r="J13" s="39">
        <v>11023240</v>
      </c>
      <c r="K13" s="39">
        <f>11023240+184036</f>
        <v>11207276</v>
      </c>
      <c r="L13" s="39">
        <v>11023240</v>
      </c>
      <c r="M13" s="39">
        <f>11023240+314737+1142037</f>
        <v>12480014</v>
      </c>
      <c r="N13" s="39">
        <f>11023244+349275+647072+550100+1475000+2930056</f>
        <v>16974747</v>
      </c>
      <c r="O13" s="41">
        <f>SUM(C13:N13)</f>
        <v>116511033</v>
      </c>
      <c r="P13" s="42"/>
      <c r="Q13" s="43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2" ht="21.75" customHeight="1" x14ac:dyDescent="0.3">
      <c r="A14" s="37" t="s">
        <v>24</v>
      </c>
      <c r="B14" s="44" t="s">
        <v>25</v>
      </c>
      <c r="C14" s="39"/>
      <c r="D14" s="39"/>
      <c r="E14" s="39"/>
      <c r="F14" s="39"/>
      <c r="G14" s="39"/>
      <c r="H14" s="39">
        <v>182350112</v>
      </c>
      <c r="I14" s="39"/>
      <c r="J14" s="39">
        <f>477510000+44964420</f>
        <v>522474420</v>
      </c>
      <c r="K14" s="39"/>
      <c r="L14" s="39">
        <v>40000000</v>
      </c>
      <c r="M14" s="39">
        <v>260000</v>
      </c>
      <c r="N14" s="39">
        <v>4776256</v>
      </c>
      <c r="O14" s="41">
        <f>SUM(C14:N14)</f>
        <v>749860788</v>
      </c>
      <c r="P14" s="42"/>
      <c r="Q14" s="43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0"/>
    </row>
    <row r="15" spans="1:32" ht="20.25" x14ac:dyDescent="0.3">
      <c r="A15" s="37" t="s">
        <v>26</v>
      </c>
      <c r="B15" s="44" t="s">
        <v>27</v>
      </c>
      <c r="C15" s="45">
        <v>21000000</v>
      </c>
      <c r="D15" s="45">
        <v>24000000</v>
      </c>
      <c r="E15" s="45">
        <f>510000000-29000000</f>
        <v>481000000</v>
      </c>
      <c r="F15" s="45">
        <v>42000000</v>
      </c>
      <c r="G15" s="46">
        <f>45000000-20000000</f>
        <v>25000000</v>
      </c>
      <c r="H15" s="45">
        <f>380000000-50000000</f>
        <v>330000000</v>
      </c>
      <c r="I15" s="45">
        <f>55000000-20000000</f>
        <v>35000000</v>
      </c>
      <c r="J15" s="45">
        <f>57000000+15000000-4000000-20000000</f>
        <v>48000000</v>
      </c>
      <c r="K15" s="45">
        <f>450000000-29000000-5000000-1000000-81000000</f>
        <v>334000000</v>
      </c>
      <c r="L15" s="45">
        <v>38000000</v>
      </c>
      <c r="M15" s="45">
        <v>82000000</v>
      </c>
      <c r="N15" s="45">
        <f>230000000+15000000+386517444</f>
        <v>631517444</v>
      </c>
      <c r="O15" s="41">
        <f t="shared" ref="O15:O23" si="0">SUM(C15:N15)</f>
        <v>2091517444</v>
      </c>
      <c r="P15" s="42"/>
      <c r="Q15" s="43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30"/>
    </row>
    <row r="16" spans="1:32" ht="20.25" x14ac:dyDescent="0.3">
      <c r="A16" s="37" t="s">
        <v>28</v>
      </c>
      <c r="B16" s="47" t="s">
        <v>29</v>
      </c>
      <c r="C16" s="45">
        <v>31000000</v>
      </c>
      <c r="D16" s="45">
        <v>31500000</v>
      </c>
      <c r="E16" s="45">
        <v>31800000</v>
      </c>
      <c r="F16" s="45">
        <v>30700000</v>
      </c>
      <c r="G16" s="45">
        <v>31000000</v>
      </c>
      <c r="H16" s="45">
        <f>31400000-12366000</f>
        <v>19034000</v>
      </c>
      <c r="I16" s="45">
        <v>31000000</v>
      </c>
      <c r="J16" s="45">
        <f>29700000+1862399</f>
        <v>31562399</v>
      </c>
      <c r="K16" s="45">
        <v>31000000</v>
      </c>
      <c r="L16" s="45">
        <v>37000000</v>
      </c>
      <c r="M16" s="45">
        <v>31000000</v>
      </c>
      <c r="N16" s="45">
        <f>31000000+2000000+111897+2175376+10656400+1000000</f>
        <v>46943673</v>
      </c>
      <c r="O16" s="41">
        <f t="shared" si="0"/>
        <v>383540072</v>
      </c>
      <c r="P16" s="42"/>
      <c r="Q16" s="43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0"/>
    </row>
    <row r="17" spans="1:32" ht="20.25" x14ac:dyDescent="0.3">
      <c r="A17" s="37" t="s">
        <v>30</v>
      </c>
      <c r="B17" s="47" t="s">
        <v>31</v>
      </c>
      <c r="C17" s="45">
        <v>1050000</v>
      </c>
      <c r="D17" s="45">
        <v>1050000</v>
      </c>
      <c r="E17" s="45">
        <v>1050000</v>
      </c>
      <c r="F17" s="45">
        <v>1050000</v>
      </c>
      <c r="G17" s="45">
        <f>1050000+12000000</f>
        <v>13050000</v>
      </c>
      <c r="H17" s="45">
        <v>1050000</v>
      </c>
      <c r="I17" s="45">
        <f>1050000+18000000</f>
        <v>19050000</v>
      </c>
      <c r="J17" s="45">
        <f>1050000+7300000</f>
        <v>8350000</v>
      </c>
      <c r="K17" s="45">
        <v>1100000</v>
      </c>
      <c r="L17" s="45">
        <v>1100000</v>
      </c>
      <c r="M17" s="45">
        <f>1050000+78740</f>
        <v>1128740</v>
      </c>
      <c r="N17" s="45">
        <v>1050000</v>
      </c>
      <c r="O17" s="41">
        <f t="shared" si="0"/>
        <v>50078740</v>
      </c>
      <c r="P17" s="42"/>
      <c r="Q17" s="43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30"/>
    </row>
    <row r="18" spans="1:32" ht="20.25" x14ac:dyDescent="0.3">
      <c r="A18" s="37" t="s">
        <v>32</v>
      </c>
      <c r="B18" s="47" t="s">
        <v>33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O18" s="41">
        <f t="shared" si="0"/>
        <v>0</v>
      </c>
      <c r="P18" s="42"/>
      <c r="Q18" s="43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30"/>
    </row>
    <row r="19" spans="1:32" ht="34.5" customHeight="1" x14ac:dyDescent="0.3">
      <c r="A19" s="37"/>
      <c r="B19" s="44" t="s">
        <v>34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41">
        <f t="shared" si="0"/>
        <v>0</v>
      </c>
      <c r="P19" s="42"/>
      <c r="Q19" s="43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0"/>
    </row>
    <row r="20" spans="1:32" ht="24.75" customHeight="1" x14ac:dyDescent="0.3">
      <c r="A20" s="37"/>
      <c r="B20" s="44" t="s">
        <v>35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>
        <f>120000+200000</f>
        <v>320000</v>
      </c>
      <c r="N20" s="50">
        <f>415000+5500679+737000+3965046</f>
        <v>10617725</v>
      </c>
      <c r="O20" s="41">
        <f t="shared" si="0"/>
        <v>10937725</v>
      </c>
      <c r="P20" s="42"/>
      <c r="Q20" s="43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</row>
    <row r="21" spans="1:32" ht="20.25" x14ac:dyDescent="0.3">
      <c r="A21" s="37" t="s">
        <v>36</v>
      </c>
      <c r="B21" s="47" t="s">
        <v>37</v>
      </c>
      <c r="C21" s="50"/>
      <c r="E21" s="50"/>
      <c r="F21" s="50"/>
      <c r="G21" s="50"/>
      <c r="I21" s="50"/>
      <c r="K21" s="50"/>
      <c r="M21" s="50"/>
      <c r="N21" s="51"/>
      <c r="O21" s="41">
        <f t="shared" si="0"/>
        <v>0</v>
      </c>
      <c r="P21" s="42"/>
      <c r="Q21" s="43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30"/>
    </row>
    <row r="22" spans="1:32" ht="39" customHeight="1" x14ac:dyDescent="0.3">
      <c r="A22" s="37"/>
      <c r="B22" s="44" t="s">
        <v>38</v>
      </c>
      <c r="C22" s="50">
        <v>50000</v>
      </c>
      <c r="D22" s="50">
        <v>50000</v>
      </c>
      <c r="E22" s="50">
        <v>70000</v>
      </c>
      <c r="F22" s="50">
        <v>500000</v>
      </c>
      <c r="G22" s="50"/>
      <c r="H22" s="50">
        <v>600000</v>
      </c>
      <c r="I22" s="50">
        <v>150000</v>
      </c>
      <c r="J22" s="50">
        <v>80000</v>
      </c>
      <c r="K22" s="50">
        <v>400000</v>
      </c>
      <c r="L22" s="50">
        <v>50000</v>
      </c>
      <c r="M22" s="50">
        <v>50000</v>
      </c>
      <c r="N22" s="50"/>
      <c r="O22" s="41">
        <f t="shared" si="0"/>
        <v>2000000</v>
      </c>
      <c r="P22" s="42"/>
      <c r="Q22" s="43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30"/>
    </row>
    <row r="23" spans="1:32" ht="24.75" customHeight="1" x14ac:dyDescent="0.3">
      <c r="A23" s="37"/>
      <c r="B23" s="44" t="s">
        <v>39</v>
      </c>
      <c r="C23" s="50">
        <v>443000</v>
      </c>
      <c r="D23" s="50">
        <v>443000</v>
      </c>
      <c r="E23" s="50">
        <v>443000</v>
      </c>
      <c r="F23" s="50">
        <v>443000</v>
      </c>
      <c r="G23" s="50">
        <v>443000</v>
      </c>
      <c r="H23" s="50">
        <v>443000</v>
      </c>
      <c r="I23" s="50">
        <v>443000</v>
      </c>
      <c r="J23" s="50">
        <v>443000</v>
      </c>
      <c r="K23" s="50">
        <v>440000</v>
      </c>
      <c r="L23" s="50">
        <f>440000+3790</f>
        <v>443790</v>
      </c>
      <c r="M23" s="50">
        <v>440000</v>
      </c>
      <c r="N23" s="50">
        <f>440000+3479818</f>
        <v>3919818</v>
      </c>
      <c r="O23" s="41">
        <f t="shared" si="0"/>
        <v>8787608</v>
      </c>
      <c r="P23" s="42"/>
      <c r="Q23" s="43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30"/>
    </row>
    <row r="24" spans="1:32" ht="20.25" x14ac:dyDescent="0.3">
      <c r="A24" s="37" t="s">
        <v>40</v>
      </c>
      <c r="B24" s="47" t="s">
        <v>41</v>
      </c>
      <c r="C24" s="50">
        <v>28348281</v>
      </c>
      <c r="D24" s="50">
        <f>635295742-28348281</f>
        <v>606947461</v>
      </c>
      <c r="E24" s="50"/>
      <c r="F24" s="50"/>
      <c r="G24" s="50">
        <f>21035565+3900000</f>
        <v>24935565</v>
      </c>
      <c r="H24" s="50"/>
      <c r="I24" s="50"/>
      <c r="J24" s="50"/>
      <c r="K24" s="50">
        <f>456056746+28286668+11885965+23736996+11558674+16471557+2460810+6180234-357142876-773-1166130+5027+146566-108626-1165778+1974149</f>
        <v>199179209</v>
      </c>
      <c r="L24" s="50"/>
      <c r="M24" s="50"/>
      <c r="N24" s="51"/>
      <c r="O24" s="41">
        <f>SUM(C24:N24)</f>
        <v>859410516</v>
      </c>
      <c r="P24" s="42"/>
      <c r="Q24" s="43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0"/>
    </row>
    <row r="25" spans="1:32" ht="20.25" x14ac:dyDescent="0.3">
      <c r="A25" s="52" t="s">
        <v>42</v>
      </c>
      <c r="B25" s="53" t="s">
        <v>43</v>
      </c>
      <c r="C25" s="50"/>
      <c r="D25" s="50"/>
      <c r="E25" s="50"/>
      <c r="F25" s="50"/>
      <c r="G25" s="50"/>
      <c r="H25" s="50"/>
      <c r="I25" s="50"/>
      <c r="J25" s="50"/>
      <c r="K25" s="50">
        <v>76412034</v>
      </c>
      <c r="L25" s="50"/>
      <c r="M25" s="50"/>
      <c r="N25" s="51">
        <v>120416</v>
      </c>
      <c r="O25" s="41">
        <f>SUM(C25:N25)</f>
        <v>76532450</v>
      </c>
      <c r="P25" s="42"/>
      <c r="Q25" s="43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0"/>
    </row>
    <row r="26" spans="1:32" ht="21" thickBot="1" x14ac:dyDescent="0.35">
      <c r="A26" s="52" t="s">
        <v>44</v>
      </c>
      <c r="B26" s="53" t="s">
        <v>45</v>
      </c>
      <c r="C26" s="50"/>
      <c r="D26" s="50">
        <f t="shared" ref="D26:N26" si="1">C49</f>
        <v>2922005</v>
      </c>
      <c r="E26" s="50">
        <f t="shared" si="1"/>
        <v>485193185</v>
      </c>
      <c r="F26" s="50">
        <f t="shared" si="1"/>
        <v>807647298</v>
      </c>
      <c r="G26" s="50">
        <f t="shared" si="1"/>
        <v>588153755</v>
      </c>
      <c r="H26" s="50">
        <f t="shared" si="1"/>
        <v>358859410</v>
      </c>
      <c r="I26" s="50">
        <f t="shared" si="1"/>
        <v>547185832</v>
      </c>
      <c r="J26" s="50">
        <f t="shared" si="1"/>
        <v>445509551</v>
      </c>
      <c r="K26" s="50">
        <f t="shared" si="1"/>
        <v>820766709</v>
      </c>
      <c r="L26" s="50">
        <f t="shared" si="1"/>
        <v>491111083</v>
      </c>
      <c r="M26" s="50">
        <f t="shared" si="1"/>
        <v>241379483</v>
      </c>
      <c r="N26" s="50">
        <f t="shared" si="1"/>
        <v>1974532145</v>
      </c>
      <c r="O26" s="41"/>
      <c r="Q26" s="43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</row>
    <row r="27" spans="1:32" ht="21" thickBot="1" x14ac:dyDescent="0.35">
      <c r="A27" s="54"/>
      <c r="B27" s="54" t="s">
        <v>46</v>
      </c>
      <c r="C27" s="55">
        <f t="shared" ref="C27:O27" si="2">SUM(C12:C26)</f>
        <v>170135286</v>
      </c>
      <c r="D27" s="55">
        <f t="shared" si="2"/>
        <v>726808185</v>
      </c>
      <c r="E27" s="55">
        <f t="shared" si="2"/>
        <v>1097917298</v>
      </c>
      <c r="F27" s="55">
        <f t="shared" si="2"/>
        <v>950736853</v>
      </c>
      <c r="G27" s="55">
        <f t="shared" si="2"/>
        <v>769794063</v>
      </c>
      <c r="H27" s="55">
        <f t="shared" si="2"/>
        <v>966932241</v>
      </c>
      <c r="I27" s="55">
        <f t="shared" si="2"/>
        <v>702724551</v>
      </c>
      <c r="J27" s="55">
        <f t="shared" si="2"/>
        <v>1143715812</v>
      </c>
      <c r="K27" s="55">
        <f t="shared" si="2"/>
        <v>1568160037</v>
      </c>
      <c r="L27" s="55">
        <f t="shared" si="2"/>
        <v>677159080</v>
      </c>
      <c r="M27" s="55">
        <f t="shared" si="2"/>
        <v>2289437216</v>
      </c>
      <c r="N27" s="55">
        <f t="shared" si="2"/>
        <v>2762124544</v>
      </c>
      <c r="O27" s="56">
        <f t="shared" si="2"/>
        <v>7062384710</v>
      </c>
      <c r="Q27" s="57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</row>
    <row r="28" spans="1:32" ht="20.25" x14ac:dyDescent="0.3">
      <c r="A28" s="58"/>
      <c r="B28" s="59" t="s">
        <v>47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60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</row>
    <row r="29" spans="1:32" ht="20.25" x14ac:dyDescent="0.3">
      <c r="A29" s="37" t="s">
        <v>48</v>
      </c>
      <c r="B29" s="47" t="s">
        <v>49</v>
      </c>
      <c r="C29" s="39">
        <v>75800000</v>
      </c>
      <c r="D29" s="39">
        <v>85800000</v>
      </c>
      <c r="E29" s="39">
        <f>88400000+3000000+9000000</f>
        <v>100400000</v>
      </c>
      <c r="F29" s="39">
        <f>85800000-1350000+1896500+1956720</f>
        <v>88303220</v>
      </c>
      <c r="G29" s="39">
        <f>84400000+9000000+539403+2906698+7717323+1531915</f>
        <v>106095339</v>
      </c>
      <c r="H29" s="39">
        <f>84400000+24000000+7454608+4000000</f>
        <v>119854608</v>
      </c>
      <c r="I29" s="39">
        <v>85800000</v>
      </c>
      <c r="J29" s="39">
        <f>85800000+13200+101400+237600+38400+70800+443876+4540523+1778023+685460+5744800+23600+3450000+2143692+3348894+159338</f>
        <v>108579606</v>
      </c>
      <c r="K29" s="39">
        <v>85800000</v>
      </c>
      <c r="L29" s="39">
        <f>84400000+28000000+1670145+631800+2804445+322000-2586577-57000+6600+42300+118800+19200+47200+266889+3347520+1138080-635151</f>
        <v>119536251</v>
      </c>
      <c r="M29" s="39">
        <f>85800000+302403+272503+1315440+1059890</f>
        <v>88750236</v>
      </c>
      <c r="N29" s="39">
        <f>6600+85800000+42200+131500+19200+44033+266889+3326890+1185626-2471812-610035+58530+1408643+1872675-29561486-1165778</f>
        <v>60353675</v>
      </c>
      <c r="O29" s="41">
        <f>SUM(C29:N29)</f>
        <v>1125072935</v>
      </c>
      <c r="P29" s="42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</row>
    <row r="30" spans="1:32" ht="20.25" x14ac:dyDescent="0.3">
      <c r="A30" s="37" t="s">
        <v>50</v>
      </c>
      <c r="B30" s="44" t="s">
        <v>51</v>
      </c>
      <c r="C30" s="39">
        <f>C29*0.175</f>
        <v>13265000</v>
      </c>
      <c r="D30" s="39">
        <f>D29*0.175</f>
        <v>15014999.999999998</v>
      </c>
      <c r="E30" s="39">
        <f>E29*0.175</f>
        <v>17570000</v>
      </c>
      <c r="F30" s="39">
        <f>15015000+331888+171216</f>
        <v>15518104</v>
      </c>
      <c r="G30" s="39">
        <f>23345000+94396+508672+1350532+268085</f>
        <v>25566685</v>
      </c>
      <c r="H30" s="39">
        <f>20274556+700000</f>
        <v>20974556</v>
      </c>
      <c r="I30" s="39">
        <f>I29*0.175+3000000</f>
        <v>18015000</v>
      </c>
      <c r="J30" s="39">
        <f>18015000+2245+17253+40392+6528+12390+75010+764763+299306+1125296+3658+534750+332271+519079+24698</f>
        <v>21772639</v>
      </c>
      <c r="K30" s="39">
        <f>K29*0.175</f>
        <v>15014999.999999998</v>
      </c>
      <c r="L30" s="39">
        <f>21027716+258872+97929+434689+49910+1023+6556+18415+2976+7316+41368+518866+176403</f>
        <v>22642039</v>
      </c>
      <c r="M30" s="39">
        <f>15015000+46872+42234+203893+82147</f>
        <v>15390146</v>
      </c>
      <c r="N30" s="39">
        <f>15015000+1024+6542+20383+2976+6825+41367+515664+183772+258385+290265-8887688</f>
        <v>7454515</v>
      </c>
      <c r="O30" s="41">
        <f>SUM(C30:N30)</f>
        <v>208198684</v>
      </c>
      <c r="P30" s="42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</row>
    <row r="31" spans="1:32" ht="20.25" x14ac:dyDescent="0.3">
      <c r="A31" s="37" t="s">
        <v>52</v>
      </c>
      <c r="B31" s="47" t="s">
        <v>53</v>
      </c>
      <c r="C31" s="39">
        <v>48000000</v>
      </c>
      <c r="D31" s="39">
        <v>102000000</v>
      </c>
      <c r="E31" s="39">
        <v>118000000</v>
      </c>
      <c r="F31" s="39">
        <f>105000000+7882600+1350000</f>
        <v>114232600</v>
      </c>
      <c r="G31" s="39">
        <f>98000000+5572648+12897512+2700000-2330000+4199000</f>
        <v>121039160</v>
      </c>
      <c r="H31" s="39">
        <f>98000000+60000000+2017245</f>
        <v>160017245</v>
      </c>
      <c r="I31" s="39">
        <v>98000000</v>
      </c>
      <c r="J31" s="39">
        <f>58000000+999966+11885965+1561864+304800+5860000+4928415+617000+2474575+13832957-658630-185773</f>
        <v>99621139</v>
      </c>
      <c r="K31" s="39">
        <v>80000000</v>
      </c>
      <c r="L31" s="39">
        <v>98000000</v>
      </c>
      <c r="M31" s="39">
        <f>72000000-431800+120000-330346-1082001+200000-1500000+255000</f>
        <v>69230853</v>
      </c>
      <c r="N31" s="39">
        <f>158000000+38665400+632000-108500+6998350+9965537+2421432+610035-587402+397845-21897+2645639+111897+7403530+10656400+30000000+315000-1550826-773-1166130+5027+146566-108626+1974149-3872116-168779+1000000</f>
        <v>264363758</v>
      </c>
      <c r="O31" s="41">
        <f>SUM(C31:N31)</f>
        <v>1372504755</v>
      </c>
      <c r="P31" s="42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</row>
    <row r="32" spans="1:32" ht="20.25" x14ac:dyDescent="0.3">
      <c r="A32" s="37" t="s">
        <v>54</v>
      </c>
      <c r="B32" s="47" t="s">
        <v>55</v>
      </c>
      <c r="C32" s="39">
        <v>1800000</v>
      </c>
      <c r="D32" s="39">
        <v>1800000</v>
      </c>
      <c r="E32" s="39">
        <v>1800000</v>
      </c>
      <c r="F32" s="39">
        <v>1800000</v>
      </c>
      <c r="G32" s="39">
        <v>1800000</v>
      </c>
      <c r="H32" s="39">
        <v>1800000</v>
      </c>
      <c r="I32" s="39">
        <v>2600000</v>
      </c>
      <c r="J32" s="39">
        <v>3500000</v>
      </c>
      <c r="K32" s="39">
        <v>3800000</v>
      </c>
      <c r="L32" s="39">
        <v>3700000</v>
      </c>
      <c r="M32" s="39">
        <v>2800000</v>
      </c>
      <c r="N32" s="39">
        <v>2800000</v>
      </c>
      <c r="O32" s="41">
        <f>SUM(C32:N32)</f>
        <v>30000000</v>
      </c>
      <c r="P32" s="42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0"/>
    </row>
    <row r="33" spans="1:32" ht="20.25" x14ac:dyDescent="0.3">
      <c r="A33" s="37" t="s">
        <v>56</v>
      </c>
      <c r="B33" s="47" t="s">
        <v>57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61"/>
      <c r="O33" s="41"/>
      <c r="P33" s="42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30"/>
    </row>
    <row r="34" spans="1:32" ht="20.25" x14ac:dyDescent="0.3">
      <c r="A34" s="37"/>
      <c r="B34" s="47" t="s">
        <v>58</v>
      </c>
      <c r="C34" s="39"/>
      <c r="D34" s="39"/>
      <c r="E34" s="39"/>
      <c r="F34" s="39"/>
      <c r="G34" s="39">
        <f>4500000+5494573-4500000</f>
        <v>5494573</v>
      </c>
      <c r="H34" s="39">
        <v>200000</v>
      </c>
      <c r="I34" s="39"/>
      <c r="J34" s="39"/>
      <c r="K34" s="39"/>
      <c r="L34" s="39"/>
      <c r="M34" s="39"/>
      <c r="N34" s="39">
        <f>1572377+2068365</f>
        <v>3640742</v>
      </c>
      <c r="O34" s="41">
        <f>SUM(C34:N34)</f>
        <v>9335315</v>
      </c>
      <c r="P34" s="42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30"/>
    </row>
    <row r="35" spans="1:32" ht="20.25" x14ac:dyDescent="0.3">
      <c r="A35" s="37"/>
      <c r="B35" s="47" t="s">
        <v>59</v>
      </c>
      <c r="C35" s="39"/>
      <c r="D35" s="39">
        <v>22000000</v>
      </c>
      <c r="E35" s="39">
        <f>45800000-29100000</f>
        <v>16700000</v>
      </c>
      <c r="F35" s="39">
        <v>12800000</v>
      </c>
      <c r="G35" s="39">
        <v>12800000</v>
      </c>
      <c r="H35" s="39">
        <v>2800000</v>
      </c>
      <c r="I35" s="39">
        <v>1800000</v>
      </c>
      <c r="J35" s="39">
        <f>35800000+8379000</f>
        <v>44179000</v>
      </c>
      <c r="K35" s="39">
        <v>12500000</v>
      </c>
      <c r="L35" s="39">
        <v>2500000</v>
      </c>
      <c r="M35" s="39">
        <f>12500000-255000</f>
        <v>12245000</v>
      </c>
      <c r="N35" s="39">
        <f>12500000-600000+1800000000-397845+737000-2068365</f>
        <v>1810170790</v>
      </c>
      <c r="O35" s="41">
        <f>SUM(C35:N35)</f>
        <v>1950494790</v>
      </c>
      <c r="P35" s="42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0"/>
    </row>
    <row r="36" spans="1:32" ht="20.25" x14ac:dyDescent="0.3">
      <c r="A36" s="37"/>
      <c r="B36" s="47" t="s">
        <v>60</v>
      </c>
      <c r="C36" s="39"/>
      <c r="D36" s="39"/>
      <c r="E36" s="39"/>
      <c r="F36" s="39"/>
      <c r="G36" s="39"/>
      <c r="H36" s="39"/>
      <c r="I36" s="39"/>
      <c r="J36" s="39"/>
      <c r="K36" s="39">
        <v>76412034</v>
      </c>
      <c r="L36" s="39"/>
      <c r="M36" s="39"/>
      <c r="N36" s="39"/>
      <c r="O36" s="41">
        <f t="shared" ref="O36:O47" si="3">SUM(C36:N36)</f>
        <v>76412034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30"/>
    </row>
    <row r="37" spans="1:32" ht="20.25" x14ac:dyDescent="0.3">
      <c r="A37" s="37" t="s">
        <v>61</v>
      </c>
      <c r="B37" s="47" t="s">
        <v>62</v>
      </c>
      <c r="C37" s="39"/>
      <c r="D37" s="39">
        <v>15000000</v>
      </c>
      <c r="E37" s="39">
        <v>28000000</v>
      </c>
      <c r="F37" s="39">
        <f>34000000+25201880+1884001+860000+3617500+1783480+600000+700000-60000000</f>
        <v>8646861</v>
      </c>
      <c r="G37" s="39">
        <f>56000000-30000000+3900000</f>
        <v>29900000</v>
      </c>
      <c r="H37" s="39">
        <f>140000000-100000000</f>
        <v>40000000</v>
      </c>
      <c r="I37" s="39">
        <f>110000000-90000000</f>
        <v>20000000</v>
      </c>
      <c r="J37" s="39">
        <f>17000000+934000+926719+1436000</f>
        <v>20296719</v>
      </c>
      <c r="K37" s="39">
        <f>88000000+180332867-150000000-1062711+471650000+6573690+1383510+658630+185773</f>
        <v>597721759</v>
      </c>
      <c r="L37" s="62">
        <f>7500000+17000000+2586577+57000</f>
        <v>27143577</v>
      </c>
      <c r="M37" s="39">
        <f>5000000+44964420+9730588+635151+1578740</f>
        <v>61908899</v>
      </c>
      <c r="N37" s="39">
        <f>3645594+55000000+26000000+44964420+860000+308500+330346+1082001+20314893+78568+5059000+2471812+587402+21897+260931+3560315+3872116+168779</f>
        <v>168586574</v>
      </c>
      <c r="O37" s="41">
        <f t="shared" si="3"/>
        <v>1017204389</v>
      </c>
      <c r="P37" s="42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30"/>
    </row>
    <row r="38" spans="1:32" ht="20.25" x14ac:dyDescent="0.3">
      <c r="A38" s="37" t="s">
        <v>63</v>
      </c>
      <c r="B38" s="47" t="s">
        <v>64</v>
      </c>
      <c r="C38" s="39"/>
      <c r="D38" s="39"/>
      <c r="E38" s="39">
        <v>7800000</v>
      </c>
      <c r="F38" s="39">
        <f>54000000+21180620+812982-10579583+180000+850000</f>
        <v>66444019</v>
      </c>
      <c r="G38" s="39">
        <f>98000000-48816902</f>
        <v>49183098</v>
      </c>
      <c r="H38" s="39">
        <v>74000000</v>
      </c>
      <c r="I38" s="39">
        <v>25000000</v>
      </c>
      <c r="J38" s="39">
        <v>15000000</v>
      </c>
      <c r="K38" s="39">
        <f>122000000+8500000+1472500</f>
        <v>131972500</v>
      </c>
      <c r="L38" s="39">
        <f>4700000+99943036+20936+40000000+9648758</f>
        <v>154312730</v>
      </c>
      <c r="M38" s="39">
        <f>7500000+1456637-6000000+431800</f>
        <v>3388437</v>
      </c>
      <c r="N38" s="39">
        <f>6000000-200000+10998200</f>
        <v>16798200</v>
      </c>
      <c r="O38" s="41">
        <f t="shared" si="3"/>
        <v>543898984</v>
      </c>
      <c r="P38" s="42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30"/>
    </row>
    <row r="39" spans="1:32" ht="20.25" x14ac:dyDescent="0.3">
      <c r="A39" s="37" t="s">
        <v>65</v>
      </c>
      <c r="B39" s="47" t="s">
        <v>66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1">
        <f t="shared" si="3"/>
        <v>0</v>
      </c>
      <c r="P39" s="42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30"/>
    </row>
    <row r="40" spans="1:32" ht="20.25" x14ac:dyDescent="0.3">
      <c r="A40" s="37"/>
      <c r="B40" s="47" t="s">
        <v>58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41">
        <f t="shared" si="3"/>
        <v>0</v>
      </c>
      <c r="P40" s="42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30"/>
    </row>
    <row r="41" spans="1:32" ht="20.25" x14ac:dyDescent="0.3">
      <c r="A41" s="37"/>
      <c r="B41" s="47" t="s">
        <v>59</v>
      </c>
      <c r="C41" s="39"/>
      <c r="D41" s="39"/>
      <c r="E41" s="39"/>
      <c r="F41" s="39">
        <v>50000000</v>
      </c>
      <c r="G41" s="39">
        <f>8000000-8000000</f>
        <v>0</v>
      </c>
      <c r="H41" s="39">
        <f>1000000-900000</f>
        <v>100000</v>
      </c>
      <c r="I41" s="39">
        <v>6000000</v>
      </c>
      <c r="J41" s="39">
        <v>10000000</v>
      </c>
      <c r="K41" s="39">
        <v>4000000</v>
      </c>
      <c r="L41" s="39">
        <v>7945000</v>
      </c>
      <c r="M41" s="39"/>
      <c r="N41" s="39">
        <v>2000000</v>
      </c>
      <c r="O41" s="41">
        <f t="shared" si="3"/>
        <v>80045000</v>
      </c>
      <c r="P41" s="42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30"/>
    </row>
    <row r="42" spans="1:32" ht="20.25" x14ac:dyDescent="0.3">
      <c r="A42" s="37" t="s">
        <v>67</v>
      </c>
      <c r="B42" s="47" t="s">
        <v>68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1">
        <f t="shared" si="3"/>
        <v>0</v>
      </c>
      <c r="P42" s="42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30"/>
    </row>
    <row r="43" spans="1:32" ht="20.25" x14ac:dyDescent="0.3">
      <c r="A43" s="37"/>
      <c r="B43" s="47" t="s">
        <v>69</v>
      </c>
      <c r="C43" s="39"/>
      <c r="D43" s="39"/>
      <c r="E43" s="39"/>
      <c r="F43" s="39"/>
      <c r="G43" s="39"/>
      <c r="H43" s="39"/>
      <c r="I43" s="39"/>
      <c r="J43" s="39"/>
      <c r="K43" s="39">
        <f>300000000-300000000</f>
        <v>0</v>
      </c>
      <c r="L43" s="39"/>
      <c r="M43" s="39"/>
      <c r="N43" s="39"/>
      <c r="O43" s="41">
        <f t="shared" si="3"/>
        <v>0</v>
      </c>
      <c r="P43" s="42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30"/>
    </row>
    <row r="44" spans="1:32" ht="20.25" x14ac:dyDescent="0.3">
      <c r="A44" s="37"/>
      <c r="B44" s="63" t="s">
        <v>70</v>
      </c>
      <c r="C44" s="39">
        <v>28348281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41">
        <f t="shared" si="3"/>
        <v>28348281</v>
      </c>
      <c r="P44" s="42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30"/>
    </row>
    <row r="45" spans="1:32" ht="20.25" x14ac:dyDescent="0.3">
      <c r="A45" s="37" t="s">
        <v>71</v>
      </c>
      <c r="B45" s="47" t="s">
        <v>72</v>
      </c>
      <c r="C45" s="39"/>
      <c r="D45" s="39"/>
      <c r="E45" s="39"/>
      <c r="F45" s="39">
        <v>4838294</v>
      </c>
      <c r="G45" s="39"/>
      <c r="H45" s="39"/>
      <c r="I45" s="39"/>
      <c r="J45" s="39"/>
      <c r="K45" s="39">
        <f>76412034+7495756-21341083+43998213+6304200+5821000-3867973-4954334-75340+508050-906000-773400-57142876</f>
        <v>51478247</v>
      </c>
      <c r="L45" s="39"/>
      <c r="M45" s="39">
        <f>61506500-315000</f>
        <v>61191500</v>
      </c>
      <c r="N45" s="39">
        <f>647072+40000000+3965046-13000000</f>
        <v>31612118</v>
      </c>
      <c r="O45" s="41">
        <f t="shared" si="3"/>
        <v>149120159</v>
      </c>
      <c r="P45" s="42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30"/>
    </row>
    <row r="46" spans="1:32" ht="20.25" x14ac:dyDescent="0.3">
      <c r="A46" s="52" t="s">
        <v>73</v>
      </c>
      <c r="B46" s="53" t="s">
        <v>74</v>
      </c>
      <c r="C46" s="39"/>
      <c r="D46" s="39"/>
      <c r="E46" s="39"/>
      <c r="F46" s="39"/>
      <c r="G46" s="39"/>
      <c r="H46" s="39">
        <f>3800000-3800000</f>
        <v>0</v>
      </c>
      <c r="I46" s="39"/>
      <c r="J46" s="39">
        <f>1700000-1700000</f>
        <v>0</v>
      </c>
      <c r="L46" s="39"/>
      <c r="M46" s="39"/>
      <c r="N46" s="39"/>
      <c r="O46" s="41">
        <f t="shared" si="3"/>
        <v>0</v>
      </c>
      <c r="P46" s="42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30"/>
    </row>
    <row r="47" spans="1:32" ht="21" thickBot="1" x14ac:dyDescent="0.35">
      <c r="A47" s="17" t="s">
        <v>75</v>
      </c>
      <c r="B47" s="53" t="s">
        <v>76</v>
      </c>
      <c r="C47" s="34"/>
      <c r="D47" s="34"/>
      <c r="E47" s="34"/>
      <c r="F47" s="34"/>
      <c r="G47" s="34">
        <f>50000000-50000000+246513613-44964420-58676746-53816649-30000000</f>
        <v>59055798</v>
      </c>
      <c r="H47" s="34"/>
      <c r="I47" s="34"/>
      <c r="J47" s="34"/>
      <c r="K47" s="39">
        <f>456056746-300000000-99943036-37743360-20936</f>
        <v>18349414</v>
      </c>
      <c r="L47" s="34"/>
      <c r="M47" s="34"/>
      <c r="N47" s="34">
        <f>386517444+2930056+120416+4776256</f>
        <v>394344172</v>
      </c>
      <c r="O47" s="41">
        <f t="shared" si="3"/>
        <v>471749384</v>
      </c>
      <c r="P47" s="42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</row>
    <row r="48" spans="1:32" ht="21" thickBot="1" x14ac:dyDescent="0.35">
      <c r="A48" s="54"/>
      <c r="B48" s="54" t="s">
        <v>77</v>
      </c>
      <c r="C48" s="55">
        <f>SUM(C29:C47)</f>
        <v>167213281</v>
      </c>
      <c r="D48" s="55">
        <f>SUM(D29:D47)</f>
        <v>241615000</v>
      </c>
      <c r="E48" s="55">
        <f t="shared" ref="E48:N48" si="4">SUM(E29:E47)</f>
        <v>290270000</v>
      </c>
      <c r="F48" s="55">
        <f t="shared" si="4"/>
        <v>362583098</v>
      </c>
      <c r="G48" s="55">
        <f t="shared" si="4"/>
        <v>410934653</v>
      </c>
      <c r="H48" s="55">
        <f t="shared" si="4"/>
        <v>419746409</v>
      </c>
      <c r="I48" s="55">
        <f t="shared" si="4"/>
        <v>257215000</v>
      </c>
      <c r="J48" s="55">
        <f t="shared" si="4"/>
        <v>322949103</v>
      </c>
      <c r="K48" s="55">
        <f>SUM(K29:K47)</f>
        <v>1077048954</v>
      </c>
      <c r="L48" s="55">
        <f t="shared" si="4"/>
        <v>435779597</v>
      </c>
      <c r="M48" s="55">
        <f t="shared" si="4"/>
        <v>314905071</v>
      </c>
      <c r="N48" s="55">
        <f t="shared" si="4"/>
        <v>2762124544</v>
      </c>
      <c r="O48" s="56">
        <f>SUM(O29:O47)</f>
        <v>7062384710</v>
      </c>
      <c r="Q48" s="64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30"/>
    </row>
    <row r="49" spans="1:32" ht="21" thickBot="1" x14ac:dyDescent="0.35">
      <c r="A49" s="65"/>
      <c r="B49" s="66" t="s">
        <v>78</v>
      </c>
      <c r="C49" s="67">
        <f t="shared" ref="C49:N49" si="5">C27-C48</f>
        <v>2922005</v>
      </c>
      <c r="D49" s="67">
        <f t="shared" si="5"/>
        <v>485193185</v>
      </c>
      <c r="E49" s="67">
        <f t="shared" si="5"/>
        <v>807647298</v>
      </c>
      <c r="F49" s="67">
        <f t="shared" si="5"/>
        <v>588153755</v>
      </c>
      <c r="G49" s="67">
        <f t="shared" si="5"/>
        <v>358859410</v>
      </c>
      <c r="H49" s="67">
        <f t="shared" si="5"/>
        <v>547185832</v>
      </c>
      <c r="I49" s="67">
        <f t="shared" si="5"/>
        <v>445509551</v>
      </c>
      <c r="J49" s="67">
        <f t="shared" si="5"/>
        <v>820766709</v>
      </c>
      <c r="K49" s="67">
        <f t="shared" si="5"/>
        <v>491111083</v>
      </c>
      <c r="L49" s="67">
        <f t="shared" si="5"/>
        <v>241379483</v>
      </c>
      <c r="M49" s="67">
        <f t="shared" si="5"/>
        <v>1974532145</v>
      </c>
      <c r="N49" s="67">
        <f t="shared" si="5"/>
        <v>0</v>
      </c>
      <c r="O49" s="68"/>
      <c r="Q49" s="6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30"/>
    </row>
    <row r="50" spans="1:32" ht="20.25" x14ac:dyDescent="0.3"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30"/>
    </row>
    <row r="51" spans="1:32" ht="20.25" x14ac:dyDescent="0.3"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30"/>
    </row>
  </sheetData>
  <mergeCells count="5">
    <mergeCell ref="L1:O1"/>
    <mergeCell ref="A2:O2"/>
    <mergeCell ref="B3:O3"/>
    <mergeCell ref="B4:O4"/>
    <mergeCell ref="B5:O5"/>
  </mergeCells>
  <pageMargins left="0.31496062992125984" right="0.31496062992125984" top="0.15748031496062992" bottom="0.15748031496062992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50. melléklet</vt:lpstr>
      <vt:lpstr>'50.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2021-05-14T08:52:25Z</dcterms:created>
  <dcterms:modified xsi:type="dcterms:W3CDTF">2021-05-20T10:58:12Z</dcterms:modified>
</cp:coreProperties>
</file>