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1.mell. -ei.felh.ütemt." sheetId="1" r:id="rId1"/>
  </sheets>
  <calcPr calcId="145621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J16" i="1"/>
  <c r="O16" i="1"/>
  <c r="C17" i="1"/>
  <c r="D17" i="1"/>
  <c r="E17" i="1"/>
  <c r="F17" i="1"/>
  <c r="G17" i="1"/>
  <c r="H17" i="1"/>
  <c r="O17" i="1" s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O19" i="1"/>
  <c r="O20" i="1"/>
  <c r="O21" i="1"/>
  <c r="O22" i="1"/>
  <c r="L23" i="1"/>
  <c r="O23" i="1" s="1"/>
  <c r="K24" i="1"/>
  <c r="M24" i="1"/>
  <c r="O24" i="1" s="1"/>
  <c r="O25" i="1"/>
  <c r="C26" i="1"/>
  <c r="D26" i="1"/>
  <c r="O26" i="1" s="1"/>
  <c r="G26" i="1"/>
  <c r="I26" i="1"/>
  <c r="C28" i="1"/>
  <c r="F30" i="1"/>
  <c r="H30" i="1"/>
  <c r="I30" i="1"/>
  <c r="J30" i="1"/>
  <c r="K30" i="1"/>
  <c r="L30" i="1"/>
  <c r="M30" i="1"/>
  <c r="N30" i="1"/>
  <c r="O30" i="1"/>
  <c r="F31" i="1"/>
  <c r="H31" i="1"/>
  <c r="I31" i="1"/>
  <c r="J31" i="1"/>
  <c r="K31" i="1"/>
  <c r="L31" i="1"/>
  <c r="M31" i="1"/>
  <c r="N31" i="1"/>
  <c r="O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C33" i="1"/>
  <c r="D33" i="1"/>
  <c r="F33" i="1"/>
  <c r="G33" i="1"/>
  <c r="H33" i="1"/>
  <c r="I33" i="1"/>
  <c r="J33" i="1"/>
  <c r="K33" i="1"/>
  <c r="L33" i="1"/>
  <c r="M33" i="1"/>
  <c r="O33" i="1"/>
  <c r="O35" i="1"/>
  <c r="G36" i="1"/>
  <c r="M36" i="1"/>
  <c r="O36" i="1"/>
  <c r="J37" i="1"/>
  <c r="M37" i="1"/>
  <c r="N37" i="1"/>
  <c r="O37" i="1"/>
  <c r="H38" i="1"/>
  <c r="J38" i="1"/>
  <c r="O38" i="1" s="1"/>
  <c r="O39" i="1"/>
  <c r="O40" i="1"/>
  <c r="O41" i="1"/>
  <c r="O42" i="1"/>
  <c r="O43" i="1"/>
  <c r="O44" i="1"/>
  <c r="O45" i="1"/>
  <c r="I46" i="1"/>
  <c r="O46" i="1" s="1"/>
  <c r="O47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27" i="1" s="1"/>
  <c r="D28" i="1" s="1"/>
  <c r="D49" i="1" s="1"/>
  <c r="E27" i="1" s="1"/>
  <c r="E28" i="1" s="1"/>
  <c r="E49" i="1" s="1"/>
  <c r="F27" i="1" s="1"/>
  <c r="F28" i="1" s="1"/>
  <c r="F49" i="1" s="1"/>
  <c r="G27" i="1" s="1"/>
  <c r="G28" i="1" s="1"/>
  <c r="G49" i="1" s="1"/>
  <c r="H27" i="1" s="1"/>
  <c r="H28" i="1" s="1"/>
  <c r="H49" i="1" s="1"/>
  <c r="I27" i="1" s="1"/>
  <c r="I28" i="1" s="1"/>
  <c r="I49" i="1" s="1"/>
  <c r="J27" i="1" s="1"/>
  <c r="J28" i="1" s="1"/>
  <c r="J49" i="1" s="1"/>
  <c r="K27" i="1" s="1"/>
  <c r="K28" i="1" s="1"/>
  <c r="K49" i="1" s="1"/>
  <c r="L27" i="1" s="1"/>
  <c r="L28" i="1" s="1"/>
  <c r="L49" i="1" s="1"/>
  <c r="M27" i="1" s="1"/>
  <c r="M28" i="1" s="1"/>
  <c r="M49" i="1" s="1"/>
  <c r="N27" i="1" s="1"/>
  <c r="N28" i="1" s="1"/>
  <c r="N49" i="1" s="1"/>
  <c r="O48" i="1" l="1"/>
  <c r="O28" i="1"/>
</calcChain>
</file>

<file path=xl/sharedStrings.xml><?xml version="1.0" encoding="utf-8"?>
<sst xmlns="http://schemas.openxmlformats.org/spreadsheetml/2006/main" count="76" uniqueCount="74">
  <si>
    <t>bevételek és kiadások egyenlege</t>
  </si>
  <si>
    <t>Kiadások összesen</t>
  </si>
  <si>
    <t>céltartalék</t>
  </si>
  <si>
    <t>20.</t>
  </si>
  <si>
    <t>általános tartalék</t>
  </si>
  <si>
    <t>19.</t>
  </si>
  <si>
    <t xml:space="preserve"> - részesedések vásárlása</t>
  </si>
  <si>
    <t xml:space="preserve"> - hosszú lejáratú hitel törlesztése</t>
  </si>
  <si>
    <t>-Áht-n belüli megelőlegezések visszafizetése</t>
  </si>
  <si>
    <t>finanszírozási kiadások</t>
  </si>
  <si>
    <t>18.</t>
  </si>
  <si>
    <t xml:space="preserve"> - államháztartáson kívülre</t>
  </si>
  <si>
    <t xml:space="preserve"> - államháztartáson belülre</t>
  </si>
  <si>
    <t>Egyéb felhalmozási kiadások</t>
  </si>
  <si>
    <t>17.</t>
  </si>
  <si>
    <t>felújítások</t>
  </si>
  <si>
    <t>16.</t>
  </si>
  <si>
    <t>beruházások</t>
  </si>
  <si>
    <t>15.</t>
  </si>
  <si>
    <t>Egyéb működési kiadások</t>
  </si>
  <si>
    <t>14.</t>
  </si>
  <si>
    <t>ellátottak juttatásai</t>
  </si>
  <si>
    <t>13.</t>
  </si>
  <si>
    <t>dologi kiadások</t>
  </si>
  <si>
    <t>12.</t>
  </si>
  <si>
    <t>munkaadókat terhelő járulékok és szociális hozzájárulási adó</t>
  </si>
  <si>
    <t>11.</t>
  </si>
  <si>
    <t>személyi juttatások</t>
  </si>
  <si>
    <t>10.</t>
  </si>
  <si>
    <t xml:space="preserve"> Kiadások</t>
  </si>
  <si>
    <t>Bevételek összesen:</t>
  </si>
  <si>
    <t>Előző havi maradvány</t>
  </si>
  <si>
    <t>9.</t>
  </si>
  <si>
    <t>előző évi pénzmaradvány igénybevétele</t>
  </si>
  <si>
    <t>8.</t>
  </si>
  <si>
    <t xml:space="preserve">   - egyéb felhalmozási célú átvett pénzeszközök</t>
  </si>
  <si>
    <t xml:space="preserve">   - felhalmozási célú visszatérítendő támogatások, kölcsönök visszatérülése államházt.kívülről</t>
  </si>
  <si>
    <t>felhalmozási célú átvett pénzeszközök</t>
  </si>
  <si>
    <t>7.</t>
  </si>
  <si>
    <t xml:space="preserve">   - egyéb működési célú átvett pénzeszközök</t>
  </si>
  <si>
    <t xml:space="preserve">   - működési célú visszatérítendő támogatások, kölcsönök visszatérülése államházt.kívülről</t>
  </si>
  <si>
    <t>Működési célú átvett pénzeszközök</t>
  </si>
  <si>
    <t>6.</t>
  </si>
  <si>
    <t>felhalmozási bevételek</t>
  </si>
  <si>
    <t>5.</t>
  </si>
  <si>
    <t>működési bevételek</t>
  </si>
  <si>
    <t>4.</t>
  </si>
  <si>
    <t>közhatalmi bevételek</t>
  </si>
  <si>
    <t>3.</t>
  </si>
  <si>
    <t xml:space="preserve">    - egyéb működési célú támogatások bevételei államháztartáson belülről</t>
  </si>
  <si>
    <t xml:space="preserve">   -  helyi önkormányzatok  működésének  általános támogatása</t>
  </si>
  <si>
    <t>működési célú támogatások államháztartáson belülről</t>
  </si>
  <si>
    <t>1.</t>
  </si>
  <si>
    <t xml:space="preserve"> Bevételek</t>
  </si>
  <si>
    <t>szám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</si>
  <si>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</si>
  <si>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</si>
  <si>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</si>
  <si>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</si>
  <si>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</si>
  <si>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</si>
  <si>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</si>
  <si>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</si>
  <si>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</si>
  <si>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</si>
  <si>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</si>
  <si>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 xml:space="preserve">Február </t>
  </si>
  <si>
    <t xml:space="preserve">Január </t>
  </si>
  <si>
    <t>Megnevezés</t>
  </si>
  <si>
    <t>sor-</t>
  </si>
  <si>
    <t>( Ft-ban)</t>
  </si>
  <si>
    <t>2020. év</t>
  </si>
  <si>
    <t>ELŐIRÁNYZAT-FELHASZNÁLÁSI ÜTEMTERVE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</si>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</sst>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1" applyNumberFormat="1" applyFont="1"/>
    <xf numFmtId="164" fontId="2" fillId="0" borderId="1" xfId="2" applyNumberFormat="1" applyFont="1" applyBorder="1"/>
    <xf numFmtId="164" fontId="2" fillId="0" borderId="2" xfId="2" applyNumberFormat="1" applyFont="1" applyBorder="1"/>
    <xf numFmtId="0" fontId="3" fillId="0" borderId="3" xfId="0" applyFont="1" applyBorder="1"/>
    <xf numFmtId="0" fontId="2" fillId="0" borderId="4" xfId="0" applyFont="1" applyBorder="1"/>
    <xf numFmtId="0" fontId="4" fillId="0" borderId="0" xfId="0" applyFont="1"/>
    <xf numFmtId="1" fontId="4" fillId="0" borderId="0" xfId="0" applyNumberFormat="1" applyFont="1"/>
    <xf numFmtId="164" fontId="4" fillId="0" borderId="4" xfId="2" applyNumberFormat="1" applyFont="1" applyBorder="1"/>
    <xf numFmtId="164" fontId="4" fillId="0" borderId="5" xfId="2" applyNumberFormat="1" applyFont="1" applyBorder="1"/>
    <xf numFmtId="0" fontId="4" fillId="0" borderId="4" xfId="0" applyFont="1" applyBorder="1"/>
    <xf numFmtId="164" fontId="2" fillId="0" borderId="6" xfId="2" applyNumberFormat="1" applyFont="1" applyBorder="1"/>
    <xf numFmtId="164" fontId="2" fillId="0" borderId="7" xfId="2" applyNumberFormat="1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164" fontId="2" fillId="0" borderId="0" xfId="0" applyNumberFormat="1" applyFont="1"/>
    <xf numFmtId="0" fontId="2" fillId="0" borderId="7" xfId="0" applyFont="1" applyBorder="1"/>
    <xf numFmtId="0" fontId="2" fillId="0" borderId="10" xfId="0" applyFont="1" applyBorder="1" applyAlignment="1">
      <alignment horizontal="center"/>
    </xf>
    <xf numFmtId="0" fontId="2" fillId="0" borderId="7" xfId="0" quotePrefix="1" applyFont="1" applyBorder="1"/>
    <xf numFmtId="0" fontId="2" fillId="0" borderId="7" xfId="0" applyFont="1" applyBorder="1" applyAlignment="1">
      <alignment horizontal="left" wrapText="1"/>
    </xf>
    <xf numFmtId="164" fontId="2" fillId="0" borderId="11" xfId="2" applyNumberFormat="1" applyFont="1" applyBorder="1"/>
    <xf numFmtId="0" fontId="3" fillId="0" borderId="12" xfId="0" applyFont="1" applyBorder="1"/>
    <xf numFmtId="0" fontId="2" fillId="0" borderId="13" xfId="0" applyFont="1" applyBorder="1" applyAlignment="1">
      <alignment horizontal="center"/>
    </xf>
    <xf numFmtId="164" fontId="4" fillId="0" borderId="0" xfId="0" applyNumberFormat="1" applyFont="1"/>
    <xf numFmtId="164" fontId="5" fillId="0" borderId="7" xfId="2" applyNumberFormat="1" applyFont="1" applyFill="1" applyBorder="1"/>
    <xf numFmtId="164" fontId="5" fillId="0" borderId="14" xfId="2" applyNumberFormat="1" applyFont="1" applyFill="1" applyBorder="1"/>
    <xf numFmtId="0" fontId="2" fillId="0" borderId="7" xfId="0" applyFont="1" applyBorder="1" applyAlignment="1">
      <alignment wrapText="1"/>
    </xf>
    <xf numFmtId="164" fontId="6" fillId="0" borderId="14" xfId="2" applyNumberFormat="1" applyFont="1" applyFill="1" applyBorder="1"/>
    <xf numFmtId="164" fontId="6" fillId="0" borderId="7" xfId="2" applyNumberFormat="1" applyFont="1" applyFill="1" applyBorder="1"/>
    <xf numFmtId="164" fontId="5" fillId="0" borderId="7" xfId="2" applyNumberFormat="1" applyFont="1" applyBorder="1"/>
    <xf numFmtId="164" fontId="2" fillId="0" borderId="15" xfId="2" applyNumberFormat="1" applyFont="1" applyBorder="1"/>
    <xf numFmtId="164" fontId="2" fillId="0" borderId="16" xfId="2" applyNumberFormat="1" applyFont="1" applyBorder="1"/>
    <xf numFmtId="164" fontId="2" fillId="0" borderId="17" xfId="2" applyNumberFormat="1" applyFont="1" applyBorder="1"/>
    <xf numFmtId="164" fontId="2" fillId="0" borderId="18" xfId="2" applyNumberFormat="1" applyFont="1" applyBorder="1"/>
    <xf numFmtId="0" fontId="2" fillId="0" borderId="19" xfId="0" applyFont="1" applyBorder="1"/>
    <xf numFmtId="0" fontId="2" fillId="0" borderId="15" xfId="0" applyFont="1" applyBorder="1"/>
    <xf numFmtId="164" fontId="3" fillId="0" borderId="20" xfId="2" applyNumberFormat="1" applyFont="1" applyBorder="1" applyAlignment="1">
      <alignment horizontal="center"/>
    </xf>
    <xf numFmtId="164" fontId="2" fillId="0" borderId="21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3" xfId="2" applyNumberFormat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/>
    <xf numFmtId="164" fontId="2" fillId="0" borderId="25" xfId="2" applyNumberFormat="1" applyFont="1" applyBorder="1"/>
    <xf numFmtId="164" fontId="2" fillId="0" borderId="26" xfId="2" applyNumberFormat="1" applyFont="1" applyBorder="1"/>
    <xf numFmtId="164" fontId="2" fillId="0" borderId="27" xfId="2" applyNumberFormat="1" applyFont="1" applyBorder="1"/>
    <xf numFmtId="164" fontId="3" fillId="0" borderId="27" xfId="2" applyNumberFormat="1" applyFont="1" applyBorder="1"/>
    <xf numFmtId="164" fontId="3" fillId="0" borderId="26" xfId="2" applyNumberFormat="1" applyFont="1" applyBorder="1"/>
    <xf numFmtId="164" fontId="3" fillId="0" borderId="28" xfId="2" applyNumberFormat="1" applyFont="1" applyBorder="1"/>
    <xf numFmtId="164" fontId="3" fillId="0" borderId="25" xfId="2" applyNumberFormat="1" applyFont="1" applyBorder="1"/>
    <xf numFmtId="0" fontId="2" fillId="0" borderId="29" xfId="0" applyFont="1" applyBorder="1"/>
    <xf numFmtId="0" fontId="2" fillId="0" borderId="25" xfId="0" applyFont="1" applyBorder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S55"/>
  <sheetViews>
    <sheetView tabSelected="1" workbookViewId="0">
      <selection activeCell="A2" sqref="A2:O2"/>
    </sheetView>
  </sheetViews>
  <sheetFormatPr defaultRowHeight="15.75" x14ac:dyDescent="0.25"/>
  <cols>
    <col min="1" max="1" width="5.140625" style="1" customWidth="1"/>
    <col min="2" max="2" width="43.5703125" style="1" customWidth="1"/>
    <col min="3" max="3" width="15.42578125" style="2" customWidth="1"/>
    <col min="4" max="4" width="18" style="2" customWidth="1"/>
    <col min="5" max="5" width="17.42578125" style="2" customWidth="1"/>
    <col min="6" max="6" width="16.85546875" style="2" customWidth="1"/>
    <col min="7" max="7" width="16.5703125" style="2" customWidth="1"/>
    <col min="8" max="8" width="16.85546875" style="2" customWidth="1"/>
    <col min="9" max="11" width="15.42578125" style="2" customWidth="1"/>
    <col min="12" max="12" width="17.28515625" style="2" customWidth="1"/>
    <col min="13" max="13" width="17.5703125" style="2" customWidth="1"/>
    <col min="14" max="14" width="17.42578125" style="2" customWidth="1"/>
    <col min="15" max="15" width="16.5703125" style="2" customWidth="1"/>
    <col min="16" max="17" width="15.5703125" style="1" bestFit="1" customWidth="1"/>
    <col min="18" max="18" width="12.5703125" style="1" bestFit="1" customWidth="1"/>
    <col min="19" max="16384" width="9.140625" style="1"/>
  </cols>
  <sheetData>
    <row r="2" spans="1:15" s="58" customForma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4" spans="1:15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x14ac:dyDescent="0.25">
      <c r="B6" s="57" t="s">
        <v>73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x14ac:dyDescent="0.25">
      <c r="B7" s="57" t="s">
        <v>72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x14ac:dyDescent="0.25">
      <c r="B8" s="57" t="s">
        <v>71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6.5" thickBot="1" x14ac:dyDescent="0.3">
      <c r="C9" s="55"/>
      <c r="D9" s="55"/>
      <c r="E9" s="55"/>
      <c r="F9" s="56"/>
      <c r="G9" s="55"/>
      <c r="H9" s="55"/>
      <c r="I9" s="55"/>
      <c r="J9" s="55"/>
      <c r="O9" s="54" t="s">
        <v>70</v>
      </c>
    </row>
    <row r="10" spans="1:15" x14ac:dyDescent="0.25">
      <c r="A10" s="53" t="s">
        <v>69</v>
      </c>
      <c r="B10" s="52"/>
      <c r="C10" s="51"/>
      <c r="D10" s="50"/>
      <c r="E10" s="49"/>
      <c r="F10" s="48"/>
      <c r="G10" s="48"/>
      <c r="H10" s="48"/>
      <c r="I10" s="48"/>
      <c r="J10" s="48"/>
      <c r="K10" s="47"/>
      <c r="L10" s="47"/>
      <c r="M10" s="47"/>
      <c r="N10" s="46"/>
      <c r="O10" s="45"/>
    </row>
    <row r="11" spans="1:15" x14ac:dyDescent="0.25">
      <c r="A11" s="44"/>
      <c r="B11" s="43" t="s">
        <v>68</v>
      </c>
      <c r="C11" s="42" t="s">
        <v>67</v>
      </c>
      <c r="D11" s="41" t="s">
        <v>66</v>
      </c>
      <c r="E11" s="39" t="s">
        <v>65</v>
      </c>
      <c r="F11" s="40" t="s">
        <v>64</v>
      </c>
      <c r="G11" s="40" t="s">
        <v>63</v>
      </c>
      <c r="H11" s="40" t="s">
        <v>62</v>
      </c>
      <c r="I11" s="40" t="s">
        <v>61</v>
      </c>
      <c r="J11" s="40" t="s">
        <v>60</v>
      </c>
      <c r="K11" s="40" t="s">
        <v>59</v>
      </c>
      <c r="L11" s="40" t="s">
        <v>58</v>
      </c>
      <c r="M11" s="40" t="s">
        <v>57</v>
      </c>
      <c r="N11" s="39" t="s">
        <v>56</v>
      </c>
      <c r="O11" s="38" t="s">
        <v>55</v>
      </c>
    </row>
    <row r="12" spans="1:15" ht="16.5" thickBot="1" x14ac:dyDescent="0.3">
      <c r="A12" s="37" t="s">
        <v>54</v>
      </c>
      <c r="B12" s="36"/>
      <c r="C12" s="32"/>
      <c r="D12" s="35"/>
      <c r="E12" s="33"/>
      <c r="F12" s="34"/>
      <c r="G12" s="34"/>
      <c r="H12" s="34"/>
      <c r="I12" s="34"/>
      <c r="J12" s="34"/>
      <c r="K12" s="34"/>
      <c r="L12" s="34"/>
      <c r="M12" s="34"/>
      <c r="N12" s="33"/>
      <c r="O12" s="32"/>
    </row>
    <row r="13" spans="1:15" ht="28.5" customHeight="1" x14ac:dyDescent="0.25">
      <c r="A13" s="19"/>
      <c r="B13" s="28" t="s">
        <v>53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3"/>
    </row>
    <row r="14" spans="1:15" ht="28.5" customHeight="1" x14ac:dyDescent="0.25">
      <c r="A14" s="19" t="s">
        <v>52</v>
      </c>
      <c r="B14" s="28" t="s">
        <v>51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3"/>
    </row>
    <row r="15" spans="1:15" ht="28.5" customHeight="1" x14ac:dyDescent="0.25">
      <c r="A15" s="19"/>
      <c r="B15" s="28" t="s">
        <v>50</v>
      </c>
      <c r="C15" s="14">
        <f>2243614+756325-364911-92809+434736+42542</f>
        <v>3019497</v>
      </c>
      <c r="D15" s="14">
        <f>2243614+756325-364911-92809+434736+42542</f>
        <v>3019497</v>
      </c>
      <c r="E15" s="14">
        <f>2243614+756325-364911-92809+434736+42542</f>
        <v>3019497</v>
      </c>
      <c r="F15" s="14">
        <f>2243614+756325-364911-92809+434736+42542</f>
        <v>3019497</v>
      </c>
      <c r="G15" s="14">
        <f>2243614+756325-364911-92809+434736+42542</f>
        <v>3019497</v>
      </c>
      <c r="H15" s="14">
        <f>2243614+756325-364911-92809+434736+42542-417779</f>
        <v>2601718</v>
      </c>
      <c r="I15" s="14">
        <f>2243614+756325-364911-92809+434736+42542-700730+130720</f>
        <v>2449487</v>
      </c>
      <c r="J15" s="14">
        <f>2243614+756325-364911-92809+434736+42542+233640</f>
        <v>3253137</v>
      </c>
      <c r="K15" s="14">
        <f>2243614+756325-364911-92809+434736+42542+58410</f>
        <v>3077907</v>
      </c>
      <c r="L15" s="14">
        <f>2243614+756325-364911-92809+434736+42542+58410-632874</f>
        <v>2445033</v>
      </c>
      <c r="M15" s="14">
        <f>2243614+756325-364911-92809+434736+42542+58410</f>
        <v>3077907</v>
      </c>
      <c r="N15" s="14">
        <f>2243614+756325-364911-92809+434736+42542+8+58410+590</f>
        <v>3078505</v>
      </c>
      <c r="O15" s="13">
        <f>SUM(C15:N15)</f>
        <v>35081179</v>
      </c>
    </row>
    <row r="16" spans="1:15" ht="28.5" customHeight="1" x14ac:dyDescent="0.25">
      <c r="A16" s="19"/>
      <c r="B16" s="28" t="s">
        <v>49</v>
      </c>
      <c r="C16" s="14"/>
      <c r="D16" s="14"/>
      <c r="E16" s="14"/>
      <c r="F16" s="14"/>
      <c r="G16" s="14"/>
      <c r="H16" s="14">
        <v>100000</v>
      </c>
      <c r="I16" s="14">
        <v>128360</v>
      </c>
      <c r="J16" s="14">
        <f>32100+121276</f>
        <v>153376</v>
      </c>
      <c r="K16" s="14">
        <v>552400</v>
      </c>
      <c r="L16" s="14"/>
      <c r="M16" s="14">
        <v>206400</v>
      </c>
      <c r="N16" s="14"/>
      <c r="O16" s="13">
        <f>SUM(C16:N16)</f>
        <v>1140536</v>
      </c>
    </row>
    <row r="17" spans="1:18" x14ac:dyDescent="0.25">
      <c r="A17" s="19" t="s">
        <v>48</v>
      </c>
      <c r="B17" s="28" t="s">
        <v>47</v>
      </c>
      <c r="C17" s="14">
        <f>(12+44+32+31)*1000+150000</f>
        <v>269000</v>
      </c>
      <c r="D17" s="14">
        <f>(19+12+118+253+31)*1000</f>
        <v>433000</v>
      </c>
      <c r="E17" s="14">
        <f>(1127+11+620+382+31)*1000+37000-1100000</f>
        <v>1108000</v>
      </c>
      <c r="F17" s="14">
        <f>(9+12+76+34+31+200)*1000</f>
        <v>362000</v>
      </c>
      <c r="G17" s="14">
        <f>(408+12+48+35+31-200)*1000</f>
        <v>334000</v>
      </c>
      <c r="H17" s="14">
        <f>(46+12+20+19+31)*1000</f>
        <v>128000</v>
      </c>
      <c r="I17" s="14">
        <f>(12+2+2+31)*1000+150000</f>
        <v>197000</v>
      </c>
      <c r="J17" s="14">
        <f>(12+237+346+31)*1000</f>
        <v>626000</v>
      </c>
      <c r="K17" s="14">
        <f>(1188+11+601+335+31)*1000-1140000+68056</f>
        <v>1094056</v>
      </c>
      <c r="L17" s="14">
        <f>(10+12+27+35+31)*1000+150000</f>
        <v>265000</v>
      </c>
      <c r="M17" s="14">
        <f>(852+11+76+12+31)*1000</f>
        <v>982000</v>
      </c>
      <c r="N17" s="14">
        <f>(241+11+34+15+29)*1000</f>
        <v>330000</v>
      </c>
      <c r="O17" s="13">
        <f>SUM(C17:N17)</f>
        <v>6128056</v>
      </c>
    </row>
    <row r="18" spans="1:18" x14ac:dyDescent="0.25">
      <c r="A18" s="19" t="s">
        <v>46</v>
      </c>
      <c r="B18" s="28" t="s">
        <v>45</v>
      </c>
      <c r="C18" s="14">
        <f>840000+76550</f>
        <v>916550</v>
      </c>
      <c r="D18" s="14">
        <f>840000+76550</f>
        <v>916550</v>
      </c>
      <c r="E18" s="14">
        <f>840000+76550</f>
        <v>916550</v>
      </c>
      <c r="F18" s="14">
        <f>840000+76550</f>
        <v>916550</v>
      </c>
      <c r="G18" s="14">
        <f>840000+76550</f>
        <v>916550</v>
      </c>
      <c r="H18" s="14">
        <f>840000+76550</f>
        <v>916550</v>
      </c>
      <c r="I18" s="14">
        <f>840000+76550</f>
        <v>916550</v>
      </c>
      <c r="J18" s="14">
        <f>840000+76550</f>
        <v>916550</v>
      </c>
      <c r="K18" s="14">
        <f>840000+76550</f>
        <v>916550</v>
      </c>
      <c r="L18" s="14">
        <f>840000+76555+265701</f>
        <v>1182256</v>
      </c>
      <c r="M18" s="14">
        <f>840000+17846+7719+76550+264701</f>
        <v>1206816</v>
      </c>
      <c r="N18" s="14">
        <f>840000+76550+263701</f>
        <v>1180251</v>
      </c>
      <c r="O18" s="13">
        <f>SUM(C18:N18)</f>
        <v>11818273</v>
      </c>
      <c r="Q18" s="17"/>
      <c r="R18" s="17"/>
    </row>
    <row r="19" spans="1:18" x14ac:dyDescent="0.25">
      <c r="A19" s="19" t="s">
        <v>44</v>
      </c>
      <c r="B19" s="18" t="s">
        <v>43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3">
        <f>SUM(C19:N19)</f>
        <v>0</v>
      </c>
    </row>
    <row r="20" spans="1:18" x14ac:dyDescent="0.25">
      <c r="A20" s="19" t="s">
        <v>42</v>
      </c>
      <c r="B20" s="18" t="s">
        <v>41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9"/>
      <c r="O20" s="13">
        <f>SUM(C20:N20)</f>
        <v>0</v>
      </c>
    </row>
    <row r="21" spans="1:18" ht="31.5" x14ac:dyDescent="0.25">
      <c r="A21" s="19"/>
      <c r="B21" s="28" t="s">
        <v>40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13">
        <f>SUM(C21:N21)</f>
        <v>0</v>
      </c>
    </row>
    <row r="22" spans="1:18" ht="17.25" customHeight="1" x14ac:dyDescent="0.25">
      <c r="A22" s="19"/>
      <c r="B22" s="28" t="s">
        <v>39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13">
        <f>SUM(C22:N22)</f>
        <v>0</v>
      </c>
    </row>
    <row r="23" spans="1:18" x14ac:dyDescent="0.25">
      <c r="A23" s="19" t="s">
        <v>38</v>
      </c>
      <c r="B23" s="18" t="s">
        <v>37</v>
      </c>
      <c r="C23" s="26"/>
      <c r="D23" s="26"/>
      <c r="E23" s="26"/>
      <c r="F23" s="26"/>
      <c r="G23" s="26"/>
      <c r="H23" s="26"/>
      <c r="I23" s="26"/>
      <c r="J23" s="26"/>
      <c r="K23" s="26"/>
      <c r="L23" s="26">
        <f>117084290+4728810</f>
        <v>121813100</v>
      </c>
      <c r="M23" s="26">
        <v>29997830</v>
      </c>
      <c r="N23" s="27">
        <v>46025545</v>
      </c>
      <c r="O23" s="13">
        <f>SUM(C23:N23)</f>
        <v>197836475</v>
      </c>
    </row>
    <row r="24" spans="1:18" ht="47.25" x14ac:dyDescent="0.25">
      <c r="A24" s="19"/>
      <c r="B24" s="21" t="s">
        <v>36</v>
      </c>
      <c r="C24" s="26">
        <v>28904</v>
      </c>
      <c r="D24" s="26">
        <v>28904</v>
      </c>
      <c r="E24" s="26">
        <v>28904</v>
      </c>
      <c r="F24" s="26">
        <v>28904</v>
      </c>
      <c r="G24" s="26">
        <v>28904</v>
      </c>
      <c r="H24" s="26">
        <v>28904</v>
      </c>
      <c r="I24" s="26">
        <v>28904</v>
      </c>
      <c r="J24" s="26">
        <v>28904</v>
      </c>
      <c r="K24" s="26">
        <f>1952679+7251</f>
        <v>1959930</v>
      </c>
      <c r="L24" s="26">
        <v>28904</v>
      </c>
      <c r="M24" s="26">
        <f>28904+5</f>
        <v>28909</v>
      </c>
      <c r="N24" s="26">
        <v>28904</v>
      </c>
      <c r="O24" s="13">
        <f>SUM(C24:N24)</f>
        <v>2277879</v>
      </c>
    </row>
    <row r="25" spans="1:18" x14ac:dyDescent="0.25">
      <c r="A25" s="19"/>
      <c r="B25" s="28" t="s">
        <v>35</v>
      </c>
      <c r="C25" s="26"/>
      <c r="D25" s="26"/>
      <c r="E25" s="26"/>
      <c r="F25" s="26"/>
      <c r="G25" s="26"/>
      <c r="H25" s="26"/>
      <c r="I25" s="26"/>
      <c r="J25" s="26">
        <v>3000000</v>
      </c>
      <c r="K25" s="26"/>
      <c r="L25" s="26"/>
      <c r="M25" s="26"/>
      <c r="N25" s="27">
        <v>3000000</v>
      </c>
      <c r="O25" s="13">
        <f>SUM(C25:N25)</f>
        <v>6000000</v>
      </c>
    </row>
    <row r="26" spans="1:18" x14ac:dyDescent="0.25">
      <c r="A26" s="19" t="s">
        <v>34</v>
      </c>
      <c r="B26" s="18" t="s">
        <v>33</v>
      </c>
      <c r="C26" s="26">
        <f>413192+500000</f>
        <v>913192</v>
      </c>
      <c r="D26" s="26">
        <f>98322035-413192-500000</f>
        <v>97408843</v>
      </c>
      <c r="E26" s="26">
        <v>140000</v>
      </c>
      <c r="F26" s="26"/>
      <c r="G26" s="26">
        <f>25+5+99+234696+964900</f>
        <v>1199725</v>
      </c>
      <c r="H26" s="26"/>
      <c r="I26" s="26">
        <f>289419+20902499+822484-13600878</f>
        <v>8413524</v>
      </c>
      <c r="J26" s="26"/>
      <c r="K26" s="26"/>
      <c r="L26" s="26"/>
      <c r="M26" s="26"/>
      <c r="N26" s="27"/>
      <c r="O26" s="13">
        <f>SUM(C26:N26)</f>
        <v>108075284</v>
      </c>
    </row>
    <row r="27" spans="1:18" ht="16.5" thickBot="1" x14ac:dyDescent="0.3">
      <c r="A27" s="16" t="s">
        <v>32</v>
      </c>
      <c r="B27" s="15" t="s">
        <v>31</v>
      </c>
      <c r="C27" s="26"/>
      <c r="D27" s="26">
        <f>C49</f>
        <v>500000</v>
      </c>
      <c r="E27" s="26">
        <f>D49</f>
        <v>91084307</v>
      </c>
      <c r="F27" s="26">
        <f>E49</f>
        <v>90894515</v>
      </c>
      <c r="G27" s="26">
        <f>F49</f>
        <v>90685627</v>
      </c>
      <c r="H27" s="26">
        <f>G49</f>
        <v>90365760</v>
      </c>
      <c r="I27" s="26">
        <f>H49</f>
        <v>61329685</v>
      </c>
      <c r="J27" s="26">
        <f>I49</f>
        <v>34953398</v>
      </c>
      <c r="K27" s="26">
        <f>J49</f>
        <v>4244437</v>
      </c>
      <c r="L27" s="26">
        <f>K49</f>
        <v>4865143</v>
      </c>
      <c r="M27" s="26">
        <f>L49</f>
        <v>125942159</v>
      </c>
      <c r="N27" s="26">
        <f>M49</f>
        <v>154789194</v>
      </c>
      <c r="O27" s="13"/>
    </row>
    <row r="28" spans="1:18" s="8" customFormat="1" ht="27.75" customHeight="1" thickBot="1" x14ac:dyDescent="0.3">
      <c r="A28" s="12"/>
      <c r="B28" s="12" t="s">
        <v>30</v>
      </c>
      <c r="C28" s="11">
        <f>SUM(C15:C27)</f>
        <v>5147143</v>
      </c>
      <c r="D28" s="11">
        <f>SUM(D15:D27)</f>
        <v>102306794</v>
      </c>
      <c r="E28" s="11">
        <f>SUM(E15:E27)</f>
        <v>96297258</v>
      </c>
      <c r="F28" s="11">
        <f>SUM(F15:F27)</f>
        <v>95221466</v>
      </c>
      <c r="G28" s="11">
        <f>SUM(G15:G27)</f>
        <v>96184303</v>
      </c>
      <c r="H28" s="11">
        <f>SUM(H15:H27)</f>
        <v>94140932</v>
      </c>
      <c r="I28" s="11">
        <f>SUM(I15:I27)</f>
        <v>73463510</v>
      </c>
      <c r="J28" s="11">
        <f>SUM(J15:J27)</f>
        <v>42931365</v>
      </c>
      <c r="K28" s="11">
        <f>SUM(K15:K27)</f>
        <v>11845280</v>
      </c>
      <c r="L28" s="11">
        <f>SUM(L15:L27)</f>
        <v>130599436</v>
      </c>
      <c r="M28" s="11">
        <f>SUM(M15:M27)</f>
        <v>161442021</v>
      </c>
      <c r="N28" s="11">
        <f>SUM(N15:N27)</f>
        <v>208432399</v>
      </c>
      <c r="O28" s="10">
        <f>SUM(O14:O27)</f>
        <v>368357682</v>
      </c>
      <c r="P28" s="25"/>
    </row>
    <row r="29" spans="1:18" x14ac:dyDescent="0.25">
      <c r="A29" s="24"/>
      <c r="B29" s="23" t="s">
        <v>29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2"/>
    </row>
    <row r="30" spans="1:18" x14ac:dyDescent="0.25">
      <c r="A30" s="19" t="s">
        <v>28</v>
      </c>
      <c r="B30" s="18" t="s">
        <v>27</v>
      </c>
      <c r="C30" s="14">
        <v>1841663</v>
      </c>
      <c r="D30" s="14">
        <v>1841663</v>
      </c>
      <c r="E30" s="14">
        <v>1841663</v>
      </c>
      <c r="F30" s="14">
        <f>1841663-82280</f>
        <v>1759383</v>
      </c>
      <c r="G30" s="14">
        <v>1841663</v>
      </c>
      <c r="H30" s="14">
        <f>1841663+32868</f>
        <v>1874531</v>
      </c>
      <c r="I30" s="14">
        <f>1841663+300007+105000-151696</f>
        <v>2094974</v>
      </c>
      <c r="J30" s="14">
        <f>1841663-151696</f>
        <v>1689967</v>
      </c>
      <c r="K30" s="14">
        <f>1841663-151696</f>
        <v>1689967</v>
      </c>
      <c r="L30" s="14">
        <f>1841663-151696</f>
        <v>1689967</v>
      </c>
      <c r="M30" s="14">
        <f>1841663-151696</f>
        <v>1689967</v>
      </c>
      <c r="N30" s="14">
        <f>1841663+2800000-300000-151698</f>
        <v>4189965</v>
      </c>
      <c r="O30" s="13">
        <f>SUM(C30:N30)</f>
        <v>24045373</v>
      </c>
      <c r="P30" s="17"/>
      <c r="Q30" s="17"/>
    </row>
    <row r="31" spans="1:18" ht="31.5" x14ac:dyDescent="0.25">
      <c r="A31" s="19" t="s">
        <v>26</v>
      </c>
      <c r="B31" s="21" t="s">
        <v>25</v>
      </c>
      <c r="C31" s="14">
        <v>324480</v>
      </c>
      <c r="D31" s="14">
        <v>324480</v>
      </c>
      <c r="E31" s="14">
        <v>324480</v>
      </c>
      <c r="F31" s="14">
        <f>324480-7199</f>
        <v>317281</v>
      </c>
      <c r="G31" s="14">
        <v>324480</v>
      </c>
      <c r="H31" s="14">
        <f>324480-32868</f>
        <v>291612</v>
      </c>
      <c r="I31" s="14">
        <f>324480+16276-34310</f>
        <v>306446</v>
      </c>
      <c r="J31" s="14">
        <f>324480+52500-34310</f>
        <v>342670</v>
      </c>
      <c r="K31" s="14">
        <f>324480-34310</f>
        <v>290170</v>
      </c>
      <c r="L31" s="14">
        <f>324480-34310</f>
        <v>290170</v>
      </c>
      <c r="M31" s="14">
        <f>324480-34310</f>
        <v>290170</v>
      </c>
      <c r="N31" s="14">
        <f>324480+437504-34313</f>
        <v>727671</v>
      </c>
      <c r="O31" s="13">
        <f>SUM(C31:N31)</f>
        <v>4154110</v>
      </c>
      <c r="Q31" s="17"/>
    </row>
    <row r="32" spans="1:18" x14ac:dyDescent="0.25">
      <c r="A32" s="19" t="s">
        <v>24</v>
      </c>
      <c r="B32" s="18" t="s">
        <v>23</v>
      </c>
      <c r="C32" s="14">
        <f>2391000-270000-500000-100000+180000</f>
        <v>1701000</v>
      </c>
      <c r="D32" s="14">
        <f>1745000+200000+180000</f>
        <v>2125000</v>
      </c>
      <c r="E32" s="14">
        <f>1745000+900000+150000+140000</f>
        <v>2935000</v>
      </c>
      <c r="F32" s="14">
        <f>1745000+50000+160000+89479</f>
        <v>2044479</v>
      </c>
      <c r="G32" s="14">
        <f>1745000+450000+171000+964900</f>
        <v>3330900</v>
      </c>
      <c r="H32" s="14">
        <f>1745000+150000+100000</f>
        <v>1995000</v>
      </c>
      <c r="I32" s="14">
        <f>1745000+300000+150000+40640+822484</f>
        <v>3058124</v>
      </c>
      <c r="J32" s="14">
        <f>1745000+250000+100000</f>
        <v>2095000</v>
      </c>
      <c r="K32" s="14">
        <f>1745000+150000+150000</f>
        <v>2045000</v>
      </c>
      <c r="L32" s="14">
        <f>1745000+60000+171000+491440</f>
        <v>2467440</v>
      </c>
      <c r="M32" s="14">
        <f>1745000+123732+100000+150000+552400+1238250-154300</f>
        <v>3755082</v>
      </c>
      <c r="N32" s="14">
        <f>1745000+194797+246914+4728810-3028250-179576</f>
        <v>3707695</v>
      </c>
      <c r="O32" s="13">
        <f>SUM(C32:N32)</f>
        <v>31259720</v>
      </c>
      <c r="P32" s="17"/>
      <c r="Q32" s="17"/>
    </row>
    <row r="33" spans="1:19" x14ac:dyDescent="0.25">
      <c r="A33" s="19" t="s">
        <v>22</v>
      </c>
      <c r="B33" s="18" t="s">
        <v>21</v>
      </c>
      <c r="C33" s="14">
        <f>150000-20000</f>
        <v>130000</v>
      </c>
      <c r="D33" s="14">
        <f>150000-30000</f>
        <v>120000</v>
      </c>
      <c r="E33" s="14">
        <v>150000</v>
      </c>
      <c r="F33" s="14">
        <f>150000-10000</f>
        <v>140000</v>
      </c>
      <c r="G33" s="14">
        <f>150000-20000</f>
        <v>130000</v>
      </c>
      <c r="H33" s="14">
        <f>150000-10000</f>
        <v>140000</v>
      </c>
      <c r="I33" s="14">
        <f>150000-20000</f>
        <v>130000</v>
      </c>
      <c r="J33" s="14">
        <f>150000-10000</f>
        <v>140000</v>
      </c>
      <c r="K33" s="14">
        <f>150000-20000</f>
        <v>130000</v>
      </c>
      <c r="L33" s="14">
        <f>150000-10000</f>
        <v>140000</v>
      </c>
      <c r="M33" s="14">
        <f>150000</f>
        <v>150000</v>
      </c>
      <c r="N33" s="14">
        <v>1200000</v>
      </c>
      <c r="O33" s="13">
        <f>SUM(C33:N33)</f>
        <v>2700000</v>
      </c>
    </row>
    <row r="34" spans="1:19" x14ac:dyDescent="0.25">
      <c r="A34" s="19" t="s">
        <v>20</v>
      </c>
      <c r="B34" s="18" t="s">
        <v>19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3"/>
    </row>
    <row r="35" spans="1:19" x14ac:dyDescent="0.25">
      <c r="A35" s="19"/>
      <c r="B35" s="18" t="s">
        <v>12</v>
      </c>
      <c r="C35" s="14">
        <v>50000</v>
      </c>
      <c r="D35" s="14"/>
      <c r="E35" s="14"/>
      <c r="F35" s="14"/>
      <c r="G35" s="14"/>
      <c r="H35" s="14"/>
      <c r="I35" s="14"/>
      <c r="J35" s="14">
        <v>50000</v>
      </c>
      <c r="K35" s="14">
        <v>1200000</v>
      </c>
      <c r="L35" s="14"/>
      <c r="M35" s="14"/>
      <c r="N35" s="14"/>
      <c r="O35" s="13">
        <f>SUM(C35:N35)</f>
        <v>1300000</v>
      </c>
    </row>
    <row r="36" spans="1:19" x14ac:dyDescent="0.25">
      <c r="A36" s="19"/>
      <c r="B36" s="18" t="s">
        <v>11</v>
      </c>
      <c r="C36" s="14"/>
      <c r="D36" s="14">
        <v>79850</v>
      </c>
      <c r="E36" s="14">
        <v>50000</v>
      </c>
      <c r="F36" s="14">
        <v>40000</v>
      </c>
      <c r="G36" s="14">
        <f>209100-17600</f>
        <v>191500</v>
      </c>
      <c r="H36" s="14"/>
      <c r="I36" s="14">
        <v>40000</v>
      </c>
      <c r="J36" s="14">
        <v>40000</v>
      </c>
      <c r="K36" s="14">
        <v>625000</v>
      </c>
      <c r="L36" s="14">
        <v>69700</v>
      </c>
      <c r="M36" s="14">
        <f>54300+77111-200</f>
        <v>131211</v>
      </c>
      <c r="N36" s="14">
        <v>79850</v>
      </c>
      <c r="O36" s="13">
        <f>SUM(C36:N36)</f>
        <v>1347111</v>
      </c>
      <c r="P36" s="17"/>
    </row>
    <row r="37" spans="1:19" x14ac:dyDescent="0.25">
      <c r="A37" s="19" t="s">
        <v>18</v>
      </c>
      <c r="B37" s="18" t="s">
        <v>17</v>
      </c>
      <c r="C37" s="14"/>
      <c r="D37" s="14">
        <v>51562</v>
      </c>
      <c r="E37" s="14">
        <v>101600</v>
      </c>
      <c r="F37" s="14">
        <v>234696</v>
      </c>
      <c r="G37" s="14"/>
      <c r="H37" s="14"/>
      <c r="I37" s="14">
        <v>185928</v>
      </c>
      <c r="J37" s="14">
        <f>1999880+25+4098290</f>
        <v>6098195</v>
      </c>
      <c r="K37" s="14"/>
      <c r="L37" s="14"/>
      <c r="M37" s="14">
        <f>280797-152400</f>
        <v>128397</v>
      </c>
      <c r="N37" s="14">
        <f>7741929+117084290-4098290</f>
        <v>120727929</v>
      </c>
      <c r="O37" s="13">
        <f>SUM(C37:N37)</f>
        <v>127528307</v>
      </c>
    </row>
    <row r="38" spans="1:19" x14ac:dyDescent="0.25">
      <c r="A38" s="19" t="s">
        <v>16</v>
      </c>
      <c r="B38" s="18" t="s">
        <v>15</v>
      </c>
      <c r="C38" s="14">
        <v>600000</v>
      </c>
      <c r="D38" s="14">
        <v>2627000</v>
      </c>
      <c r="E38" s="14"/>
      <c r="F38" s="14"/>
      <c r="G38" s="14"/>
      <c r="H38" s="14">
        <f>28510000+104</f>
        <v>28510104</v>
      </c>
      <c r="I38" s="14">
        <v>22500000</v>
      </c>
      <c r="J38" s="14">
        <f>32329386-4098290</f>
        <v>28231096</v>
      </c>
      <c r="K38" s="14"/>
      <c r="L38" s="14"/>
      <c r="M38" s="14">
        <v>508000</v>
      </c>
      <c r="N38" s="14">
        <v>77799289</v>
      </c>
      <c r="O38" s="13">
        <f>SUM(C38:N38)</f>
        <v>160775489</v>
      </c>
    </row>
    <row r="39" spans="1:19" ht="20.25" customHeight="1" x14ac:dyDescent="0.25">
      <c r="A39" s="19" t="s">
        <v>14</v>
      </c>
      <c r="B39" s="18" t="s">
        <v>13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>
        <f>SUM(C39:N39)</f>
        <v>0</v>
      </c>
    </row>
    <row r="40" spans="1:19" ht="20.25" customHeight="1" x14ac:dyDescent="0.25">
      <c r="A40" s="19"/>
      <c r="B40" s="18" t="s">
        <v>12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3">
        <f>SUM(C40:N40)</f>
        <v>0</v>
      </c>
    </row>
    <row r="41" spans="1:19" x14ac:dyDescent="0.25">
      <c r="A41" s="19"/>
      <c r="B41" s="18" t="s">
        <v>11</v>
      </c>
      <c r="C41" s="14"/>
      <c r="D41" s="14">
        <v>2603573</v>
      </c>
      <c r="E41" s="14"/>
      <c r="F41" s="14"/>
      <c r="G41" s="14"/>
      <c r="H41" s="14"/>
      <c r="I41" s="14"/>
      <c r="J41" s="14"/>
      <c r="K41" s="14">
        <v>1000000</v>
      </c>
      <c r="L41" s="14"/>
      <c r="M41" s="14"/>
      <c r="N41" s="14"/>
      <c r="O41" s="13">
        <f>SUM(C41:N41)</f>
        <v>3603573</v>
      </c>
    </row>
    <row r="42" spans="1:19" x14ac:dyDescent="0.25">
      <c r="A42" s="19" t="s">
        <v>10</v>
      </c>
      <c r="B42" s="18" t="s">
        <v>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3">
        <f>SUM(C42:N42)</f>
        <v>0</v>
      </c>
    </row>
    <row r="43" spans="1:19" x14ac:dyDescent="0.25">
      <c r="A43" s="19"/>
      <c r="B43" s="20" t="s">
        <v>8</v>
      </c>
      <c r="C43" s="14"/>
      <c r="D43" s="14">
        <v>1449359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3">
        <f>SUM(C43:N43)</f>
        <v>1449359</v>
      </c>
    </row>
    <row r="44" spans="1:19" x14ac:dyDescent="0.25">
      <c r="A44" s="19"/>
      <c r="B44" s="18" t="s">
        <v>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>
        <f>SUM(C44:N44)</f>
        <v>0</v>
      </c>
    </row>
    <row r="45" spans="1:19" x14ac:dyDescent="0.25">
      <c r="A45" s="19"/>
      <c r="B45" s="18" t="s">
        <v>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3">
        <f>SUM(C45:N45)</f>
        <v>0</v>
      </c>
    </row>
    <row r="46" spans="1:19" x14ac:dyDescent="0.25">
      <c r="A46" s="19" t="s">
        <v>5</v>
      </c>
      <c r="B46" s="18" t="s">
        <v>4</v>
      </c>
      <c r="C46" s="14"/>
      <c r="D46" s="14"/>
      <c r="E46" s="14"/>
      <c r="F46" s="14"/>
      <c r="G46" s="14"/>
      <c r="H46" s="14"/>
      <c r="I46" s="14">
        <f>20902499-700730+130720+467820+32100-128360-40640+128360-2171944-632874+206400-1238250-677368+4098290+3028250-13209633</f>
        <v>10194640</v>
      </c>
      <c r="J46" s="14"/>
      <c r="K46" s="14"/>
      <c r="L46" s="14"/>
      <c r="M46" s="14"/>
      <c r="N46" s="14"/>
      <c r="O46" s="13">
        <f>SUM(C46:N46)</f>
        <v>10194640</v>
      </c>
      <c r="P46" s="17"/>
    </row>
    <row r="47" spans="1:19" ht="16.5" thickBot="1" x14ac:dyDescent="0.3">
      <c r="A47" s="16" t="s">
        <v>3</v>
      </c>
      <c r="B47" s="15" t="s">
        <v>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3">
        <f>SUM(C47:N47)</f>
        <v>0</v>
      </c>
    </row>
    <row r="48" spans="1:19" s="8" customFormat="1" ht="24" customHeight="1" thickBot="1" x14ac:dyDescent="0.3">
      <c r="A48" s="12"/>
      <c r="B48" s="12" t="s">
        <v>1</v>
      </c>
      <c r="C48" s="11">
        <f>SUM(C30:C47)</f>
        <v>4647143</v>
      </c>
      <c r="D48" s="11">
        <f>SUM(D30:D47)</f>
        <v>11222487</v>
      </c>
      <c r="E48" s="11">
        <f>SUM(E30:E47)</f>
        <v>5402743</v>
      </c>
      <c r="F48" s="11">
        <f>SUM(F30:F47)</f>
        <v>4535839</v>
      </c>
      <c r="G48" s="11">
        <f>SUM(G30:G47)</f>
        <v>5818543</v>
      </c>
      <c r="H48" s="11">
        <f>SUM(H30:H47)</f>
        <v>32811247</v>
      </c>
      <c r="I48" s="11">
        <f>SUM(I30:I47)</f>
        <v>38510112</v>
      </c>
      <c r="J48" s="11">
        <f>SUM(J30:J47)</f>
        <v>38686928</v>
      </c>
      <c r="K48" s="11">
        <f>SUM(K30:K47)</f>
        <v>6980137</v>
      </c>
      <c r="L48" s="11">
        <f>SUM(L30:L47)</f>
        <v>4657277</v>
      </c>
      <c r="M48" s="11">
        <f>SUM(M30:M47)</f>
        <v>6652827</v>
      </c>
      <c r="N48" s="11">
        <f>SUM(N30:N47)</f>
        <v>208432399</v>
      </c>
      <c r="O48" s="10">
        <f>SUM(O30:O47)</f>
        <v>368357682</v>
      </c>
      <c r="S48" s="9"/>
    </row>
    <row r="49" spans="1:15" ht="26.25" customHeight="1" thickBot="1" x14ac:dyDescent="0.3">
      <c r="A49" s="7"/>
      <c r="B49" s="6" t="s">
        <v>0</v>
      </c>
      <c r="C49" s="5">
        <f>C28-C48</f>
        <v>500000</v>
      </c>
      <c r="D49" s="5">
        <f>D28-D48</f>
        <v>91084307</v>
      </c>
      <c r="E49" s="5">
        <f>E28-E48</f>
        <v>90894515</v>
      </c>
      <c r="F49" s="5">
        <f>F28-F48</f>
        <v>90685627</v>
      </c>
      <c r="G49" s="5">
        <f>G28-G48</f>
        <v>90365760</v>
      </c>
      <c r="H49" s="5">
        <f>H28-H48</f>
        <v>61329685</v>
      </c>
      <c r="I49" s="5">
        <f>I28-I48</f>
        <v>34953398</v>
      </c>
      <c r="J49" s="5">
        <f>J28-J48</f>
        <v>4244437</v>
      </c>
      <c r="K49" s="5">
        <f>K28-K48</f>
        <v>4865143</v>
      </c>
      <c r="L49" s="5">
        <f>L28-L48</f>
        <v>125942159</v>
      </c>
      <c r="M49" s="5">
        <f>M28-M48</f>
        <v>154789194</v>
      </c>
      <c r="N49" s="5">
        <f>N28-N48</f>
        <v>0</v>
      </c>
      <c r="O49" s="4"/>
    </row>
    <row r="51" spans="1:15" x14ac:dyDescent="0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O52" s="3"/>
    </row>
    <row r="53" spans="1:15" x14ac:dyDescent="0.25">
      <c r="O53" s="3"/>
    </row>
    <row r="54" spans="1:15" x14ac:dyDescent="0.25">
      <c r="O54" s="3"/>
    </row>
    <row r="55" spans="1:15" x14ac:dyDescent="0.25">
      <c r="O55" s="3"/>
    </row>
  </sheetData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11.mell. -ei.felh.ütemt.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2021-05-12T07:09:08Z</dcterms:created>
  <dcterms:modified xsi:type="dcterms:W3CDTF">2021-05-12T07:13:21Z</dcterms:modified>
</cp:coreProperties>
</file>