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közös\Hivatali Dokumentumok\_KÖZÖS DOKUMENTUMOK\_PÉNZÜGY\2020. év\Költségvetés\Abda\KT\IV. n. év\"/>
    </mc:Choice>
  </mc:AlternateContent>
  <xr:revisionPtr revIDLastSave="0" documentId="13_ncr:1_{942D42AD-42D1-4E8C-800B-067C26273D96}" xr6:coauthVersionLast="36" xr6:coauthVersionMax="46" xr10:uidLastSave="{00000000-0000-0000-0000-000000000000}"/>
  <bookViews>
    <workbookView xWindow="28680" yWindow="-120" windowWidth="29040" windowHeight="15840" tabRatio="944" activeTab="10" xr2:uid="{00000000-000D-0000-FFFF-FFFF00000000}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0" r:id="rId9"/>
    <sheet name="8. Létszám" sheetId="195" r:id="rId10"/>
    <sheet name="9. Adósságk." sheetId="198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</definedNames>
  <calcPr calcId="191029"/>
</workbook>
</file>

<file path=xl/calcChain.xml><?xml version="1.0" encoding="utf-8"?>
<calcChain xmlns="http://schemas.openxmlformats.org/spreadsheetml/2006/main">
  <c r="I59" i="190" l="1"/>
  <c r="O6" i="196" l="1"/>
  <c r="O7" i="196"/>
  <c r="O9" i="196"/>
  <c r="O10" i="196"/>
  <c r="O18" i="196"/>
  <c r="O19" i="196"/>
  <c r="O27" i="196" s="1"/>
  <c r="O23" i="196"/>
  <c r="O24" i="196"/>
  <c r="J33" i="197"/>
  <c r="V31" i="201"/>
  <c r="V30" i="201"/>
  <c r="U8" i="201"/>
  <c r="T8" i="201"/>
  <c r="S8" i="201"/>
  <c r="M13" i="201"/>
  <c r="M12" i="201"/>
  <c r="L16" i="201"/>
  <c r="L29" i="201" s="1"/>
  <c r="U28" i="201"/>
  <c r="U21" i="201"/>
  <c r="U16" i="201"/>
  <c r="T16" i="201"/>
  <c r="H29" i="201"/>
  <c r="I29" i="201"/>
  <c r="N29" i="201"/>
  <c r="W29" i="201"/>
  <c r="W33" i="201" s="1"/>
  <c r="X33" i="201"/>
  <c r="N32" i="201"/>
  <c r="O32" i="201"/>
  <c r="P32" i="201"/>
  <c r="Q32" i="201"/>
  <c r="R32" i="201"/>
  <c r="S32" i="201"/>
  <c r="T32" i="201"/>
  <c r="U32" i="201"/>
  <c r="W32" i="201"/>
  <c r="X32" i="201"/>
  <c r="Y32" i="201"/>
  <c r="M32" i="201"/>
  <c r="Q28" i="201"/>
  <c r="P28" i="201"/>
  <c r="Q16" i="201"/>
  <c r="P16" i="201"/>
  <c r="M18" i="201"/>
  <c r="M17" i="201"/>
  <c r="O28" i="196" l="1"/>
  <c r="O30" i="196" s="1"/>
  <c r="U29" i="201"/>
  <c r="U33" i="201" s="1"/>
  <c r="E50" i="202" l="1"/>
  <c r="F50" i="202"/>
  <c r="G50" i="202"/>
  <c r="H50" i="202"/>
  <c r="J50" i="202"/>
  <c r="K50" i="202"/>
  <c r="L50" i="202"/>
  <c r="Q51" i="202"/>
  <c r="Q36" i="202"/>
  <c r="P36" i="202"/>
  <c r="H25" i="202"/>
  <c r="G11" i="202"/>
  <c r="H11" i="202"/>
  <c r="I39" i="41" l="1"/>
  <c r="V13" i="201" l="1"/>
  <c r="H12" i="201"/>
  <c r="H16" i="201" s="1"/>
  <c r="J32" i="201"/>
  <c r="K32" i="201"/>
  <c r="L32" i="201"/>
  <c r="J24" i="201"/>
  <c r="K24" i="201"/>
  <c r="J23" i="201"/>
  <c r="K23" i="201"/>
  <c r="J22" i="201"/>
  <c r="K22" i="201"/>
  <c r="J28" i="201"/>
  <c r="K28" i="201"/>
  <c r="L28" i="201"/>
  <c r="J21" i="201"/>
  <c r="K21" i="201"/>
  <c r="L21" i="201"/>
  <c r="V12" i="201"/>
  <c r="J8" i="201"/>
  <c r="K8" i="201"/>
  <c r="L8" i="201"/>
  <c r="F32" i="201"/>
  <c r="G32" i="201"/>
  <c r="H32" i="201"/>
  <c r="H33" i="201" s="1"/>
  <c r="F28" i="201"/>
  <c r="G28" i="201"/>
  <c r="H28" i="201"/>
  <c r="F21" i="201"/>
  <c r="G21" i="201"/>
  <c r="H21" i="201"/>
  <c r="N21" i="201"/>
  <c r="O21" i="201"/>
  <c r="P21" i="201"/>
  <c r="P29" i="201" s="1"/>
  <c r="P33" i="201" s="1"/>
  <c r="Q21" i="201"/>
  <c r="Q29" i="201" s="1"/>
  <c r="Q33" i="201" s="1"/>
  <c r="F16" i="201"/>
  <c r="G16" i="201"/>
  <c r="U47" i="41" l="1"/>
  <c r="Q47" i="41"/>
  <c r="V47" i="41"/>
  <c r="S49" i="41"/>
  <c r="P49" i="41"/>
  <c r="O49" i="41"/>
  <c r="F49" i="41"/>
  <c r="G49" i="41"/>
  <c r="I49" i="41"/>
  <c r="J49" i="41"/>
  <c r="K49" i="41"/>
  <c r="M48" i="202"/>
  <c r="M39" i="202"/>
  <c r="J24" i="202"/>
  <c r="K24" i="202"/>
  <c r="J23" i="202"/>
  <c r="K23" i="202"/>
  <c r="L23" i="202"/>
  <c r="J19" i="202"/>
  <c r="K19" i="202"/>
  <c r="J18" i="202"/>
  <c r="K18" i="202"/>
  <c r="I18" i="202"/>
  <c r="J11" i="202"/>
  <c r="K11" i="202"/>
  <c r="L11" i="202"/>
  <c r="L17" i="202" s="1"/>
  <c r="K25" i="202" l="1"/>
  <c r="J25" i="202"/>
  <c r="Z48" i="202"/>
  <c r="T47" i="41"/>
  <c r="V17" i="41"/>
  <c r="U17" i="41"/>
  <c r="Q17" i="41"/>
  <c r="T17" i="41" s="1"/>
  <c r="M10" i="202"/>
  <c r="Z10" i="202" s="1"/>
  <c r="T51" i="202"/>
  <c r="U51" i="202"/>
  <c r="O40" i="202"/>
  <c r="P40" i="202"/>
  <c r="Q40" i="202"/>
  <c r="R40" i="202"/>
  <c r="S40" i="202"/>
  <c r="T40" i="202"/>
  <c r="U40" i="202"/>
  <c r="T36" i="202"/>
  <c r="U36" i="202"/>
  <c r="T34" i="202"/>
  <c r="U34" i="202"/>
  <c r="J47" i="202"/>
  <c r="K47" i="202"/>
  <c r="L47" i="202"/>
  <c r="J45" i="202"/>
  <c r="K45" i="202"/>
  <c r="L45" i="202"/>
  <c r="J43" i="202"/>
  <c r="K43" i="202"/>
  <c r="L43" i="202"/>
  <c r="J40" i="202"/>
  <c r="K40" i="202"/>
  <c r="L40" i="202"/>
  <c r="J36" i="202"/>
  <c r="K36" i="202"/>
  <c r="L36" i="202"/>
  <c r="J34" i="202"/>
  <c r="K34" i="202"/>
  <c r="L34" i="202"/>
  <c r="V27" i="202"/>
  <c r="F47" i="202"/>
  <c r="G47" i="202"/>
  <c r="H47" i="202"/>
  <c r="F45" i="202"/>
  <c r="G45" i="202"/>
  <c r="H45" i="202"/>
  <c r="F43" i="202"/>
  <c r="G43" i="202"/>
  <c r="H43" i="202"/>
  <c r="F40" i="202"/>
  <c r="G40" i="202"/>
  <c r="H40" i="202"/>
  <c r="H36" i="202"/>
  <c r="H34" i="202"/>
  <c r="Q34" i="202"/>
  <c r="G25" i="202"/>
  <c r="H16" i="202"/>
  <c r="L60" i="194"/>
  <c r="L56" i="194"/>
  <c r="K34" i="194"/>
  <c r="K31" i="194" s="1"/>
  <c r="L40" i="194"/>
  <c r="H48" i="194"/>
  <c r="I48" i="194"/>
  <c r="H31" i="194"/>
  <c r="I31" i="194"/>
  <c r="J44" i="194"/>
  <c r="J43" i="194"/>
  <c r="L47" i="194"/>
  <c r="J46" i="194"/>
  <c r="L37" i="194"/>
  <c r="L44" i="194"/>
  <c r="L36" i="194"/>
  <c r="L35" i="194"/>
  <c r="L34" i="194"/>
  <c r="L43" i="194"/>
  <c r="L33" i="194"/>
  <c r="L29" i="194"/>
  <c r="L30" i="194"/>
  <c r="L16" i="194"/>
  <c r="L23" i="194"/>
  <c r="L17" i="194"/>
  <c r="L20" i="194"/>
  <c r="J66" i="194"/>
  <c r="J64" i="194"/>
  <c r="J62" i="194"/>
  <c r="J59" i="194"/>
  <c r="J58" i="194"/>
  <c r="J53" i="194"/>
  <c r="J52" i="194"/>
  <c r="J49" i="194"/>
  <c r="J47" i="194"/>
  <c r="J45" i="194"/>
  <c r="J42" i="194"/>
  <c r="J41" i="194"/>
  <c r="J40" i="194"/>
  <c r="J39" i="194"/>
  <c r="J38" i="194"/>
  <c r="J37" i="194"/>
  <c r="J36" i="194"/>
  <c r="J32" i="194"/>
  <c r="J30" i="194"/>
  <c r="J26" i="194"/>
  <c r="J25" i="194"/>
  <c r="J24" i="194"/>
  <c r="J23" i="194"/>
  <c r="J22" i="194"/>
  <c r="J21" i="194"/>
  <c r="J20" i="194"/>
  <c r="J18" i="194"/>
  <c r="J14" i="194"/>
  <c r="J12" i="194"/>
  <c r="J11" i="194"/>
  <c r="J9" i="194"/>
  <c r="J8" i="194"/>
  <c r="J16" i="194"/>
  <c r="I47" i="190"/>
  <c r="I57" i="190"/>
  <c r="I46" i="190"/>
  <c r="I54" i="190"/>
  <c r="I45" i="190"/>
  <c r="I50" i="190"/>
  <c r="I51" i="190"/>
  <c r="I38" i="190"/>
  <c r="I25" i="190"/>
  <c r="I24" i="190"/>
  <c r="G58" i="190"/>
  <c r="G57" i="190"/>
  <c r="G56" i="190"/>
  <c r="G55" i="190"/>
  <c r="G54" i="190"/>
  <c r="G53" i="190"/>
  <c r="G52" i="190"/>
  <c r="G51" i="190"/>
  <c r="G50" i="190"/>
  <c r="G49" i="190"/>
  <c r="G48" i="190"/>
  <c r="G47" i="190"/>
  <c r="G46" i="190"/>
  <c r="G45" i="190"/>
  <c r="G44" i="190"/>
  <c r="G43" i="190"/>
  <c r="G42" i="190"/>
  <c r="G41" i="190"/>
  <c r="G39" i="190"/>
  <c r="G38" i="190"/>
  <c r="G36" i="190"/>
  <c r="G34" i="190"/>
  <c r="G33" i="190"/>
  <c r="G30" i="190"/>
  <c r="G28" i="190"/>
  <c r="G26" i="190"/>
  <c r="G25" i="190"/>
  <c r="G24" i="190"/>
  <c r="G23" i="190"/>
  <c r="G22" i="190"/>
  <c r="G20" i="190"/>
  <c r="G19" i="190"/>
  <c r="G18" i="190"/>
  <c r="G17" i="190"/>
  <c r="G16" i="190"/>
  <c r="G15" i="190"/>
  <c r="G14" i="190"/>
  <c r="G12" i="190"/>
  <c r="G10" i="190"/>
  <c r="G9" i="190"/>
  <c r="P19" i="197"/>
  <c r="Q19" i="197"/>
  <c r="M35" i="197"/>
  <c r="N35" i="197"/>
  <c r="M19" i="197"/>
  <c r="N19" i="197"/>
  <c r="O34" i="197"/>
  <c r="O32" i="197"/>
  <c r="O31" i="197"/>
  <c r="O30" i="197"/>
  <c r="O29" i="197"/>
  <c r="O28" i="197"/>
  <c r="O27" i="197"/>
  <c r="O26" i="197"/>
  <c r="O25" i="197"/>
  <c r="O24" i="197"/>
  <c r="O23" i="197"/>
  <c r="O22" i="197"/>
  <c r="O21" i="197"/>
  <c r="O20" i="197"/>
  <c r="O17" i="197"/>
  <c r="O16" i="197"/>
  <c r="O15" i="197"/>
  <c r="O14" i="197"/>
  <c r="O13" i="197"/>
  <c r="O12" i="197"/>
  <c r="O11" i="197"/>
  <c r="O10" i="197"/>
  <c r="O9" i="197"/>
  <c r="O7" i="197"/>
  <c r="F34" i="197"/>
  <c r="F31" i="197"/>
  <c r="F30" i="197"/>
  <c r="F29" i="197"/>
  <c r="F28" i="197"/>
  <c r="F25" i="197"/>
  <c r="F23" i="197"/>
  <c r="F22" i="197"/>
  <c r="F18" i="197"/>
  <c r="F15" i="197"/>
  <c r="F14" i="197"/>
  <c r="F13" i="197"/>
  <c r="F12" i="197"/>
  <c r="F11" i="197"/>
  <c r="F10" i="197"/>
  <c r="F9" i="197"/>
  <c r="F8" i="197"/>
  <c r="F7" i="197"/>
  <c r="Y28" i="196"/>
  <c r="Y30" i="196" s="1"/>
  <c r="Z29" i="196"/>
  <c r="Z24" i="196"/>
  <c r="Z23" i="196"/>
  <c r="Z22" i="196"/>
  <c r="Z21" i="196"/>
  <c r="Z20" i="196"/>
  <c r="Z19" i="196"/>
  <c r="Z17" i="196"/>
  <c r="Z16" i="196"/>
  <c r="R27" i="196"/>
  <c r="S27" i="196"/>
  <c r="U27" i="196"/>
  <c r="D19" i="196"/>
  <c r="D27" i="196" s="1"/>
  <c r="E19" i="196"/>
  <c r="E27" i="196" s="1"/>
  <c r="F21" i="196"/>
  <c r="T29" i="196"/>
  <c r="T24" i="196"/>
  <c r="T23" i="196"/>
  <c r="T22" i="196"/>
  <c r="T21" i="196"/>
  <c r="T20" i="196"/>
  <c r="T19" i="196"/>
  <c r="T17" i="196"/>
  <c r="T16" i="196"/>
  <c r="T15" i="196"/>
  <c r="T13" i="196"/>
  <c r="T12" i="196"/>
  <c r="J19" i="196"/>
  <c r="J27" i="196" s="1"/>
  <c r="K19" i="196"/>
  <c r="K27" i="196" s="1"/>
  <c r="J18" i="196"/>
  <c r="K18" i="196"/>
  <c r="L22" i="196"/>
  <c r="L21" i="196"/>
  <c r="D18" i="196"/>
  <c r="E18" i="196"/>
  <c r="F11" i="196"/>
  <c r="F8" i="196"/>
  <c r="N29" i="5"/>
  <c r="N28" i="5"/>
  <c r="N25" i="5"/>
  <c r="N24" i="5"/>
  <c r="N23" i="5"/>
  <c r="N22" i="5"/>
  <c r="L24" i="201" s="1"/>
  <c r="N21" i="5"/>
  <c r="L23" i="201" s="1"/>
  <c r="N20" i="5"/>
  <c r="L22" i="201" s="1"/>
  <c r="N18" i="5"/>
  <c r="N17" i="5"/>
  <c r="N16" i="5"/>
  <c r="N15" i="5"/>
  <c r="N13" i="5"/>
  <c r="N12" i="5"/>
  <c r="N11" i="5"/>
  <c r="N10" i="5"/>
  <c r="N9" i="5"/>
  <c r="N8" i="5"/>
  <c r="N6" i="5"/>
  <c r="N5" i="5"/>
  <c r="H29" i="5"/>
  <c r="H28" i="5"/>
  <c r="H25" i="5"/>
  <c r="T25" i="5" s="1"/>
  <c r="H24" i="5"/>
  <c r="T24" i="5" s="1"/>
  <c r="H23" i="5"/>
  <c r="T23" i="5" s="1"/>
  <c r="H18" i="5"/>
  <c r="T18" i="5" s="1"/>
  <c r="H17" i="5"/>
  <c r="H16" i="5"/>
  <c r="T16" i="5" s="1"/>
  <c r="H15" i="5"/>
  <c r="T15" i="5" s="1"/>
  <c r="H12" i="5"/>
  <c r="T12" i="5" s="1"/>
  <c r="H11" i="5"/>
  <c r="T11" i="5" s="1"/>
  <c r="H10" i="5"/>
  <c r="T10" i="5" s="1"/>
  <c r="H9" i="5"/>
  <c r="T9" i="5" s="1"/>
  <c r="H8" i="5"/>
  <c r="T8" i="5" s="1"/>
  <c r="H6" i="5"/>
  <c r="T6" i="5" s="1"/>
  <c r="H5" i="5"/>
  <c r="T5" i="5" s="1"/>
  <c r="E49" i="41"/>
  <c r="H47" i="41"/>
  <c r="H14" i="41"/>
  <c r="N48" i="41"/>
  <c r="N45" i="41"/>
  <c r="N43" i="41"/>
  <c r="N41" i="41"/>
  <c r="N38" i="41"/>
  <c r="N37" i="41"/>
  <c r="N36" i="41"/>
  <c r="N34" i="41"/>
  <c r="N32" i="41"/>
  <c r="N31" i="41"/>
  <c r="N30" i="41"/>
  <c r="N29" i="41"/>
  <c r="N28" i="41"/>
  <c r="N27" i="41"/>
  <c r="N26" i="41"/>
  <c r="N25" i="41"/>
  <c r="N23" i="41"/>
  <c r="L24" i="202" s="1"/>
  <c r="N21" i="41"/>
  <c r="N20" i="41"/>
  <c r="N19" i="41"/>
  <c r="N18" i="41"/>
  <c r="L19" i="202" s="1"/>
  <c r="N17" i="41"/>
  <c r="L18" i="202" s="1"/>
  <c r="M18" i="202" s="1"/>
  <c r="Z18" i="202" s="1"/>
  <c r="N14" i="41"/>
  <c r="N13" i="41"/>
  <c r="N12" i="41"/>
  <c r="N11" i="41"/>
  <c r="N9" i="41"/>
  <c r="N8" i="41"/>
  <c r="N7" i="41"/>
  <c r="N6" i="41"/>
  <c r="N5" i="41"/>
  <c r="H48" i="41"/>
  <c r="H45" i="41"/>
  <c r="H43" i="41"/>
  <c r="H38" i="41"/>
  <c r="H37" i="41"/>
  <c r="H36" i="41"/>
  <c r="H34" i="41"/>
  <c r="H32" i="41"/>
  <c r="H31" i="41"/>
  <c r="H30" i="41"/>
  <c r="H29" i="41"/>
  <c r="H28" i="41"/>
  <c r="H27" i="41"/>
  <c r="H26" i="41"/>
  <c r="H25" i="41"/>
  <c r="H23" i="41"/>
  <c r="H21" i="41"/>
  <c r="H20" i="41"/>
  <c r="H19" i="41"/>
  <c r="H18" i="41"/>
  <c r="H17" i="41"/>
  <c r="H12" i="41"/>
  <c r="H11" i="41"/>
  <c r="H9" i="41"/>
  <c r="H8" i="41"/>
  <c r="H6" i="41"/>
  <c r="H5" i="41"/>
  <c r="P51" i="202"/>
  <c r="P34" i="202"/>
  <c r="P11" i="202"/>
  <c r="P17" i="202" s="1"/>
  <c r="O11" i="202"/>
  <c r="O17" i="202" s="1"/>
  <c r="P25" i="202"/>
  <c r="O25" i="202"/>
  <c r="G36" i="202"/>
  <c r="G34" i="202"/>
  <c r="S28" i="201"/>
  <c r="S21" i="201"/>
  <c r="S16" i="201"/>
  <c r="G8" i="201"/>
  <c r="J16" i="201"/>
  <c r="S51" i="202"/>
  <c r="S36" i="202"/>
  <c r="S34" i="202"/>
  <c r="J16" i="202"/>
  <c r="J17" i="202" s="1"/>
  <c r="F16" i="202"/>
  <c r="G16" i="202"/>
  <c r="F11" i="202"/>
  <c r="J28" i="196" l="1"/>
  <c r="J30" i="196" s="1"/>
  <c r="S29" i="201"/>
  <c r="S33" i="201" s="1"/>
  <c r="J29" i="201"/>
  <c r="J33" i="201" s="1"/>
  <c r="P41" i="202"/>
  <c r="P52" i="202" s="1"/>
  <c r="Q41" i="202"/>
  <c r="Q52" i="202" s="1"/>
  <c r="H49" i="41"/>
  <c r="T28" i="5"/>
  <c r="T29" i="5"/>
  <c r="J34" i="194"/>
  <c r="L25" i="202"/>
  <c r="L41" i="202" s="1"/>
  <c r="U41" i="202"/>
  <c r="U52" i="202" s="1"/>
  <c r="T17" i="5"/>
  <c r="T41" i="202"/>
  <c r="T52" i="202" s="1"/>
  <c r="L33" i="201"/>
  <c r="G29" i="201"/>
  <c r="G33" i="201" s="1"/>
  <c r="K51" i="202"/>
  <c r="J51" i="202"/>
  <c r="L51" i="202"/>
  <c r="G17" i="202"/>
  <c r="G41" i="202" s="1"/>
  <c r="F51" i="202"/>
  <c r="H51" i="202"/>
  <c r="G51" i="202"/>
  <c r="J41" i="202"/>
  <c r="H17" i="202"/>
  <c r="H41" i="202" s="1"/>
  <c r="F17" i="202"/>
  <c r="S41" i="202"/>
  <c r="S52" i="202" s="1"/>
  <c r="K28" i="196"/>
  <c r="K30" i="196" s="1"/>
  <c r="E28" i="196"/>
  <c r="E30" i="196" s="1"/>
  <c r="J60" i="194"/>
  <c r="J56" i="194"/>
  <c r="L52" i="202" l="1"/>
  <c r="J52" i="202"/>
  <c r="G52" i="202"/>
  <c r="H52" i="202"/>
  <c r="L52" i="194"/>
  <c r="K54" i="194"/>
  <c r="L42" i="194"/>
  <c r="L41" i="194"/>
  <c r="K15" i="194"/>
  <c r="L31" i="194" l="1"/>
  <c r="I10" i="41"/>
  <c r="L15" i="194" l="1"/>
  <c r="H21" i="190" l="1"/>
  <c r="I37" i="190"/>
  <c r="H37" i="190"/>
  <c r="E37" i="190"/>
  <c r="H35" i="190"/>
  <c r="E35" i="190"/>
  <c r="I29" i="190"/>
  <c r="I31" i="190" s="1"/>
  <c r="H29" i="190"/>
  <c r="E29" i="190"/>
  <c r="E31" i="190" s="1"/>
  <c r="E21" i="190"/>
  <c r="I13" i="190"/>
  <c r="H13" i="190"/>
  <c r="E13" i="190"/>
  <c r="I11" i="190"/>
  <c r="H11" i="190"/>
  <c r="E11" i="190"/>
  <c r="E27" i="190" s="1"/>
  <c r="I8" i="190"/>
  <c r="H8" i="190"/>
  <c r="E8" i="190"/>
  <c r="I21" i="190"/>
  <c r="D28" i="196"/>
  <c r="D30" i="196" s="1"/>
  <c r="H31" i="190" l="1"/>
  <c r="I27" i="190"/>
  <c r="I32" i="190" s="1"/>
  <c r="E32" i="190"/>
  <c r="H27" i="190"/>
  <c r="V8" i="5"/>
  <c r="U5" i="5"/>
  <c r="O19" i="5"/>
  <c r="F24" i="41"/>
  <c r="H13" i="41"/>
  <c r="J10" i="41"/>
  <c r="V9" i="41"/>
  <c r="U9" i="41"/>
  <c r="T9" i="41" s="1"/>
  <c r="J19" i="5"/>
  <c r="I19" i="5"/>
  <c r="E19" i="5"/>
  <c r="H32" i="190" l="1"/>
  <c r="H19" i="5"/>
  <c r="AA18" i="196"/>
  <c r="AA28" i="196" s="1"/>
  <c r="AA30" i="196" s="1"/>
  <c r="AB18" i="196"/>
  <c r="AB28" i="196" s="1"/>
  <c r="AB30" i="196" s="1"/>
  <c r="X12" i="196"/>
  <c r="Z12" i="196" s="1"/>
  <c r="X13" i="196"/>
  <c r="Z13" i="196" s="1"/>
  <c r="X15" i="196"/>
  <c r="Z15" i="196" s="1"/>
  <c r="V27" i="196"/>
  <c r="Q33" i="197"/>
  <c r="Q35" i="197" s="1"/>
  <c r="U18" i="196"/>
  <c r="V18" i="196"/>
  <c r="T28" i="201"/>
  <c r="T21" i="201"/>
  <c r="T29" i="201" s="1"/>
  <c r="T33" i="201" s="1"/>
  <c r="V20" i="201"/>
  <c r="V19" i="201"/>
  <c r="V18" i="201"/>
  <c r="V17" i="201"/>
  <c r="K16" i="201"/>
  <c r="V14" i="201"/>
  <c r="V15" i="201"/>
  <c r="O51" i="202"/>
  <c r="R36" i="202"/>
  <c r="O36" i="202"/>
  <c r="V28" i="202"/>
  <c r="V29" i="202"/>
  <c r="V30" i="202"/>
  <c r="V31" i="202"/>
  <c r="V32" i="202"/>
  <c r="V33" i="202"/>
  <c r="F36" i="202"/>
  <c r="K16" i="202"/>
  <c r="K17" i="202" s="1"/>
  <c r="V21" i="201" l="1"/>
  <c r="K29" i="201"/>
  <c r="K33" i="201" s="1"/>
  <c r="P33" i="197"/>
  <c r="P35" i="197" s="1"/>
  <c r="K41" i="202"/>
  <c r="K52" i="202" s="1"/>
  <c r="U28" i="196"/>
  <c r="V28" i="196"/>
  <c r="V30" i="196" s="1"/>
  <c r="M19" i="196"/>
  <c r="M27" i="196" s="1"/>
  <c r="N19" i="196"/>
  <c r="N27" i="196" s="1"/>
  <c r="M18" i="196"/>
  <c r="AA31" i="196" s="1"/>
  <c r="N18" i="196"/>
  <c r="AB31" i="196" s="1"/>
  <c r="U30" i="196" l="1"/>
  <c r="N28" i="196"/>
  <c r="N30" i="196" s="1"/>
  <c r="M28" i="196"/>
  <c r="M30" i="196" s="1"/>
  <c r="R48" i="41"/>
  <c r="R49" i="41" s="1"/>
  <c r="V48" i="41"/>
  <c r="V49" i="41" s="1"/>
  <c r="V45" i="41"/>
  <c r="V43" i="41"/>
  <c r="V41" i="41"/>
  <c r="V38" i="41"/>
  <c r="V37" i="41"/>
  <c r="V36" i="41"/>
  <c r="V34" i="41"/>
  <c r="V32" i="41"/>
  <c r="V31" i="41"/>
  <c r="V30" i="41"/>
  <c r="V29" i="41"/>
  <c r="V28" i="41"/>
  <c r="V27" i="41"/>
  <c r="V26" i="41"/>
  <c r="V25" i="41"/>
  <c r="V23" i="41"/>
  <c r="V21" i="41"/>
  <c r="V20" i="41"/>
  <c r="V19" i="41"/>
  <c r="V18" i="41"/>
  <c r="V14" i="41"/>
  <c r="V13" i="41"/>
  <c r="V12" i="41"/>
  <c r="V11" i="41"/>
  <c r="V8" i="41"/>
  <c r="V7" i="41"/>
  <c r="V6" i="41"/>
  <c r="V5" i="41"/>
  <c r="U48" i="41"/>
  <c r="U49" i="41" s="1"/>
  <c r="U45" i="41"/>
  <c r="U43" i="41"/>
  <c r="U41" i="41"/>
  <c r="U38" i="41"/>
  <c r="U37" i="41"/>
  <c r="U36" i="41"/>
  <c r="U34" i="41"/>
  <c r="U32" i="41"/>
  <c r="U31" i="41"/>
  <c r="U30" i="41"/>
  <c r="U29" i="41"/>
  <c r="U28" i="41"/>
  <c r="U27" i="41"/>
  <c r="U26" i="41"/>
  <c r="U25" i="41"/>
  <c r="U23" i="41"/>
  <c r="U21" i="41"/>
  <c r="U20" i="41"/>
  <c r="U19" i="41"/>
  <c r="U18" i="41"/>
  <c r="U14" i="41"/>
  <c r="U13" i="41"/>
  <c r="U12" i="41"/>
  <c r="U11" i="41"/>
  <c r="U8" i="41"/>
  <c r="U7" i="41"/>
  <c r="U6" i="41"/>
  <c r="U5" i="41"/>
  <c r="R45" i="41"/>
  <c r="R43" i="41"/>
  <c r="R41" i="41"/>
  <c r="R38" i="41"/>
  <c r="R37" i="41"/>
  <c r="R36" i="41"/>
  <c r="R34" i="41"/>
  <c r="R32" i="41"/>
  <c r="R25" i="41"/>
  <c r="R23" i="41"/>
  <c r="R21" i="41"/>
  <c r="R20" i="41"/>
  <c r="R19" i="41"/>
  <c r="R18" i="41"/>
  <c r="R14" i="41"/>
  <c r="R13" i="41"/>
  <c r="R12" i="41"/>
  <c r="R11" i="41"/>
  <c r="R27" i="41"/>
  <c r="R28" i="41"/>
  <c r="R29" i="41"/>
  <c r="R30" i="41"/>
  <c r="R31" i="41"/>
  <c r="R26" i="41"/>
  <c r="O22" i="41"/>
  <c r="P22" i="41"/>
  <c r="P24" i="41" s="1"/>
  <c r="O15" i="41"/>
  <c r="P15" i="41"/>
  <c r="N49" i="41"/>
  <c r="O46" i="41"/>
  <c r="P46" i="41"/>
  <c r="R44" i="41"/>
  <c r="O44" i="41"/>
  <c r="P44" i="41"/>
  <c r="R42" i="41"/>
  <c r="O42" i="41"/>
  <c r="P42" i="41"/>
  <c r="O35" i="41"/>
  <c r="P35" i="41"/>
  <c r="O33" i="41"/>
  <c r="P33" i="41"/>
  <c r="Q48" i="41"/>
  <c r="Q49" i="41" s="1"/>
  <c r="Q45" i="41"/>
  <c r="Q43" i="41"/>
  <c r="Q38" i="41"/>
  <c r="Q37" i="41"/>
  <c r="Q36" i="41"/>
  <c r="Q34" i="41"/>
  <c r="Q32" i="41"/>
  <c r="Q31" i="41"/>
  <c r="Q30" i="41"/>
  <c r="Q29" i="41"/>
  <c r="Q28" i="41"/>
  <c r="Q27" i="41"/>
  <c r="Q26" i="41"/>
  <c r="Q25" i="41"/>
  <c r="Q23" i="41"/>
  <c r="Q21" i="41"/>
  <c r="Q20" i="41"/>
  <c r="Q19" i="41"/>
  <c r="Q18" i="41"/>
  <c r="Q14" i="41"/>
  <c r="Q13" i="41"/>
  <c r="Q12" i="41"/>
  <c r="Q11" i="41"/>
  <c r="Q8" i="41"/>
  <c r="Q6" i="41"/>
  <c r="Q5" i="41"/>
  <c r="V29" i="5"/>
  <c r="V28" i="5"/>
  <c r="U29" i="5"/>
  <c r="U28" i="5"/>
  <c r="U25" i="5"/>
  <c r="U24" i="5"/>
  <c r="U23" i="5"/>
  <c r="U22" i="5"/>
  <c r="U21" i="5"/>
  <c r="U20" i="5"/>
  <c r="U18" i="5"/>
  <c r="U17" i="5"/>
  <c r="U16" i="5"/>
  <c r="U15" i="5"/>
  <c r="U13" i="5"/>
  <c r="U12" i="5"/>
  <c r="U11" i="5"/>
  <c r="U10" i="5"/>
  <c r="U9" i="5"/>
  <c r="U8" i="5"/>
  <c r="U6" i="5"/>
  <c r="V25" i="5"/>
  <c r="V24" i="5"/>
  <c r="V23" i="5"/>
  <c r="V22" i="5"/>
  <c r="V21" i="5"/>
  <c r="V20" i="5"/>
  <c r="V18" i="5"/>
  <c r="V17" i="5"/>
  <c r="V16" i="5"/>
  <c r="V15" i="5"/>
  <c r="V13" i="5"/>
  <c r="V12" i="5"/>
  <c r="V11" i="5"/>
  <c r="V10" i="5"/>
  <c r="V9" i="5"/>
  <c r="V6" i="5"/>
  <c r="V5" i="5"/>
  <c r="Q29" i="5"/>
  <c r="Q28" i="5"/>
  <c r="Q24" i="5"/>
  <c r="Q25" i="5"/>
  <c r="Q23" i="5"/>
  <c r="Q18" i="5"/>
  <c r="Q17" i="5"/>
  <c r="Q15" i="5"/>
  <c r="Q16" i="5"/>
  <c r="Q10" i="5"/>
  <c r="Q11" i="5"/>
  <c r="Q12" i="5"/>
  <c r="Q9" i="5"/>
  <c r="Q8" i="5"/>
  <c r="Q6" i="5"/>
  <c r="Q5" i="5"/>
  <c r="O30" i="5"/>
  <c r="P30" i="5"/>
  <c r="P19" i="5"/>
  <c r="O14" i="5"/>
  <c r="P14" i="5"/>
  <c r="O7" i="5"/>
  <c r="P7" i="5"/>
  <c r="H13" i="198"/>
  <c r="I13" i="198"/>
  <c r="I14" i="198" s="1"/>
  <c r="H14" i="198" l="1"/>
  <c r="T13" i="41"/>
  <c r="T20" i="41"/>
  <c r="T26" i="41"/>
  <c r="T14" i="41"/>
  <c r="T21" i="41"/>
  <c r="T27" i="41"/>
  <c r="T31" i="41"/>
  <c r="T11" i="41"/>
  <c r="T18" i="41"/>
  <c r="T23" i="41"/>
  <c r="T28" i="41"/>
  <c r="T32" i="41"/>
  <c r="T38" i="41"/>
  <c r="T48" i="41"/>
  <c r="T30" i="41"/>
  <c r="T36" i="41"/>
  <c r="T43" i="41"/>
  <c r="T37" i="41"/>
  <c r="T45" i="41"/>
  <c r="T12" i="41"/>
  <c r="T19" i="41"/>
  <c r="T25" i="41"/>
  <c r="T29" i="41"/>
  <c r="T34" i="41"/>
  <c r="O24" i="41"/>
  <c r="P50" i="41"/>
  <c r="O50" i="41"/>
  <c r="R46" i="41"/>
  <c r="R50" i="41" s="1"/>
  <c r="P27" i="5"/>
  <c r="P31" i="5" s="1"/>
  <c r="O27" i="5"/>
  <c r="K63" i="194"/>
  <c r="L63" i="194"/>
  <c r="L65" i="194" s="1"/>
  <c r="K57" i="194"/>
  <c r="L57" i="194"/>
  <c r="L54" i="194"/>
  <c r="K51" i="194"/>
  <c r="L51" i="194"/>
  <c r="G29" i="194"/>
  <c r="J29" i="194" s="1"/>
  <c r="K19" i="194"/>
  <c r="L19" i="194"/>
  <c r="G19" i="194"/>
  <c r="K28" i="194"/>
  <c r="K27" i="194" s="1"/>
  <c r="L28" i="194"/>
  <c r="K7" i="194"/>
  <c r="L7" i="194"/>
  <c r="L50" i="194" l="1"/>
  <c r="L61" i="194" s="1"/>
  <c r="J19" i="194"/>
  <c r="K65" i="194"/>
  <c r="L27" i="194"/>
  <c r="L10" i="194"/>
  <c r="L48" i="194" s="1"/>
  <c r="O31" i="5"/>
  <c r="K50" i="194"/>
  <c r="K10" i="194"/>
  <c r="K48" i="194" s="1"/>
  <c r="K61" i="194" l="1"/>
  <c r="L67" i="194"/>
  <c r="K67" i="194" l="1"/>
  <c r="I43" i="190"/>
  <c r="I42" i="190"/>
  <c r="I52" i="190"/>
  <c r="I58" i="190"/>
  <c r="I49" i="190"/>
  <c r="I48" i="190"/>
  <c r="I36" i="190"/>
  <c r="I35" i="190" s="1"/>
  <c r="I40" i="190" l="1"/>
  <c r="I60" i="190" s="1"/>
  <c r="H40" i="190"/>
  <c r="G26" i="197"/>
  <c r="H26" i="197"/>
  <c r="G20" i="197"/>
  <c r="H20" i="197"/>
  <c r="H32" i="197" s="1"/>
  <c r="G19" i="196"/>
  <c r="G27" i="196" s="1"/>
  <c r="H19" i="196"/>
  <c r="H27" i="196" s="1"/>
  <c r="G19" i="197"/>
  <c r="H19" i="197"/>
  <c r="G18" i="196"/>
  <c r="H18" i="196"/>
  <c r="V31" i="196" s="1"/>
  <c r="H59" i="190" l="1"/>
  <c r="H60" i="190" s="1"/>
  <c r="H33" i="197"/>
  <c r="H35" i="197" s="1"/>
  <c r="G28" i="196"/>
  <c r="G30" i="196" s="1"/>
  <c r="U31" i="196"/>
  <c r="H28" i="196"/>
  <c r="H30" i="196" s="1"/>
  <c r="G32" i="197"/>
  <c r="O16" i="201"/>
  <c r="O28" i="201"/>
  <c r="F8" i="201"/>
  <c r="Z39" i="202"/>
  <c r="O34" i="202"/>
  <c r="O41" i="202" s="1"/>
  <c r="O52" i="202" s="1"/>
  <c r="F34" i="202"/>
  <c r="F23" i="202"/>
  <c r="F25" i="202" s="1"/>
  <c r="R39" i="41"/>
  <c r="J39" i="41"/>
  <c r="V39" i="41" s="1"/>
  <c r="E39" i="41"/>
  <c r="J35" i="41"/>
  <c r="V35" i="41" s="1"/>
  <c r="U19" i="5"/>
  <c r="V19" i="5"/>
  <c r="O29" i="201" l="1"/>
  <c r="F41" i="202"/>
  <c r="F52" i="202" s="1"/>
  <c r="G33" i="197"/>
  <c r="G35" i="197" s="1"/>
  <c r="U39" i="41"/>
  <c r="H39" i="41"/>
  <c r="O33" i="201"/>
  <c r="F29" i="201"/>
  <c r="F33" i="201" s="1"/>
  <c r="O10" i="41"/>
  <c r="P10" i="41"/>
  <c r="P16" i="41" s="1"/>
  <c r="P40" i="41" s="1"/>
  <c r="P51" i="41" s="1"/>
  <c r="R6" i="41"/>
  <c r="T6" i="41" s="1"/>
  <c r="R7" i="41"/>
  <c r="R8" i="41"/>
  <c r="T8" i="41" s="1"/>
  <c r="I30" i="5"/>
  <c r="J30" i="5"/>
  <c r="V30" i="5" s="1"/>
  <c r="I26" i="5"/>
  <c r="J26" i="5"/>
  <c r="V26" i="5" s="1"/>
  <c r="E22" i="5"/>
  <c r="H22" i="5" s="1"/>
  <c r="T22" i="5" s="1"/>
  <c r="I14" i="5"/>
  <c r="J14" i="5"/>
  <c r="V14" i="5" s="1"/>
  <c r="I7" i="5"/>
  <c r="J7" i="5"/>
  <c r="I46" i="41"/>
  <c r="J46" i="41"/>
  <c r="V46" i="41" s="1"/>
  <c r="I44" i="41"/>
  <c r="J44" i="41"/>
  <c r="V44" i="41" s="1"/>
  <c r="I42" i="41"/>
  <c r="J42" i="41"/>
  <c r="V42" i="41" s="1"/>
  <c r="I35" i="41"/>
  <c r="R35" i="41"/>
  <c r="I33" i="41"/>
  <c r="J33" i="41"/>
  <c r="V33" i="41" s="1"/>
  <c r="I22" i="41"/>
  <c r="J22" i="41"/>
  <c r="I15" i="41"/>
  <c r="J15" i="41"/>
  <c r="V15" i="41" s="1"/>
  <c r="U30" i="5" l="1"/>
  <c r="U26" i="5"/>
  <c r="Q22" i="5"/>
  <c r="O16" i="41"/>
  <c r="I24" i="41"/>
  <c r="U24" i="41" s="1"/>
  <c r="U35" i="41"/>
  <c r="U44" i="41"/>
  <c r="U15" i="41"/>
  <c r="U33" i="41"/>
  <c r="U42" i="41"/>
  <c r="U46" i="41"/>
  <c r="V10" i="41"/>
  <c r="V22" i="41"/>
  <c r="J24" i="41"/>
  <c r="V24" i="41" s="1"/>
  <c r="U14" i="5"/>
  <c r="V50" i="41"/>
  <c r="U10" i="41"/>
  <c r="R5" i="41"/>
  <c r="T5" i="41" s="1"/>
  <c r="U22" i="41"/>
  <c r="I27" i="5"/>
  <c r="U7" i="5"/>
  <c r="J27" i="5"/>
  <c r="J31" i="5" s="1"/>
  <c r="V7" i="5"/>
  <c r="V27" i="5" s="1"/>
  <c r="V31" i="5" s="1"/>
  <c r="J50" i="41"/>
  <c r="I50" i="41"/>
  <c r="I16" i="41"/>
  <c r="R22" i="41"/>
  <c r="R33" i="41"/>
  <c r="R24" i="41"/>
  <c r="J16" i="41"/>
  <c r="R15" i="41"/>
  <c r="G35" i="194"/>
  <c r="J35" i="194" s="1"/>
  <c r="G17" i="194"/>
  <c r="G15" i="194" l="1"/>
  <c r="J15" i="194" s="1"/>
  <c r="J17" i="194"/>
  <c r="I31" i="5"/>
  <c r="U50" i="41"/>
  <c r="O40" i="41"/>
  <c r="U16" i="41"/>
  <c r="U27" i="5"/>
  <c r="U31" i="5" s="1"/>
  <c r="I40" i="41"/>
  <c r="J40" i="41"/>
  <c r="V40" i="41" s="1"/>
  <c r="V51" i="41" s="1"/>
  <c r="V16" i="41"/>
  <c r="D30" i="5"/>
  <c r="D29" i="5"/>
  <c r="D28" i="5"/>
  <c r="D27" i="5"/>
  <c r="D26" i="5"/>
  <c r="D25" i="5"/>
  <c r="D24" i="5"/>
  <c r="D23" i="5"/>
  <c r="D22" i="5"/>
  <c r="D21" i="5"/>
  <c r="D20" i="5"/>
  <c r="D18" i="5"/>
  <c r="D17" i="5"/>
  <c r="D16" i="5"/>
  <c r="D15" i="5"/>
  <c r="D9" i="5"/>
  <c r="D14" i="5"/>
  <c r="D13" i="5"/>
  <c r="D12" i="5"/>
  <c r="D11" i="5"/>
  <c r="D10" i="5"/>
  <c r="D8" i="5"/>
  <c r="D7" i="5"/>
  <c r="D6" i="5"/>
  <c r="D5" i="5"/>
  <c r="L18" i="197"/>
  <c r="O18" i="197" s="1"/>
  <c r="I35" i="197"/>
  <c r="I24" i="197"/>
  <c r="I20" i="197" s="1"/>
  <c r="I32" i="197" s="1"/>
  <c r="C24" i="197"/>
  <c r="F24" i="197" s="1"/>
  <c r="C21" i="197"/>
  <c r="F21" i="197" s="1"/>
  <c r="C17" i="197"/>
  <c r="F17" i="197" s="1"/>
  <c r="C16" i="197"/>
  <c r="F16" i="197" s="1"/>
  <c r="C6" i="197"/>
  <c r="F6" i="197" s="1"/>
  <c r="Q25" i="196"/>
  <c r="T25" i="196" s="1"/>
  <c r="Q26" i="196"/>
  <c r="T26" i="196" s="1"/>
  <c r="Q14" i="196"/>
  <c r="T14" i="196" s="1"/>
  <c r="Q9" i="196"/>
  <c r="T9" i="196" s="1"/>
  <c r="Q7" i="196"/>
  <c r="T7" i="196" s="1"/>
  <c r="C24" i="196"/>
  <c r="I24" i="196"/>
  <c r="L24" i="196" s="1"/>
  <c r="C23" i="196"/>
  <c r="I20" i="196"/>
  <c r="L20" i="196" s="1"/>
  <c r="I8" i="196"/>
  <c r="C7" i="195"/>
  <c r="T27" i="196" l="1"/>
  <c r="O51" i="41"/>
  <c r="U40" i="41"/>
  <c r="J51" i="41"/>
  <c r="I51" i="41"/>
  <c r="C20" i="197"/>
  <c r="F20" i="197" s="1"/>
  <c r="C20" i="196"/>
  <c r="F20" i="196" s="1"/>
  <c r="F19" i="196" s="1"/>
  <c r="F27" i="196" s="1"/>
  <c r="Q27" i="196"/>
  <c r="C19" i="197"/>
  <c r="F19" i="197" s="1"/>
  <c r="G55" i="194"/>
  <c r="J55" i="194" s="1"/>
  <c r="G33" i="194"/>
  <c r="G31" i="194" l="1"/>
  <c r="J33" i="194"/>
  <c r="J31" i="194" s="1"/>
  <c r="U51" i="41"/>
  <c r="C19" i="196"/>
  <c r="C27" i="196" s="1"/>
  <c r="L8" i="197"/>
  <c r="O8" i="197" s="1"/>
  <c r="E21" i="5"/>
  <c r="H21" i="5" l="1"/>
  <c r="T21" i="5" s="1"/>
  <c r="L6" i="197"/>
  <c r="O6" i="197" s="1"/>
  <c r="O19" i="197" s="1"/>
  <c r="Q21" i="5"/>
  <c r="L19" i="197" l="1"/>
  <c r="L33" i="197" s="1"/>
  <c r="J10" i="200"/>
  <c r="J11" i="200"/>
  <c r="L35" i="197" l="1"/>
  <c r="O33" i="197"/>
  <c r="O35" i="197" s="1"/>
  <c r="C37" i="197"/>
  <c r="F37" i="197" s="1"/>
  <c r="L36" i="197"/>
  <c r="L37" i="197"/>
  <c r="C36" i="197"/>
  <c r="F36" i="197" s="1"/>
  <c r="E13" i="5"/>
  <c r="E41" i="41"/>
  <c r="H41" i="41" s="1"/>
  <c r="H13" i="5" l="1"/>
  <c r="T13" i="5" s="1"/>
  <c r="Q41" i="41"/>
  <c r="T41" i="41" s="1"/>
  <c r="Q13" i="5"/>
  <c r="C27" i="197"/>
  <c r="F27" i="197" s="1"/>
  <c r="E20" i="5"/>
  <c r="E14" i="5"/>
  <c r="H14" i="5" s="1"/>
  <c r="E28" i="202"/>
  <c r="H20" i="5" l="1"/>
  <c r="T20" i="5" s="1"/>
  <c r="C26" i="197"/>
  <c r="F26" i="197" s="1"/>
  <c r="Q8" i="196"/>
  <c r="T8" i="196" s="1"/>
  <c r="Q11" i="196"/>
  <c r="T11" i="196" s="1"/>
  <c r="Q20" i="5"/>
  <c r="E30" i="202"/>
  <c r="M30" i="202" s="1"/>
  <c r="N26" i="202"/>
  <c r="V26" i="202" s="1"/>
  <c r="E26" i="202"/>
  <c r="I27" i="202"/>
  <c r="E27" i="202"/>
  <c r="M27" i="202" s="1"/>
  <c r="I49" i="202"/>
  <c r="I50" i="202" s="1"/>
  <c r="I46" i="202"/>
  <c r="I47" i="202" s="1"/>
  <c r="I44" i="202"/>
  <c r="I45" i="202" s="1"/>
  <c r="I42" i="202"/>
  <c r="I43" i="202" s="1"/>
  <c r="I38" i="202"/>
  <c r="I37" i="202"/>
  <c r="I35" i="202"/>
  <c r="I33" i="202"/>
  <c r="I32" i="202"/>
  <c r="I31" i="202"/>
  <c r="I30" i="202"/>
  <c r="I29" i="202"/>
  <c r="I28" i="202"/>
  <c r="M28" i="202" s="1"/>
  <c r="I26" i="202"/>
  <c r="I24" i="202"/>
  <c r="I22" i="202"/>
  <c r="I21" i="202"/>
  <c r="I20" i="202"/>
  <c r="I19" i="202"/>
  <c r="I15" i="202"/>
  <c r="I14" i="202"/>
  <c r="I13" i="202"/>
  <c r="I12" i="202"/>
  <c r="I9" i="202"/>
  <c r="I8" i="202"/>
  <c r="I7" i="202"/>
  <c r="I6" i="202"/>
  <c r="E46" i="202"/>
  <c r="E44" i="202"/>
  <c r="E42" i="202"/>
  <c r="E38" i="202"/>
  <c r="E37" i="202"/>
  <c r="E35" i="202"/>
  <c r="M35" i="202" s="1"/>
  <c r="E33" i="202"/>
  <c r="E32" i="202"/>
  <c r="M32" i="202" s="1"/>
  <c r="E31" i="202"/>
  <c r="M31" i="202" s="1"/>
  <c r="E29" i="202"/>
  <c r="E24" i="202"/>
  <c r="E22" i="202"/>
  <c r="E21" i="202"/>
  <c r="E20" i="202"/>
  <c r="E19" i="202"/>
  <c r="E15" i="202"/>
  <c r="E14" i="202"/>
  <c r="E13" i="202"/>
  <c r="E12" i="202"/>
  <c r="E9" i="202"/>
  <c r="E7" i="202"/>
  <c r="E6" i="202"/>
  <c r="E22" i="201"/>
  <c r="E7" i="41"/>
  <c r="E26" i="201"/>
  <c r="I12" i="201"/>
  <c r="E20" i="201"/>
  <c r="E12" i="201"/>
  <c r="I31" i="201"/>
  <c r="E31" i="201"/>
  <c r="I30" i="201"/>
  <c r="E30" i="201"/>
  <c r="I27" i="201"/>
  <c r="E27" i="201"/>
  <c r="I26" i="201"/>
  <c r="I25" i="201"/>
  <c r="E25" i="201"/>
  <c r="I24" i="201"/>
  <c r="E24" i="201"/>
  <c r="I23" i="201"/>
  <c r="E23" i="201"/>
  <c r="I22" i="201"/>
  <c r="I20" i="201"/>
  <c r="I19" i="201"/>
  <c r="E19" i="201"/>
  <c r="M19" i="201" s="1"/>
  <c r="I18" i="201"/>
  <c r="E18" i="201"/>
  <c r="I17" i="201"/>
  <c r="E17" i="201"/>
  <c r="I15" i="201"/>
  <c r="E15" i="201"/>
  <c r="I14" i="201"/>
  <c r="E14" i="201"/>
  <c r="M14" i="201" s="1"/>
  <c r="I11" i="201"/>
  <c r="E11" i="201"/>
  <c r="M11" i="201" s="1"/>
  <c r="I10" i="201"/>
  <c r="E10" i="201"/>
  <c r="M10" i="201" s="1"/>
  <c r="I9" i="201"/>
  <c r="E9" i="201"/>
  <c r="M9" i="201" s="1"/>
  <c r="I7" i="201"/>
  <c r="E7" i="201"/>
  <c r="M7" i="201" s="1"/>
  <c r="I6" i="201"/>
  <c r="E6" i="201"/>
  <c r="M6" i="201" s="1"/>
  <c r="E7" i="5"/>
  <c r="H7" i="5" s="1"/>
  <c r="E30" i="5"/>
  <c r="H30" i="5" s="1"/>
  <c r="M30" i="201" l="1"/>
  <c r="M25" i="201"/>
  <c r="I21" i="201"/>
  <c r="M33" i="202"/>
  <c r="I11" i="202"/>
  <c r="M7" i="202"/>
  <c r="M21" i="202"/>
  <c r="M37" i="202"/>
  <c r="M38" i="202"/>
  <c r="M20" i="202"/>
  <c r="M49" i="202"/>
  <c r="M50" i="202" s="1"/>
  <c r="M15" i="201"/>
  <c r="M26" i="202"/>
  <c r="M29" i="202"/>
  <c r="M20" i="201"/>
  <c r="M21" i="201" s="1"/>
  <c r="M27" i="201"/>
  <c r="M9" i="202"/>
  <c r="M19" i="202"/>
  <c r="M24" i="202"/>
  <c r="M22" i="202"/>
  <c r="M6" i="202"/>
  <c r="E10" i="41"/>
  <c r="H10" i="41" s="1"/>
  <c r="H7" i="41"/>
  <c r="I40" i="202"/>
  <c r="C32" i="197"/>
  <c r="M24" i="201"/>
  <c r="M22" i="201"/>
  <c r="M14" i="202"/>
  <c r="Q7" i="41"/>
  <c r="T7" i="41" s="1"/>
  <c r="E40" i="202"/>
  <c r="M15" i="202"/>
  <c r="I51" i="202"/>
  <c r="M12" i="202"/>
  <c r="I23" i="202"/>
  <c r="M13" i="202"/>
  <c r="M23" i="201"/>
  <c r="M26" i="201"/>
  <c r="Q6" i="196"/>
  <c r="T6" i="196" s="1"/>
  <c r="E8" i="202"/>
  <c r="I32" i="201"/>
  <c r="E32" i="201"/>
  <c r="Y31" i="201"/>
  <c r="M31" i="201"/>
  <c r="Y30" i="201"/>
  <c r="V32" i="201"/>
  <c r="X28" i="201"/>
  <c r="W28" i="201"/>
  <c r="R28" i="201"/>
  <c r="N28" i="201"/>
  <c r="I28" i="201"/>
  <c r="E28" i="201"/>
  <c r="Y27" i="201"/>
  <c r="V27" i="201"/>
  <c r="V26" i="201"/>
  <c r="Y25" i="201"/>
  <c r="V25" i="201"/>
  <c r="Y24" i="201"/>
  <c r="V24" i="201"/>
  <c r="Y23" i="201"/>
  <c r="V23" i="201"/>
  <c r="Y22" i="201"/>
  <c r="V22" i="201"/>
  <c r="X21" i="201"/>
  <c r="W21" i="201"/>
  <c r="R21" i="201"/>
  <c r="E21" i="201"/>
  <c r="Y19" i="201"/>
  <c r="Y18" i="201"/>
  <c r="Y17" i="201"/>
  <c r="X16" i="201"/>
  <c r="W16" i="201"/>
  <c r="R16" i="201"/>
  <c r="N16" i="201"/>
  <c r="I16" i="201"/>
  <c r="E16" i="201"/>
  <c r="Y15" i="201"/>
  <c r="Y14" i="201"/>
  <c r="Y13" i="201"/>
  <c r="Y12" i="201"/>
  <c r="Y11" i="201"/>
  <c r="V11" i="201"/>
  <c r="Y10" i="201"/>
  <c r="V10" i="201"/>
  <c r="Y9" i="201"/>
  <c r="V9" i="201"/>
  <c r="X8" i="201"/>
  <c r="W8" i="201"/>
  <c r="R8" i="201"/>
  <c r="N8" i="201"/>
  <c r="I8" i="201"/>
  <c r="E8" i="201"/>
  <c r="Y7" i="201"/>
  <c r="V7" i="201"/>
  <c r="Y6" i="201"/>
  <c r="V6" i="201"/>
  <c r="X50" i="202"/>
  <c r="W50" i="202"/>
  <c r="R50" i="202"/>
  <c r="N50" i="202"/>
  <c r="Y49" i="202"/>
  <c r="Y50" i="202" s="1"/>
  <c r="V49" i="202"/>
  <c r="V50" i="202" s="1"/>
  <c r="X47" i="202"/>
  <c r="W47" i="202"/>
  <c r="R47" i="202"/>
  <c r="N47" i="202"/>
  <c r="E47" i="202"/>
  <c r="Y46" i="202"/>
  <c r="Y47" i="202" s="1"/>
  <c r="V46" i="202"/>
  <c r="V47" i="202" s="1"/>
  <c r="M46" i="202"/>
  <c r="M47" i="202" s="1"/>
  <c r="X45" i="202"/>
  <c r="W45" i="202"/>
  <c r="R45" i="202"/>
  <c r="N45" i="202"/>
  <c r="E45" i="202"/>
  <c r="Y44" i="202"/>
  <c r="Y45" i="202" s="1"/>
  <c r="V44" i="202"/>
  <c r="V45" i="202" s="1"/>
  <c r="M44" i="202"/>
  <c r="X43" i="202"/>
  <c r="W43" i="202"/>
  <c r="R43" i="202"/>
  <c r="N43" i="202"/>
  <c r="E43" i="202"/>
  <c r="Y42" i="202"/>
  <c r="Y43" i="202" s="1"/>
  <c r="V42" i="202"/>
  <c r="M42" i="202"/>
  <c r="M43" i="202" s="1"/>
  <c r="X40" i="202"/>
  <c r="W40" i="202"/>
  <c r="N40" i="202"/>
  <c r="Y38" i="202"/>
  <c r="V38" i="202"/>
  <c r="Y37" i="202"/>
  <c r="V37" i="202"/>
  <c r="X36" i="202"/>
  <c r="W36" i="202"/>
  <c r="N36" i="202"/>
  <c r="I36" i="202"/>
  <c r="E36" i="202"/>
  <c r="Y35" i="202"/>
  <c r="Y36" i="202" s="1"/>
  <c r="V35" i="202"/>
  <c r="V36" i="202" s="1"/>
  <c r="M36" i="202"/>
  <c r="X34" i="202"/>
  <c r="W34" i="202"/>
  <c r="R34" i="202"/>
  <c r="N34" i="202"/>
  <c r="I34" i="202"/>
  <c r="E34" i="202"/>
  <c r="Y33" i="202"/>
  <c r="Y32" i="202"/>
  <c r="Y31" i="202"/>
  <c r="Y30" i="202"/>
  <c r="Y29" i="202"/>
  <c r="Y28" i="202"/>
  <c r="Y27" i="202"/>
  <c r="Y26" i="202"/>
  <c r="Y24" i="202"/>
  <c r="V24" i="202"/>
  <c r="X23" i="202"/>
  <c r="X25" i="202" s="1"/>
  <c r="W23" i="202"/>
  <c r="W25" i="202" s="1"/>
  <c r="R23" i="202"/>
  <c r="R25" i="202" s="1"/>
  <c r="N23" i="202"/>
  <c r="N25" i="202" s="1"/>
  <c r="E23" i="202"/>
  <c r="E25" i="202" s="1"/>
  <c r="Y22" i="202"/>
  <c r="V22" i="202"/>
  <c r="Y21" i="202"/>
  <c r="V21" i="202"/>
  <c r="Y20" i="202"/>
  <c r="V20" i="202"/>
  <c r="Y19" i="202"/>
  <c r="V19" i="202"/>
  <c r="X16" i="202"/>
  <c r="W16" i="202"/>
  <c r="R16" i="202"/>
  <c r="N16" i="202"/>
  <c r="I16" i="202"/>
  <c r="E16" i="202"/>
  <c r="Y15" i="202"/>
  <c r="V15" i="202"/>
  <c r="Y14" i="202"/>
  <c r="V14" i="202"/>
  <c r="Y13" i="202"/>
  <c r="V13" i="202"/>
  <c r="Y12" i="202"/>
  <c r="V12" i="202"/>
  <c r="X11" i="202"/>
  <c r="W11" i="202"/>
  <c r="R11" i="202"/>
  <c r="N11" i="202"/>
  <c r="Y9" i="202"/>
  <c r="V9" i="202"/>
  <c r="Y8" i="202"/>
  <c r="V8" i="202"/>
  <c r="Y7" i="202"/>
  <c r="V7" i="202"/>
  <c r="Y6" i="202"/>
  <c r="V6" i="202"/>
  <c r="V28" i="201" l="1"/>
  <c r="R29" i="201"/>
  <c r="R33" i="201" s="1"/>
  <c r="Z37" i="202"/>
  <c r="M23" i="202"/>
  <c r="M25" i="202" s="1"/>
  <c r="V40" i="202"/>
  <c r="M8" i="201"/>
  <c r="M40" i="202"/>
  <c r="E11" i="202"/>
  <c r="E17" i="202" s="1"/>
  <c r="E41" i="202" s="1"/>
  <c r="M8" i="202"/>
  <c r="Z8" i="202" s="1"/>
  <c r="C33" i="197"/>
  <c r="F32" i="197"/>
  <c r="R51" i="202"/>
  <c r="Z26" i="201"/>
  <c r="R10" i="41"/>
  <c r="Y40" i="202"/>
  <c r="Y21" i="201"/>
  <c r="X17" i="202"/>
  <c r="X41" i="202" s="1"/>
  <c r="Z18" i="201"/>
  <c r="Z15" i="201"/>
  <c r="Z22" i="201"/>
  <c r="Y8" i="201"/>
  <c r="Z11" i="201"/>
  <c r="Z7" i="201"/>
  <c r="Z14" i="201"/>
  <c r="V8" i="201"/>
  <c r="Z13" i="201"/>
  <c r="N17" i="202"/>
  <c r="N41" i="202" s="1"/>
  <c r="Z26" i="202"/>
  <c r="Z30" i="202"/>
  <c r="Z44" i="202"/>
  <c r="Z45" i="202" s="1"/>
  <c r="W51" i="202"/>
  <c r="Z23" i="201"/>
  <c r="Y28" i="201"/>
  <c r="Y23" i="202"/>
  <c r="Y25" i="202" s="1"/>
  <c r="Z7" i="202"/>
  <c r="Z15" i="202"/>
  <c r="Y34" i="202"/>
  <c r="Y16" i="201"/>
  <c r="Z27" i="202"/>
  <c r="E51" i="202"/>
  <c r="Z31" i="202"/>
  <c r="M16" i="202"/>
  <c r="Z27" i="201"/>
  <c r="M28" i="201"/>
  <c r="E29" i="201"/>
  <c r="E33" i="201" s="1"/>
  <c r="Z9" i="201"/>
  <c r="V11" i="202"/>
  <c r="Y11" i="202"/>
  <c r="Z9" i="202"/>
  <c r="Z13" i="202"/>
  <c r="Z14" i="202"/>
  <c r="R17" i="202"/>
  <c r="R41" i="202" s="1"/>
  <c r="Z19" i="202"/>
  <c r="Z20" i="202"/>
  <c r="Z35" i="202"/>
  <c r="Z36" i="202" s="1"/>
  <c r="Z42" i="202"/>
  <c r="Z43" i="202" s="1"/>
  <c r="N33" i="201"/>
  <c r="Z10" i="201"/>
  <c r="Z24" i="201"/>
  <c r="Z12" i="202"/>
  <c r="I17" i="202"/>
  <c r="Z22" i="202"/>
  <c r="Z38" i="202"/>
  <c r="N51" i="202"/>
  <c r="Z19" i="201"/>
  <c r="Z20" i="201"/>
  <c r="Z6" i="202"/>
  <c r="W17" i="202"/>
  <c r="W41" i="202" s="1"/>
  <c r="Y16" i="202"/>
  <c r="Z24" i="202"/>
  <c r="Z28" i="202"/>
  <c r="Z29" i="202"/>
  <c r="Z32" i="202"/>
  <c r="Z33" i="202"/>
  <c r="M45" i="202"/>
  <c r="M51" i="202" s="1"/>
  <c r="X51" i="202"/>
  <c r="Z6" i="201"/>
  <c r="X29" i="201"/>
  <c r="Z17" i="201"/>
  <c r="Z30" i="201"/>
  <c r="Z12" i="201"/>
  <c r="V16" i="201"/>
  <c r="V29" i="201" s="1"/>
  <c r="V33" i="201" s="1"/>
  <c r="I33" i="201"/>
  <c r="M16" i="201"/>
  <c r="M29" i="201" s="1"/>
  <c r="Z25" i="201"/>
  <c r="Z31" i="201"/>
  <c r="Y51" i="202"/>
  <c r="V16" i="202"/>
  <c r="Z49" i="202"/>
  <c r="Z50" i="202" s="1"/>
  <c r="M34" i="202"/>
  <c r="Z21" i="202"/>
  <c r="Z46" i="202"/>
  <c r="Z47" i="202" s="1"/>
  <c r="V23" i="202"/>
  <c r="V25" i="202" s="1"/>
  <c r="V34" i="202"/>
  <c r="V43" i="202"/>
  <c r="V51" i="202" s="1"/>
  <c r="Y17" i="202" l="1"/>
  <c r="Z11" i="202"/>
  <c r="Z51" i="202"/>
  <c r="M11" i="202"/>
  <c r="M17" i="202" s="1"/>
  <c r="Z40" i="202"/>
  <c r="X52" i="202"/>
  <c r="R52" i="202"/>
  <c r="C35" i="197"/>
  <c r="F35" i="197" s="1"/>
  <c r="F33" i="197"/>
  <c r="R16" i="41"/>
  <c r="Y29" i="201"/>
  <c r="Y33" i="201" s="1"/>
  <c r="W52" i="202"/>
  <c r="N52" i="202"/>
  <c r="Z8" i="201"/>
  <c r="Z28" i="201"/>
  <c r="V17" i="202"/>
  <c r="V41" i="202" s="1"/>
  <c r="V52" i="202" s="1"/>
  <c r="Y41" i="202"/>
  <c r="Y52" i="202" s="1"/>
  <c r="E52" i="202"/>
  <c r="Z34" i="202"/>
  <c r="Z23" i="202"/>
  <c r="Z25" i="202" s="1"/>
  <c r="Z16" i="202"/>
  <c r="Z16" i="201"/>
  <c r="Z21" i="201"/>
  <c r="Z32" i="201"/>
  <c r="M33" i="201"/>
  <c r="G54" i="194"/>
  <c r="J54" i="194" s="1"/>
  <c r="R40" i="41" l="1"/>
  <c r="Z17" i="202"/>
  <c r="Z41" i="202" s="1"/>
  <c r="Z29" i="201"/>
  <c r="Z33" i="201" s="1"/>
  <c r="J19" i="200"/>
  <c r="J18" i="200"/>
  <c r="I17" i="200"/>
  <c r="H17" i="200"/>
  <c r="G17" i="200"/>
  <c r="F17" i="200"/>
  <c r="E17" i="200"/>
  <c r="D17" i="200"/>
  <c r="D15" i="200"/>
  <c r="J14" i="200"/>
  <c r="J13" i="200"/>
  <c r="I12" i="200"/>
  <c r="H12" i="200"/>
  <c r="G12" i="200"/>
  <c r="F12" i="200"/>
  <c r="E12" i="200"/>
  <c r="D12" i="200"/>
  <c r="H9" i="200"/>
  <c r="H16" i="200" s="1"/>
  <c r="H15" i="200" s="1"/>
  <c r="G9" i="200"/>
  <c r="G16" i="200" s="1"/>
  <c r="G15" i="200" s="1"/>
  <c r="F9" i="200"/>
  <c r="E9" i="200"/>
  <c r="E16" i="200" s="1"/>
  <c r="E15" i="200" s="1"/>
  <c r="D9" i="200"/>
  <c r="J8" i="200"/>
  <c r="J7" i="200"/>
  <c r="I6" i="200"/>
  <c r="H6" i="200"/>
  <c r="G6" i="200"/>
  <c r="F6" i="200"/>
  <c r="F20" i="200" s="1"/>
  <c r="E6" i="200"/>
  <c r="D6" i="200"/>
  <c r="Z52" i="202" l="1"/>
  <c r="R51" i="41"/>
  <c r="F16" i="200"/>
  <c r="F15" i="200" s="1"/>
  <c r="G20" i="200"/>
  <c r="D20" i="200"/>
  <c r="J12" i="200"/>
  <c r="H20" i="200"/>
  <c r="E20" i="200"/>
  <c r="J17" i="200"/>
  <c r="J6" i="200"/>
  <c r="I23" i="196"/>
  <c r="L23" i="196" s="1"/>
  <c r="L19" i="196" s="1"/>
  <c r="L27" i="196" s="1"/>
  <c r="I19" i="196" l="1"/>
  <c r="I27" i="196" s="1"/>
  <c r="J16" i="197"/>
  <c r="I16" i="197" s="1"/>
  <c r="K19" i="5" l="1"/>
  <c r="Q10" i="196"/>
  <c r="T10" i="196" s="1"/>
  <c r="Q19" i="5" l="1"/>
  <c r="N19" i="5"/>
  <c r="T19" i="5" s="1"/>
  <c r="Q18" i="196"/>
  <c r="AC10" i="196"/>
  <c r="W10" i="196" s="1"/>
  <c r="Z10" i="196" s="1"/>
  <c r="D40" i="190"/>
  <c r="Q32" i="196" l="1"/>
  <c r="T18" i="196"/>
  <c r="Q28" i="196"/>
  <c r="K42" i="41"/>
  <c r="N42" i="41" s="1"/>
  <c r="E42" i="41"/>
  <c r="H42" i="41" s="1"/>
  <c r="Q30" i="196" l="1"/>
  <c r="T30" i="196" s="1"/>
  <c r="T28" i="196"/>
  <c r="Q42" i="41"/>
  <c r="T42" i="41" s="1"/>
  <c r="AC7" i="196"/>
  <c r="W7" i="196" s="1"/>
  <c r="Z7" i="196" s="1"/>
  <c r="AC9" i="196"/>
  <c r="W9" i="196" s="1"/>
  <c r="Z9" i="196" s="1"/>
  <c r="AC14" i="196"/>
  <c r="W14" i="196" s="1"/>
  <c r="X14" i="196" s="1"/>
  <c r="Z14" i="196" s="1"/>
  <c r="S6" i="197"/>
  <c r="R6" i="197" s="1"/>
  <c r="S8" i="197"/>
  <c r="R8" i="197" s="1"/>
  <c r="AC26" i="196"/>
  <c r="W26" i="196" s="1"/>
  <c r="Z26" i="196" s="1"/>
  <c r="AC25" i="196"/>
  <c r="K7" i="5"/>
  <c r="N7" i="5" s="1"/>
  <c r="T7" i="5" s="1"/>
  <c r="K14" i="5"/>
  <c r="K26" i="5"/>
  <c r="K30" i="5"/>
  <c r="N30" i="5" s="1"/>
  <c r="T30" i="5" s="1"/>
  <c r="T49" i="41"/>
  <c r="K44" i="41"/>
  <c r="N44" i="41" s="1"/>
  <c r="K46" i="41"/>
  <c r="N46" i="41" s="1"/>
  <c r="E44" i="41"/>
  <c r="H44" i="41" s="1"/>
  <c r="E46" i="41"/>
  <c r="H46" i="41" s="1"/>
  <c r="D12" i="198"/>
  <c r="G12" i="198" s="1"/>
  <c r="D10" i="198"/>
  <c r="G10" i="198" s="1"/>
  <c r="D11" i="198"/>
  <c r="G11" i="198" s="1"/>
  <c r="K10" i="41"/>
  <c r="N10" i="41" s="1"/>
  <c r="K15" i="41"/>
  <c r="N15" i="41" s="1"/>
  <c r="E15" i="41"/>
  <c r="H15" i="41" s="1"/>
  <c r="K22" i="41"/>
  <c r="N22" i="41" s="1"/>
  <c r="K33" i="41"/>
  <c r="N33" i="41" s="1"/>
  <c r="K35" i="41"/>
  <c r="N35" i="41" s="1"/>
  <c r="K39" i="41"/>
  <c r="E26" i="5"/>
  <c r="H26" i="5" s="1"/>
  <c r="E22" i="41"/>
  <c r="H22" i="41" s="1"/>
  <c r="E33" i="41"/>
  <c r="H33" i="41" s="1"/>
  <c r="E35" i="41"/>
  <c r="H35" i="41" s="1"/>
  <c r="J26" i="197"/>
  <c r="C19" i="195"/>
  <c r="D19" i="195"/>
  <c r="G7" i="194"/>
  <c r="G13" i="194"/>
  <c r="J13" i="194" s="1"/>
  <c r="G28" i="194"/>
  <c r="J28" i="194" s="1"/>
  <c r="G51" i="194"/>
  <c r="J51" i="194" s="1"/>
  <c r="G57" i="194"/>
  <c r="J57" i="194" s="1"/>
  <c r="D35" i="190"/>
  <c r="G35" i="190" s="1"/>
  <c r="D37" i="190"/>
  <c r="G37" i="190" s="1"/>
  <c r="D11" i="190"/>
  <c r="G11" i="190" s="1"/>
  <c r="D13" i="190"/>
  <c r="G13" i="190" s="1"/>
  <c r="D21" i="190"/>
  <c r="G21" i="190" s="1"/>
  <c r="D29" i="190"/>
  <c r="D8" i="190"/>
  <c r="G8" i="190" s="1"/>
  <c r="D31" i="190" l="1"/>
  <c r="G31" i="190" s="1"/>
  <c r="G29" i="190"/>
  <c r="J7" i="194"/>
  <c r="N26" i="5"/>
  <c r="T26" i="5" s="1"/>
  <c r="Q14" i="5"/>
  <c r="N14" i="5"/>
  <c r="T14" i="5" s="1"/>
  <c r="Q7" i="5"/>
  <c r="Q30" i="5"/>
  <c r="Q39" i="41"/>
  <c r="T39" i="41" s="1"/>
  <c r="N39" i="41"/>
  <c r="E24" i="41"/>
  <c r="H24" i="41" s="1"/>
  <c r="Q44" i="41"/>
  <c r="T44" i="41" s="1"/>
  <c r="C9" i="196"/>
  <c r="F9" i="196" s="1"/>
  <c r="Q10" i="41"/>
  <c r="Q35" i="41"/>
  <c r="T35" i="41" s="1"/>
  <c r="C10" i="196"/>
  <c r="F10" i="196" s="1"/>
  <c r="Q15" i="41"/>
  <c r="Q46" i="41"/>
  <c r="T46" i="41" s="1"/>
  <c r="Q22" i="41"/>
  <c r="T22" i="41" s="1"/>
  <c r="C7" i="196"/>
  <c r="F7" i="196" s="1"/>
  <c r="Q33" i="41"/>
  <c r="E27" i="5"/>
  <c r="Q26" i="5"/>
  <c r="G10" i="194"/>
  <c r="J10" i="194" s="1"/>
  <c r="S18" i="197"/>
  <c r="R18" i="197" s="1"/>
  <c r="R19" i="197" s="1"/>
  <c r="R33" i="197" s="1"/>
  <c r="R35" i="197" s="1"/>
  <c r="G63" i="194"/>
  <c r="D59" i="190"/>
  <c r="AC27" i="196"/>
  <c r="W25" i="196"/>
  <c r="K24" i="41"/>
  <c r="N24" i="41" s="1"/>
  <c r="I25" i="202"/>
  <c r="I41" i="202" s="1"/>
  <c r="I52" i="202" s="1"/>
  <c r="J24" i="197"/>
  <c r="D9" i="198"/>
  <c r="G9" i="198" s="1"/>
  <c r="AC11" i="196"/>
  <c r="W11" i="196" s="1"/>
  <c r="X11" i="196" s="1"/>
  <c r="Z11" i="196" s="1"/>
  <c r="J6" i="197"/>
  <c r="I6" i="197" s="1"/>
  <c r="J17" i="197"/>
  <c r="I17" i="197" s="1"/>
  <c r="K27" i="5"/>
  <c r="N27" i="5" s="1"/>
  <c r="K50" i="41"/>
  <c r="N50" i="41" s="1"/>
  <c r="E50" i="41"/>
  <c r="H50" i="41" s="1"/>
  <c r="G50" i="194"/>
  <c r="J50" i="194" s="1"/>
  <c r="G27" i="194"/>
  <c r="J27" i="194" s="1"/>
  <c r="K16" i="41"/>
  <c r="N16" i="41" s="1"/>
  <c r="E16" i="41"/>
  <c r="H16" i="41" s="1"/>
  <c r="D27" i="190"/>
  <c r="E19" i="195"/>
  <c r="AC6" i="196"/>
  <c r="W6" i="196" s="1"/>
  <c r="Z6" i="196" s="1"/>
  <c r="G48" i="194" l="1"/>
  <c r="J48" i="194"/>
  <c r="D32" i="190"/>
  <c r="G32" i="190" s="1"/>
  <c r="G27" i="190"/>
  <c r="W27" i="196"/>
  <c r="Z27" i="196" s="1"/>
  <c r="Z25" i="196"/>
  <c r="G65" i="194"/>
  <c r="J65" i="194" s="1"/>
  <c r="J63" i="194"/>
  <c r="E31" i="5"/>
  <c r="H31" i="5" s="1"/>
  <c r="H27" i="5"/>
  <c r="T27" i="5" s="1"/>
  <c r="I9" i="196"/>
  <c r="T10" i="41"/>
  <c r="I7" i="196"/>
  <c r="L7" i="196" s="1"/>
  <c r="L18" i="196" s="1"/>
  <c r="L28" i="196" s="1"/>
  <c r="L30" i="196" s="1"/>
  <c r="T33" i="41"/>
  <c r="I10" i="196"/>
  <c r="T15" i="41"/>
  <c r="E40" i="41"/>
  <c r="E51" i="41" s="1"/>
  <c r="Q16" i="41"/>
  <c r="T16" i="41" s="1"/>
  <c r="C6" i="196"/>
  <c r="F6" i="196" s="1"/>
  <c r="F18" i="196" s="1"/>
  <c r="F28" i="196" s="1"/>
  <c r="F30" i="196" s="1"/>
  <c r="Q24" i="41"/>
  <c r="D13" i="198"/>
  <c r="D14" i="198" s="1"/>
  <c r="E13" i="198"/>
  <c r="D60" i="190"/>
  <c r="Q50" i="41"/>
  <c r="T50" i="41" s="1"/>
  <c r="S19" i="197"/>
  <c r="R37" i="197"/>
  <c r="R36" i="197"/>
  <c r="K40" i="41"/>
  <c r="G61" i="194"/>
  <c r="J61" i="194" s="1"/>
  <c r="I19" i="197"/>
  <c r="J20" i="197"/>
  <c r="J32" i="197" s="1"/>
  <c r="AC8" i="196"/>
  <c r="J19" i="197"/>
  <c r="Q27" i="5"/>
  <c r="Q31" i="5" s="1"/>
  <c r="E14" i="198" l="1"/>
  <c r="G14" i="198" s="1"/>
  <c r="G13" i="198"/>
  <c r="T24" i="41"/>
  <c r="K51" i="41"/>
  <c r="N51" i="41" s="1"/>
  <c r="N40" i="41"/>
  <c r="H51" i="41"/>
  <c r="H40" i="41"/>
  <c r="S31" i="196"/>
  <c r="C18" i="196"/>
  <c r="C28" i="196" s="1"/>
  <c r="Q40" i="41"/>
  <c r="J36" i="197"/>
  <c r="S36" i="197"/>
  <c r="S33" i="197"/>
  <c r="S35" i="197" s="1"/>
  <c r="S37" i="197"/>
  <c r="G67" i="194"/>
  <c r="J67" i="194" s="1"/>
  <c r="AC18" i="196"/>
  <c r="O31" i="196" s="1"/>
  <c r="W8" i="196"/>
  <c r="Z8" i="196" s="1"/>
  <c r="I33" i="197"/>
  <c r="I36" i="197"/>
  <c r="I37" i="197"/>
  <c r="J35" i="197"/>
  <c r="K31" i="5"/>
  <c r="N31" i="5" s="1"/>
  <c r="T31" i="5" s="1"/>
  <c r="I6" i="196" l="1"/>
  <c r="I18" i="196" s="1"/>
  <c r="I28" i="196" s="1"/>
  <c r="AC32" i="196" s="1"/>
  <c r="Y31" i="196"/>
  <c r="Q51" i="41"/>
  <c r="T51" i="41" s="1"/>
  <c r="T40" i="41"/>
  <c r="Q31" i="196"/>
  <c r="C31" i="196"/>
  <c r="C32" i="196"/>
  <c r="W18" i="196"/>
  <c r="X18" i="196"/>
  <c r="J37" i="197"/>
  <c r="AC31" i="196"/>
  <c r="AC28" i="196"/>
  <c r="O32" i="196" s="1"/>
  <c r="I30" i="196"/>
  <c r="I9" i="200"/>
  <c r="J9" i="200" s="1"/>
  <c r="X28" i="196" l="1"/>
  <c r="X30" i="196" s="1"/>
  <c r="Z18" i="196"/>
  <c r="Z28" i="196" s="1"/>
  <c r="Z30" i="196" s="1"/>
  <c r="W32" i="196"/>
  <c r="X31" i="196"/>
  <c r="W31" i="196"/>
  <c r="I31" i="196"/>
  <c r="W28" i="196"/>
  <c r="I32" i="196" s="1"/>
  <c r="AC30" i="196"/>
  <c r="J20" i="200"/>
  <c r="I16" i="200"/>
  <c r="I20" i="200"/>
  <c r="W30" i="196" l="1"/>
  <c r="I15" i="200"/>
  <c r="J15" i="200" s="1"/>
  <c r="J16" i="200"/>
  <c r="M41" i="202"/>
  <c r="M52" i="202" s="1"/>
  <c r="C30" i="196"/>
  <c r="E40" i="190"/>
  <c r="E59" i="190" l="1"/>
  <c r="G40" i="190"/>
  <c r="E60" i="190" l="1"/>
  <c r="G60" i="190" s="1"/>
  <c r="G59" i="190"/>
</calcChain>
</file>

<file path=xl/sharedStrings.xml><?xml version="1.0" encoding="utf-8"?>
<sst xmlns="http://schemas.openxmlformats.org/spreadsheetml/2006/main" count="990" uniqueCount="476">
  <si>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</si>
  <si>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</si>
  <si>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</si>
  <si>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</si>
  <si>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</si>
  <si>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</si>
  <si>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</si>
  <si>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</si>
  <si>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</si>
  <si>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</si>
  <si>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</si>
  <si>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</si>
  <si>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</si>
  <si>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</si>
  <si>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</si>
  <si>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</si>
  <si>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</si>
  <si>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</si>
  <si>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</si>
  <si>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</si>
  <si>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</si>
  <si>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</si>
  <si>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Felhalmozási célú támogatásértékű kiad. összesen</t>
  </si>
  <si>
    <t>11.</t>
  </si>
  <si>
    <t>12.</t>
  </si>
  <si>
    <t>14.</t>
  </si>
  <si>
    <t>17.</t>
  </si>
  <si>
    <t>Beruházási kiadások összesen</t>
  </si>
  <si>
    <t>13.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</si>
  <si>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</si>
  <si>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</si>
  <si>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</si>
  <si>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</si>
  <si>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</si>
  <si>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</si>
  <si>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</si>
  <si>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</si>
  <si>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</si>
  <si>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</si>
  <si>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</si>
  <si>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</si>
  <si>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Háztartásoknak nyújtott felhalm. célú támog. kölcs.</t>
  </si>
  <si>
    <t>Önkormányzat támogatásértékű kiadások, pénzeszközátadások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</si>
  <si>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</si>
  <si>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</si>
  <si>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</si>
  <si>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</si>
  <si>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</si>
  <si>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</si>
  <si>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</si>
  <si>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</si>
  <si>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</si>
  <si>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Első lakáshoz jutók támogatása</t>
  </si>
  <si>
    <t>15.</t>
  </si>
  <si>
    <t>Mozgáskorlátozott E</t>
  </si>
  <si>
    <t xml:space="preserve">ATEFITA Alapítvány </t>
  </si>
  <si>
    <t>Abdai Lovas Egyesület</t>
  </si>
  <si>
    <t>Önkéntes Tűzoltó Egyesület</t>
  </si>
  <si>
    <t xml:space="preserve">Holt Rábcáért Egyesület      </t>
  </si>
  <si>
    <t xml:space="preserve">F-10 Postagalamb Egyesület   </t>
  </si>
  <si>
    <t xml:space="preserve">Polgárőr Egyesület           </t>
  </si>
  <si>
    <t xml:space="preserve">Zrínyi I. Abdai Ifj. Kh. A.   </t>
  </si>
  <si>
    <t xml:space="preserve">Vándorbot Egyesület           </t>
  </si>
  <si>
    <t xml:space="preserve">ABDA SC támogatás    </t>
  </si>
  <si>
    <t>16.</t>
  </si>
  <si>
    <t>18.</t>
  </si>
  <si>
    <t>Öttevény Közs. Önk. (KMB tám.)</t>
  </si>
  <si>
    <t>Vállalkozásoknak</t>
  </si>
  <si>
    <t>Fogorvosi ellátás</t>
  </si>
  <si>
    <t>Szalai Gyula Alapítvány</t>
  </si>
  <si>
    <t>Győr M. J. Város jelzőrendszer</t>
  </si>
  <si>
    <t>Társulásnak és költségvetési szerveinek</t>
  </si>
  <si>
    <t>Irányítás (felügyelet) alá tartozó költségvetési szervnek folyósított támogatás</t>
  </si>
  <si>
    <t xml:space="preserve">Jelzőrendszeres házi segítségnyújtás </t>
  </si>
  <si>
    <t>K84</t>
  </si>
  <si>
    <t>K86</t>
  </si>
  <si>
    <t>K915</t>
  </si>
  <si>
    <t>Irányítás (felügyelet) alá tartozó költségvetési szervnek folyósított működési támogatás( KÖZÖS HIVATAL)</t>
  </si>
  <si>
    <t>Civil szervezeteknek</t>
  </si>
  <si>
    <t>20.</t>
  </si>
  <si>
    <t>K62</t>
  </si>
  <si>
    <t>K64</t>
  </si>
  <si>
    <t>K71</t>
  </si>
  <si>
    <t>K711</t>
  </si>
  <si>
    <t>Sor-szám</t>
  </si>
  <si>
    <t>Szakfeladat megnevezés</t>
  </si>
  <si>
    <t>∑</t>
  </si>
  <si>
    <t>Önkormányzat</t>
  </si>
  <si>
    <t>Közös Hivatal</t>
  </si>
  <si>
    <t>Zöldterület-kezelés</t>
  </si>
  <si>
    <t>Önkormányzati jogalkotás</t>
  </si>
  <si>
    <t>Város és községgazdálkodási szolg.</t>
  </si>
  <si>
    <t>Háziorvosi alapellátás</t>
  </si>
  <si>
    <t>Család és nővédelmi eü gondozás</t>
  </si>
  <si>
    <t>Házi segítségnyújtás</t>
  </si>
  <si>
    <t>Foglalk. hosszabb idejű közfoglalkoztatása</t>
  </si>
  <si>
    <t>Önkorm. és társul. Igazgatási tevékenysége</t>
  </si>
  <si>
    <t>Adó, illeték beszedése, kiszab.</t>
  </si>
  <si>
    <t>Mindösszesen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</si>
  <si>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</si>
  <si>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</si>
  <si>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</si>
  <si>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</si>
  <si>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</si>
  <si>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</si>
  <si>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</si>
  <si>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</si>
  <si>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</si>
  <si>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</si>
  <si>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</si>
  <si>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</si>
  <si>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</si>
  <si>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</si>
  <si>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</si>
  <si>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</si>
  <si>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</si>
  <si>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</si>
  <si>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</si>
  <si>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</si>
  <si>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</si>
  <si>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</si>
  <si>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</si>
  <si>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</si>
  <si>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</si>
  <si>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</si>
  <si>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</si>
  <si>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</si>
  <si>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</si>
  <si>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</si>
  <si>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</si>
  <si>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</si>
  <si>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</si>
  <si>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</si>
  <si>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</si>
  <si>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</si>
  <si>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</si>
  <si>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</si>
  <si>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</si>
  <si>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</si>
  <si>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</si>
  <si>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</si>
  <si>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</si>
  <si>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</si>
  <si>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</si>
  <si>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</si>
  <si>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</si>
  <si>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</si>
  <si>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</si>
  <si>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</si>
  <si>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</si>
  <si>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</si>
  <si>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</si>
  <si>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</si>
  <si>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</si>
  <si>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</si>
  <si>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</si>
  <si>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</si>
  <si>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</si>
  <si>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</si>
  <si>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</si>
  <si>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</si>
  <si>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</si>
  <si>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</si>
  <si>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</si>
  <si>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</si>
  <si>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</si>
  <si>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</si>
  <si>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</si>
  <si>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</si>
  <si>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</si>
  <si>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</si>
  <si>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</si>
  <si>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</si>
  <si>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</si>
  <si>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</si>
  <si>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</si>
  <si>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</si>
  <si>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</si>
  <si>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</si>
  <si>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</si>
  <si>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</si>
  <si>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</si>
  <si>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</si>
  <si>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</si>
  <si>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</si>
  <si>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</si>
  <si>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</si>
  <si>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</si>
  <si>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</si>
  <si>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</si>
  <si>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</si>
  <si>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</si>
  <si>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</si>
  <si>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</si>
  <si>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</si>
  <si>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</si>
  <si>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</si>
  <si>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Adósságot keletkeztető éves kötelezetts. váll. felső határa 50%</t>
  </si>
  <si>
    <t>Összesen</t>
  </si>
  <si>
    <t>Abda</t>
  </si>
  <si>
    <t>Startmunka program Téli közfoglalkoztatás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</si>
  <si>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</si>
  <si>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</si>
  <si>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</si>
  <si>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</si>
  <si>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Gyermekj.Társ.-nak Abda Önkormányzat</t>
  </si>
  <si>
    <t>Óvoda Társ.-nak Abda Önkormányzat</t>
  </si>
  <si>
    <t xml:space="preserve">Mikulásbirodalom Alapítvány  </t>
  </si>
  <si>
    <t>II. Rákóczi F. Alapítvány</t>
  </si>
  <si>
    <t>Gyöngyvirág Nyugdíjas Klub</t>
  </si>
  <si>
    <t>Pannon Kincse LEADER</t>
  </si>
  <si>
    <t>K63</t>
  </si>
  <si>
    <t xml:space="preserve">   Értékpapírok ért.bevétel </t>
  </si>
  <si>
    <t>BURSA HUNGARICA, Arany J. Tehetség.</t>
  </si>
  <si>
    <t xml:space="preserve">  forintban !</t>
  </si>
  <si>
    <t>Kamatbevételek és más nyereségjellegű bevételek</t>
  </si>
  <si>
    <t>Felhalmozási bevételek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</si>
  <si>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</si>
  <si>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</si>
  <si>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</si>
  <si>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</si>
  <si>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</si>
  <si>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</si>
  <si>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</si>
  <si>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</si>
  <si>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</si>
  <si>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</si>
  <si>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</si>
  <si>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</si>
  <si>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</si>
  <si>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</si>
  <si>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</si>
  <si>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</si>
  <si>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</si>
  <si>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</si>
  <si>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</si>
  <si>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</si>
  <si>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</si>
  <si>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</si>
  <si>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</si>
  <si>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</si>
  <si>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</si>
  <si>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</si>
  <si>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</si>
  <si>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</si>
  <si>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</si>
  <si>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</si>
  <si>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</si>
  <si>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</si>
  <si>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</si>
  <si>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</si>
  <si>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</si>
  <si>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</si>
  <si>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</si>
  <si>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</si>
  <si>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</si>
  <si>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</si>
  <si>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</si>
  <si>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</si>
  <si>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</si>
  <si>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</si>
  <si>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</si>
  <si>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</si>
  <si>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</si>
  <si>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</si>
  <si>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</si>
  <si>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</si>
  <si>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</si>
  <si>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</si>
  <si>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</si>
  <si>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</si>
  <si>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</si>
  <si>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</si>
  <si>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</si>
  <si>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</si>
  <si>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</si>
  <si>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Közös hivatal</t>
  </si>
  <si>
    <t>Központi, irányítószervi támogatás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</si>
  <si>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</si>
  <si>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</si>
  <si>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</si>
  <si>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</si>
  <si>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Abdai Horgász Egyesület</t>
  </si>
  <si>
    <t>Abdai Alkotó Kezek</t>
  </si>
  <si>
    <t>Tornacsarnok építése</t>
  </si>
  <si>
    <t>Működési célú pénzeszközátadások mindösszesen</t>
  </si>
  <si>
    <t>Díjak, pótlékok, települési adók</t>
  </si>
  <si>
    <t>Imm. Javak, ingatlanok, egyéb tárgyi eszköz értékesítés</t>
  </si>
  <si>
    <t>Központi, irányító szervi támogatás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</si>
  <si>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</si>
  <si>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</si>
  <si>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</si>
  <si>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</si>
  <si>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</si>
  <si>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</si>
  <si>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</si>
  <si>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</si>
  <si>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</si>
  <si>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</si>
  <si>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</si>
  <si>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</si>
  <si>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Egyéb</t>
  </si>
  <si>
    <t>Összesen (1+4+7+9+11)</t>
  </si>
  <si>
    <t>Tornacsarnok</t>
  </si>
  <si>
    <t>Beruházás célonként</t>
  </si>
  <si>
    <t>2021.</t>
  </si>
  <si>
    <t>2022.</t>
  </si>
  <si>
    <t>Rovat</t>
  </si>
  <si>
    <t>Kötelező feladatok</t>
  </si>
  <si>
    <t>Önként vállalt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</si>
  <si>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</si>
  <si>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</si>
  <si>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</si>
  <si>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</si>
  <si>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</si>
  <si>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</si>
  <si>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</si>
  <si>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</si>
  <si>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</si>
  <si>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</si>
  <si>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</si>
  <si>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</si>
  <si>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</si>
  <si>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</si>
  <si>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</si>
  <si>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</si>
  <si>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</si>
  <si>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</si>
  <si>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</si>
  <si>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</si>
  <si>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</si>
  <si>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</si>
  <si>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</si>
  <si>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</si>
  <si>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</si>
  <si>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</si>
  <si>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</si>
  <si>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</si>
  <si>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</si>
  <si>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</si>
  <si>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</si>
  <si>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</si>
  <si>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</si>
  <si>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</si>
  <si>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</si>
  <si>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</si>
  <si>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</si>
  <si>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</si>
  <si>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</si>
  <si>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</si>
  <si>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</si>
  <si>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</si>
  <si>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</si>
  <si>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</si>
  <si>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</si>
  <si>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</si>
  <si>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</si>
  <si>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</si>
  <si>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</si>
  <si>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</si>
  <si>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</t>
  </si>
  <si>
    <t>K1-K8</t>
  </si>
  <si>
    <t>K914</t>
  </si>
  <si>
    <t>K9</t>
  </si>
  <si>
    <t>FELHALMOZÁSI KIADÁSOK ÖSSZESEN</t>
  </si>
  <si>
    <t>Felhalmozási célú pénzeszközátadások</t>
  </si>
  <si>
    <t>Eredeti előirányzat 2020 év</t>
  </si>
  <si>
    <t xml:space="preserve">Müködési c. támogatásértékű bevétel áh-n belül </t>
  </si>
  <si>
    <t>Egyéb felhalmozási célú támogatások Áh- n belül fejezeti kezelésű (pályázatok)</t>
  </si>
  <si>
    <t>Felhalmozási célú átvett pénzeszközök Áh-n belül és kívül</t>
  </si>
  <si>
    <t>ABDA KÖZSÉG ÖNKORMÁNYZATA 2020. ÉVI KÖLTSÉGVETÉSE</t>
  </si>
  <si>
    <t>2020. évi engedélyezett létszám</t>
  </si>
  <si>
    <t>Kötelezettség 2020.</t>
  </si>
  <si>
    <t>2023.</t>
  </si>
  <si>
    <t>2023. 
után</t>
  </si>
  <si>
    <t>Adatok Ft-ban</t>
  </si>
  <si>
    <t>I. Működési célú bevételek és kiadások mérlege</t>
  </si>
  <si>
    <t>II. Felhalmozási célú bevételek és kiadások mérlege</t>
  </si>
  <si>
    <t>Börcs  Önkorm.-nak védőnő 2019.évi elszámolás</t>
  </si>
  <si>
    <t xml:space="preserve">Ikrény Önkorm.-nak családsegítő 2019. évi elszámolás </t>
  </si>
  <si>
    <t>Arrabona EGTC 2020. évi tagdíj</t>
  </si>
  <si>
    <t xml:space="preserve">Ikrény Önkorm.-nak közös hiv. 2019. évi elszámolás </t>
  </si>
  <si>
    <t>Magyar Máltai Szeretetszolgálat</t>
  </si>
  <si>
    <t>Közös hiv. Abdának 2019. évi elszámolás</t>
  </si>
  <si>
    <t>LEADER pályázat -parkoló építés</t>
  </si>
  <si>
    <t xml:space="preserve">Orvosi rendelő rendelő mögé játszótér </t>
  </si>
  <si>
    <t>Sportpálya orvosi rendelő mögé</t>
  </si>
  <si>
    <t>SZOSZO udvar burkolása-öntöző rendszer</t>
  </si>
  <si>
    <t>Közvílágítás bővités</t>
  </si>
  <si>
    <t>iskola udvar térkövezés</t>
  </si>
  <si>
    <t>Magyar Falu program Dózsa Gy.u.18.</t>
  </si>
  <si>
    <t>Rotációs kapa</t>
  </si>
  <si>
    <t>Segway pályázat önerő és pályázati forrás</t>
  </si>
  <si>
    <t>3 gyalogosátkelőhely bitósítása lézeres kapuval</t>
  </si>
  <si>
    <t>Informatikai eszközök beszerzése</t>
  </si>
  <si>
    <t>Egyéb tárgyi eszköz beszerzése, létesítése</t>
  </si>
  <si>
    <t>Informatikai eszk.és egyéb t.eszk.össuesen</t>
  </si>
  <si>
    <t>K63-K64</t>
  </si>
  <si>
    <t>Beruházás célú előzetesen felszámitott általános forgalmi adó</t>
  </si>
  <si>
    <t>K61</t>
  </si>
  <si>
    <t>Ingatlanok beszerzése létesítése összesen</t>
  </si>
  <si>
    <t>K67</t>
  </si>
  <si>
    <t>Informatikai eszközök felújítása</t>
  </si>
  <si>
    <t>K72</t>
  </si>
  <si>
    <t>Egyéb tárgyi eszközök felújítása</t>
  </si>
  <si>
    <t>Felújítási célú előzetesem felsz.ÁFA</t>
  </si>
  <si>
    <t>K74</t>
  </si>
  <si>
    <t>Orvosi rendelő felújítása</t>
  </si>
  <si>
    <t>Gyalogos közök rekonstrukciója (TOP pályázat)</t>
  </si>
  <si>
    <t>Hovéd utca aszfaltburkolása</t>
  </si>
  <si>
    <t>B25</t>
  </si>
  <si>
    <t>B2,B7</t>
  </si>
  <si>
    <t>B8131</t>
  </si>
  <si>
    <t>B813</t>
  </si>
  <si>
    <t>K5</t>
  </si>
  <si>
    <t>Székek,berendezési tárgyak, védőnő vizsgáló eszköz, ovi körforgó( 640 e)</t>
  </si>
  <si>
    <t>B52</t>
  </si>
  <si>
    <t>K89</t>
  </si>
  <si>
    <t>Általános tartalékok</t>
  </si>
  <si>
    <t>Ei.mód I</t>
  </si>
  <si>
    <t>Mód.ei.</t>
  </si>
  <si>
    <t>Teljesítés</t>
  </si>
  <si>
    <t>Egyéb felhalm.célú átvett pénzeszköz</t>
  </si>
  <si>
    <t>B75</t>
  </si>
  <si>
    <t>Mód.ei</t>
  </si>
  <si>
    <t>Ei.mód I.</t>
  </si>
  <si>
    <t xml:space="preserve">Szigetköz Felső-Duna mente" Térségi Fejlesztési Tanács 2020. évi tagdíj </t>
  </si>
  <si>
    <t>VVFk-Bau Kft.  Jól teljesítési biztosíték v.utalása</t>
  </si>
  <si>
    <t>Külterületi út</t>
  </si>
  <si>
    <t>Eredeti összesen</t>
  </si>
  <si>
    <t xml:space="preserve">Mód.ei </t>
  </si>
  <si>
    <t xml:space="preserve">Mód.ei. </t>
  </si>
  <si>
    <t xml:space="preserve">   3.-ból:  - Felhalmozási célú pe. átadás államháztartáson belül- csapadékvíz elv. El nem költött rész</t>
  </si>
  <si>
    <t>Ei.mód II.</t>
  </si>
  <si>
    <t>Működési célú költségvetési támogatások és kiegészítő támogatások</t>
  </si>
  <si>
    <t>B115</t>
  </si>
  <si>
    <t>Jövedelemadók (magánszemélyek jov.adói)</t>
  </si>
  <si>
    <t>B31</t>
  </si>
  <si>
    <t>B812</t>
  </si>
  <si>
    <t xml:space="preserve">Ei.mód II. </t>
  </si>
  <si>
    <t>MFP- orvosi eszköz</t>
  </si>
  <si>
    <t>MFP- óvodai játszóudvar, közterületi játszótér</t>
  </si>
  <si>
    <t>Szent I. u. 22. raktárkonténer, kétszárnyú kapumozgató</t>
  </si>
  <si>
    <t>Iskola- elektromos fetőtlenítószer adagoló, hőmérők</t>
  </si>
  <si>
    <t>Csőbúvár szivattyú, áramlásszabályozó hivatal- öntöző</t>
  </si>
  <si>
    <t>Hovéd utca aszfaltburkolása- beruházásra pályázati pénzből</t>
  </si>
  <si>
    <t>Mód.ei II</t>
  </si>
  <si>
    <t>Mód.ei II.</t>
  </si>
  <si>
    <t xml:space="preserve">Mód.ei.II </t>
  </si>
  <si>
    <t>Ei.mód III.</t>
  </si>
  <si>
    <t>Államháztartáson belüli megelőlegezések</t>
  </si>
  <si>
    <t>B814</t>
  </si>
  <si>
    <t>ABDA KÖZSÉG ÖNKORMÁNYZATA   2020. IV.N.ÉVI EI.MÓD+TELJESÍTÉS</t>
  </si>
  <si>
    <t>Szoszo udvar- öntöző rendszer vezérlők</t>
  </si>
  <si>
    <t>Inf. eszközök beszerzése Apple termékek- képviselőknek, hivatal, Zsolt- notebook, monitor, egér, AKG temető hangosító, szünetmentes, router</t>
  </si>
  <si>
    <t>Vagyonvédelmi kamerarendszer- sportpálya</t>
  </si>
  <si>
    <t>Iskolába udvari játékok,tanári asztal, székek, mosogatógép, mosógép, projektor (telefon)</t>
  </si>
  <si>
    <t>Börcsi út megfigyelő rendszerének kiépítése</t>
  </si>
  <si>
    <t xml:space="preserve">Asztali lámpa, hidraulikus tűzifahasító (310.000), mikrohullámú sütő, fényfüggöny, thermos, létra 3 részes, mosogatógép, térfigyelő rendszer </t>
  </si>
  <si>
    <t>Részesedések beszerzése</t>
  </si>
  <si>
    <t>K65</t>
  </si>
  <si>
    <t>Orvosi rendelő gázkazán cseréje</t>
  </si>
  <si>
    <t>ABDA KÖZSÉG ÖNKORMÁNYZATA 2020. IV.N.ÉVI EI.MÓD+TELJESÍTÉS</t>
  </si>
  <si>
    <t>Mód.ei III.</t>
  </si>
  <si>
    <t>Jövedelemadók (magánszemélyek jöv.adói)</t>
  </si>
  <si>
    <t>Mód.ei. III.</t>
  </si>
  <si>
    <t xml:space="preserve">Mód.ei.III </t>
  </si>
  <si>
    <t>Államháztartáson belüli megelőlegezés</t>
  </si>
  <si>
    <t>Mód.ei III</t>
  </si>
  <si>
    <t>Eredeti ei.</t>
  </si>
  <si>
    <t>Tartalék</t>
  </si>
  <si>
    <t>Államig. feladatok</t>
  </si>
  <si>
    <t>2020. évi eredeti ei. összesen</t>
  </si>
  <si>
    <t>2020. évi  előirányzat</t>
  </si>
  <si>
    <t>Eredeti előirányzat</t>
  </si>
  <si>
    <t>ABDA KÖZSÉG ÖNKORMÁNYZATA   2020. IV.N. ÉVI EI. MÓD+TELJESÍTÉS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</si>
</sst>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F_t_-;\-* #,##0\ _F_t_-;_-* &quot;-&quot;\ _F_t_-;_-@_-"/>
    <numFmt numFmtId="43" formatCode="_-* #,##0.00\ _F_t_-;\-* #,##0.00\ _F_t_-;_-* &quot;-&quot;??\ _F_t_-;_-@_-"/>
    <numFmt numFmtId="164" formatCode="_-* #,##0.00_-;\-* #,##0.00_-;_-* &quot;-&quot;??_-;_-@_-"/>
    <numFmt numFmtId="165" formatCode="_-* #,##0.0\ _F_t_-;\-* #,##0.0\ _F_t_-;_-* &quot;-&quot;??\ _F_t_-;_-@_-"/>
    <numFmt numFmtId="166" formatCode="0.0"/>
    <numFmt numFmtId="167" formatCode="#,###"/>
    <numFmt numFmtId="168" formatCode="_-* #,##0_-;\-* #,##0_-;_-* &quot;-&quot;??_-;_-@_-"/>
  </numFmts>
  <fonts count="7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9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 CE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Arial CE"/>
      <charset val="238"/>
    </font>
    <font>
      <i/>
      <sz val="8"/>
      <color theme="1"/>
      <name val="Times New Roman CE"/>
      <charset val="238"/>
    </font>
    <font>
      <b/>
      <i/>
      <sz val="10"/>
      <color rgb="FFFF0000"/>
      <name val="Times New Roman"/>
      <family val="1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  <fill>
      <patternFill patternType="lightHorizontal"/>
    </fill>
    <fill>
      <patternFill patternType="gray0625">
        <bgColor theme="0" tint="-0.24994659260841701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  <xf numFmtId="164" fontId="1" fillId="0" borderId="0" applyFont="0" applyFill="0" applyBorder="0" applyAlignment="0" applyProtection="0"/>
  </cellStyleXfs>
  <cellXfs count="79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1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vertical="center"/>
    </xf>
    <xf numFmtId="3" fontId="2" fillId="24" borderId="1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6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27" fillId="24" borderId="37" xfId="0" applyFont="1" applyFill="1" applyBorder="1" applyAlignment="1">
      <alignment horizontal="center" vertical="center"/>
    </xf>
    <xf numFmtId="43" fontId="2" fillId="24" borderId="37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5" fontId="2" fillId="0" borderId="31" xfId="0" applyNumberFormat="1" applyFont="1" applyBorder="1" applyAlignment="1">
      <alignment horizontal="right" vertical="center" wrapText="1"/>
    </xf>
    <xf numFmtId="0" fontId="3" fillId="0" borderId="42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20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/>
    </xf>
    <xf numFmtId="43" fontId="2" fillId="24" borderId="44" xfId="0" applyNumberFormat="1" applyFont="1" applyFill="1" applyBorder="1" applyAlignment="1">
      <alignment horizontal="right" vertical="center" wrapText="1"/>
    </xf>
    <xf numFmtId="166" fontId="2" fillId="24" borderId="37" xfId="0" applyNumberFormat="1" applyFont="1" applyFill="1" applyBorder="1" applyAlignment="1">
      <alignment vertical="center"/>
    </xf>
    <xf numFmtId="43" fontId="2" fillId="24" borderId="37" xfId="0" applyNumberFormat="1" applyFont="1" applyFill="1" applyBorder="1" applyAlignment="1">
      <alignment vertical="center"/>
    </xf>
    <xf numFmtId="167" fontId="28" fillId="0" borderId="0" xfId="0" applyNumberFormat="1" applyFont="1" applyAlignment="1">
      <alignment horizontal="centerContinuous" vertical="center" wrapText="1"/>
    </xf>
    <xf numFmtId="167" fontId="30" fillId="0" borderId="0" xfId="0" applyNumberFormat="1" applyFont="1" applyAlignment="1">
      <alignment horizontal="right" vertical="center"/>
    </xf>
    <xf numFmtId="167" fontId="32" fillId="0" borderId="29" xfId="0" applyNumberFormat="1" applyFont="1" applyBorder="1" applyAlignment="1">
      <alignment horizontal="centerContinuous" vertical="center" wrapText="1"/>
    </xf>
    <xf numFmtId="167" fontId="32" fillId="0" borderId="26" xfId="0" applyNumberFormat="1" applyFont="1" applyBorder="1" applyAlignment="1">
      <alignment horizontal="centerContinuous" vertical="center" wrapText="1"/>
    </xf>
    <xf numFmtId="167" fontId="32" fillId="0" borderId="29" xfId="0" applyNumberFormat="1" applyFont="1" applyBorder="1" applyAlignment="1">
      <alignment horizontal="center" vertical="center" wrapText="1"/>
    </xf>
    <xf numFmtId="167" fontId="32" fillId="0" borderId="26" xfId="0" applyNumberFormat="1" applyFont="1" applyBorder="1" applyAlignment="1">
      <alignment horizontal="center" vertical="center" wrapText="1"/>
    </xf>
    <xf numFmtId="167" fontId="33" fillId="0" borderId="0" xfId="0" applyNumberFormat="1" applyFont="1" applyAlignment="1">
      <alignment horizontal="center" vertical="center" wrapText="1"/>
    </xf>
    <xf numFmtId="167" fontId="34" fillId="0" borderId="37" xfId="0" applyNumberFormat="1" applyFont="1" applyBorder="1" applyAlignment="1">
      <alignment horizontal="center" vertical="center" wrapText="1"/>
    </xf>
    <xf numFmtId="167" fontId="34" fillId="0" borderId="29" xfId="0" applyNumberFormat="1" applyFont="1" applyBorder="1" applyAlignment="1">
      <alignment horizontal="center" vertical="center" wrapText="1"/>
    </xf>
    <xf numFmtId="167" fontId="34" fillId="0" borderId="26" xfId="0" applyNumberFormat="1" applyFont="1" applyBorder="1" applyAlignment="1">
      <alignment horizontal="center" vertical="center" wrapText="1"/>
    </xf>
    <xf numFmtId="167" fontId="34" fillId="0" borderId="15" xfId="0" applyNumberFormat="1" applyFont="1" applyBorder="1" applyAlignment="1">
      <alignment horizontal="center" vertical="center" wrapText="1"/>
    </xf>
    <xf numFmtId="167" fontId="34" fillId="0" borderId="0" xfId="0" applyNumberFormat="1" applyFont="1" applyAlignment="1">
      <alignment horizontal="center" vertical="center" wrapText="1"/>
    </xf>
    <xf numFmtId="167" fontId="35" fillId="0" borderId="39" xfId="0" applyNumberFormat="1" applyFont="1" applyBorder="1" applyAlignment="1">
      <alignment horizontal="left" vertical="center" wrapText="1" indent="1"/>
    </xf>
    <xf numFmtId="167" fontId="35" fillId="0" borderId="10" xfId="0" applyNumberFormat="1" applyFont="1" applyBorder="1" applyAlignment="1">
      <alignment horizontal="left" vertical="center" wrapText="1" indent="1"/>
    </xf>
    <xf numFmtId="167" fontId="35" fillId="0" borderId="25" xfId="0" applyNumberFormat="1" applyFont="1" applyBorder="1" applyAlignment="1">
      <alignment horizontal="left" vertical="center" wrapText="1" indent="1"/>
    </xf>
    <xf numFmtId="167" fontId="35" fillId="0" borderId="10" xfId="0" applyNumberFormat="1" applyFont="1" applyBorder="1" applyAlignment="1" applyProtection="1">
      <alignment horizontal="left" vertical="center" wrapText="1" indent="1"/>
      <protection locked="0"/>
    </xf>
    <xf numFmtId="167" fontId="36" fillId="0" borderId="0" xfId="0" applyNumberFormat="1" applyFont="1" applyAlignment="1">
      <alignment horizontal="left" vertical="center" wrapText="1" indent="1"/>
    </xf>
    <xf numFmtId="167" fontId="37" fillId="0" borderId="37" xfId="0" applyNumberFormat="1" applyFont="1" applyBorder="1" applyAlignment="1">
      <alignment horizontal="left" vertical="center" wrapText="1" indent="1"/>
    </xf>
    <xf numFmtId="167" fontId="34" fillId="0" borderId="29" xfId="0" applyNumberFormat="1" applyFont="1" applyBorder="1" applyAlignment="1">
      <alignment horizontal="left" vertical="center" wrapText="1" indent="1"/>
    </xf>
    <xf numFmtId="167" fontId="38" fillId="0" borderId="41" xfId="0" applyNumberFormat="1" applyFont="1" applyBorder="1" applyAlignment="1">
      <alignment horizontal="left" vertical="center" wrapText="1" indent="1"/>
    </xf>
    <xf numFmtId="167" fontId="36" fillId="0" borderId="48" xfId="0" applyNumberFormat="1" applyFont="1" applyBorder="1" applyAlignment="1">
      <alignment horizontal="left" vertical="center" wrapText="1" indent="1"/>
    </xf>
    <xf numFmtId="167" fontId="36" fillId="0" borderId="10" xfId="0" applyNumberFormat="1" applyFont="1" applyBorder="1" applyAlignment="1">
      <alignment horizontal="left" vertical="center" wrapText="1" indent="1"/>
    </xf>
    <xf numFmtId="167" fontId="38" fillId="0" borderId="42" xfId="0" applyNumberFormat="1" applyFont="1" applyBorder="1" applyAlignment="1">
      <alignment horizontal="left" vertical="center" wrapText="1" indent="1"/>
    </xf>
    <xf numFmtId="167" fontId="31" fillId="0" borderId="29" xfId="0" applyNumberFormat="1" applyFont="1" applyBorder="1" applyAlignment="1">
      <alignment horizontal="left" vertical="center" wrapText="1" indent="1"/>
    </xf>
    <xf numFmtId="167" fontId="37" fillId="0" borderId="29" xfId="0" applyNumberFormat="1" applyFont="1" applyBorder="1" applyAlignment="1">
      <alignment horizontal="left" vertical="center" wrapText="1" indent="1"/>
    </xf>
    <xf numFmtId="167" fontId="37" fillId="0" borderId="50" xfId="0" applyNumberFormat="1" applyFont="1" applyBorder="1" applyAlignment="1">
      <alignment horizontal="right" vertical="center" wrapText="1" indent="1"/>
    </xf>
    <xf numFmtId="167" fontId="35" fillId="0" borderId="10" xfId="0" quotePrefix="1" applyNumberFormat="1" applyFont="1" applyBorder="1" applyAlignment="1">
      <alignment horizontal="left" vertical="center" wrapText="1" indent="6"/>
    </xf>
    <xf numFmtId="167" fontId="36" fillId="0" borderId="10" xfId="0" quotePrefix="1" applyNumberFormat="1" applyFont="1" applyBorder="1" applyAlignment="1">
      <alignment horizontal="left" vertical="center" wrapText="1" indent="6"/>
    </xf>
    <xf numFmtId="167" fontId="35" fillId="0" borderId="10" xfId="0" quotePrefix="1" applyNumberFormat="1" applyFont="1" applyBorder="1" applyAlignment="1">
      <alignment horizontal="left" vertical="center" wrapText="1" indent="3"/>
    </xf>
    <xf numFmtId="167" fontId="35" fillId="0" borderId="48" xfId="0" applyNumberFormat="1" applyFont="1" applyBorder="1" applyAlignment="1">
      <alignment horizontal="left" vertical="center" wrapText="1" indent="1"/>
    </xf>
    <xf numFmtId="167" fontId="38" fillId="0" borderId="51" xfId="0" applyNumberFormat="1" applyFont="1" applyBorder="1" applyAlignment="1">
      <alignment horizontal="left" vertical="center" wrapText="1" indent="1"/>
    </xf>
    <xf numFmtId="167" fontId="39" fillId="0" borderId="48" xfId="0" applyNumberFormat="1" applyFont="1" applyBorder="1" applyAlignment="1">
      <alignment horizontal="left" vertical="center" wrapText="1" indent="1"/>
    </xf>
    <xf numFmtId="167" fontId="36" fillId="0" borderId="10" xfId="0" applyNumberFormat="1" applyFont="1" applyBorder="1" applyAlignment="1">
      <alignment horizontal="left" vertical="center" wrapText="1" indent="2"/>
    </xf>
    <xf numFmtId="167" fontId="36" fillId="0" borderId="11" xfId="0" applyNumberFormat="1" applyFont="1" applyBorder="1" applyAlignment="1">
      <alignment horizontal="left" vertical="center" wrapText="1" indent="2"/>
    </xf>
    <xf numFmtId="167" fontId="39" fillId="0" borderId="11" xfId="0" applyNumberFormat="1" applyFont="1" applyBorder="1" applyAlignment="1">
      <alignment horizontal="left" vertical="center" wrapText="1" indent="1"/>
    </xf>
    <xf numFmtId="167" fontId="36" fillId="0" borderId="39" xfId="0" applyNumberFormat="1" applyFont="1" applyBorder="1" applyAlignment="1">
      <alignment horizontal="left" vertical="center" wrapText="1" indent="1"/>
    </xf>
    <xf numFmtId="167" fontId="36" fillId="0" borderId="39" xfId="0" applyNumberFormat="1" applyFont="1" applyBorder="1" applyAlignment="1" applyProtection="1">
      <alignment horizontal="left" vertical="center" wrapText="1" indent="1"/>
      <protection locked="0"/>
    </xf>
    <xf numFmtId="167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7" fontId="35" fillId="0" borderId="39" xfId="0" applyNumberFormat="1" applyFont="1" applyBorder="1" applyAlignment="1">
      <alignment horizontal="left" vertical="center" wrapText="1" indent="2"/>
    </xf>
    <xf numFmtId="167" fontId="35" fillId="0" borderId="46" xfId="0" applyNumberFormat="1" applyFont="1" applyBorder="1" applyAlignment="1">
      <alignment horizontal="left" vertical="center" wrapText="1" indent="2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3" fillId="0" borderId="52" xfId="0" applyNumberFormat="1" applyFont="1" applyBorder="1" applyAlignment="1">
      <alignment vertical="center"/>
    </xf>
    <xf numFmtId="3" fontId="3" fillId="0" borderId="54" xfId="0" applyNumberFormat="1" applyFont="1" applyBorder="1" applyAlignment="1">
      <alignment vertical="center"/>
    </xf>
    <xf numFmtId="0" fontId="2" fillId="24" borderId="37" xfId="0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0" fillId="0" borderId="0" xfId="0" applyAlignment="1">
      <alignment horizontal="center" vertical="center"/>
    </xf>
    <xf numFmtId="0" fontId="45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1" fillId="0" borderId="11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top" wrapText="1"/>
    </xf>
    <xf numFmtId="3" fontId="41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5" fillId="0" borderId="11" xfId="0" applyFont="1" applyBorder="1" applyAlignment="1">
      <alignment horizontal="center" vertical="top" wrapText="1"/>
    </xf>
    <xf numFmtId="0" fontId="0" fillId="0" borderId="11" xfId="0" applyBorder="1"/>
    <xf numFmtId="0" fontId="44" fillId="0" borderId="11" xfId="0" applyFont="1" applyBorder="1"/>
    <xf numFmtId="3" fontId="40" fillId="24" borderId="11" xfId="0" applyNumberFormat="1" applyFont="1" applyFill="1" applyBorder="1" applyAlignment="1">
      <alignment horizontal="center" vertical="center" wrapText="1"/>
    </xf>
    <xf numFmtId="3" fontId="42" fillId="24" borderId="11" xfId="0" applyNumberFormat="1" applyFont="1" applyFill="1" applyBorder="1" applyAlignment="1">
      <alignment horizontal="right" vertical="center" wrapText="1"/>
    </xf>
    <xf numFmtId="3" fontId="43" fillId="28" borderId="11" xfId="0" applyNumberFormat="1" applyFont="1" applyFill="1" applyBorder="1" applyAlignment="1">
      <alignment horizontal="right"/>
    </xf>
    <xf numFmtId="3" fontId="47" fillId="28" borderId="11" xfId="0" applyNumberFormat="1" applyFont="1" applyFill="1" applyBorder="1" applyAlignment="1">
      <alignment horizontal="right"/>
    </xf>
    <xf numFmtId="0" fontId="47" fillId="0" borderId="0" xfId="0" applyFont="1"/>
    <xf numFmtId="0" fontId="44" fillId="0" borderId="1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167" fontId="1" fillId="0" borderId="0" xfId="0" applyNumberFormat="1" applyFont="1" applyAlignment="1">
      <alignment vertical="center" wrapText="1"/>
    </xf>
    <xf numFmtId="167" fontId="44" fillId="0" borderId="0" xfId="0" applyNumberFormat="1" applyFont="1" applyAlignment="1">
      <alignment horizontal="centerContinuous" vertical="center"/>
    </xf>
    <xf numFmtId="167" fontId="44" fillId="0" borderId="0" xfId="0" applyNumberFormat="1" applyFont="1" applyAlignment="1">
      <alignment vertical="center" wrapText="1"/>
    </xf>
    <xf numFmtId="167" fontId="44" fillId="0" borderId="0" xfId="0" applyNumberFormat="1" applyFont="1" applyAlignment="1">
      <alignment horizontal="center" vertical="center" wrapText="1"/>
    </xf>
    <xf numFmtId="167" fontId="44" fillId="0" borderId="51" xfId="0" applyNumberFormat="1" applyFont="1" applyBorder="1" applyAlignment="1">
      <alignment horizontal="left" vertical="center" wrapText="1" indent="1"/>
    </xf>
    <xf numFmtId="167" fontId="44" fillId="0" borderId="42" xfId="0" applyNumberFormat="1" applyFont="1" applyBorder="1" applyAlignment="1">
      <alignment horizontal="left" vertical="center" wrapText="1" indent="1"/>
    </xf>
    <xf numFmtId="3" fontId="27" fillId="26" borderId="11" xfId="0" applyNumberFormat="1" applyFont="1" applyFill="1" applyBorder="1" applyAlignment="1">
      <alignment horizontal="right" vertical="top" wrapText="1"/>
    </xf>
    <xf numFmtId="3" fontId="27" fillId="24" borderId="11" xfId="0" applyNumberFormat="1" applyFont="1" applyFill="1" applyBorder="1" applyAlignment="1">
      <alignment horizontal="right" vertical="center" wrapText="1"/>
    </xf>
    <xf numFmtId="3" fontId="27" fillId="24" borderId="11" xfId="0" applyNumberFormat="1" applyFont="1" applyFill="1" applyBorder="1" applyAlignment="1">
      <alignment horizontal="right" vertical="top" wrapText="1"/>
    </xf>
    <xf numFmtId="3" fontId="27" fillId="27" borderId="11" xfId="0" applyNumberFormat="1" applyFont="1" applyFill="1" applyBorder="1" applyAlignment="1">
      <alignment horizontal="right" vertical="center" wrapText="1"/>
    </xf>
    <xf numFmtId="0" fontId="42" fillId="0" borderId="11" xfId="0" applyFont="1" applyBorder="1" applyAlignment="1">
      <alignment horizontal="left" vertical="center" wrapText="1"/>
    </xf>
    <xf numFmtId="0" fontId="48" fillId="0" borderId="0" xfId="0" applyFont="1"/>
    <xf numFmtId="167" fontId="0" fillId="0" borderId="0" xfId="0" applyNumberFormat="1" applyAlignment="1">
      <alignment horizontal="centerContinuous" vertical="center"/>
    </xf>
    <xf numFmtId="167" fontId="0" fillId="0" borderId="0" xfId="0" applyNumberFormat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3" fontId="27" fillId="29" borderId="11" xfId="0" applyNumberFormat="1" applyFont="1" applyFill="1" applyBorder="1" applyAlignment="1">
      <alignment horizontal="center" vertical="center" wrapText="1"/>
    </xf>
    <xf numFmtId="3" fontId="27" fillId="29" borderId="11" xfId="0" applyNumberFormat="1" applyFont="1" applyFill="1" applyBorder="1" applyAlignment="1">
      <alignment horizontal="right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/>
    </xf>
    <xf numFmtId="167" fontId="32" fillId="0" borderId="76" xfId="0" applyNumberFormat="1" applyFont="1" applyBorder="1" applyAlignment="1">
      <alignment horizontal="centerContinuous" vertical="center"/>
    </xf>
    <xf numFmtId="167" fontId="32" fillId="0" borderId="24" xfId="0" applyNumberFormat="1" applyFont="1" applyBorder="1" applyAlignment="1">
      <alignment horizontal="centerContinuous" vertical="center"/>
    </xf>
    <xf numFmtId="167" fontId="32" fillId="0" borderId="53" xfId="0" applyNumberFormat="1" applyFont="1" applyBorder="1" applyAlignment="1">
      <alignment horizontal="centerContinuous" vertical="center"/>
    </xf>
    <xf numFmtId="167" fontId="51" fillId="0" borderId="0" xfId="0" applyNumberFormat="1" applyFont="1" applyAlignment="1">
      <alignment vertical="center"/>
    </xf>
    <xf numFmtId="167" fontId="32" fillId="0" borderId="28" xfId="0" applyNumberFormat="1" applyFont="1" applyBorder="1" applyAlignment="1">
      <alignment horizontal="center" vertical="center"/>
    </xf>
    <xf numFmtId="167" fontId="32" fillId="0" borderId="68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 wrapText="1"/>
    </xf>
    <xf numFmtId="167" fontId="51" fillId="0" borderId="0" xfId="0" applyNumberFormat="1" applyFont="1" applyAlignment="1">
      <alignment horizontal="center" vertical="center"/>
    </xf>
    <xf numFmtId="167" fontId="52" fillId="0" borderId="44" xfId="0" applyNumberFormat="1" applyFont="1" applyBorder="1" applyAlignment="1">
      <alignment horizontal="center" vertical="center" wrapText="1"/>
    </xf>
    <xf numFmtId="167" fontId="52" fillId="0" borderId="26" xfId="0" applyNumberFormat="1" applyFont="1" applyBorder="1" applyAlignment="1">
      <alignment horizontal="center" vertical="center" wrapText="1"/>
    </xf>
    <xf numFmtId="167" fontId="52" fillId="0" borderId="72" xfId="0" applyNumberFormat="1" applyFont="1" applyBorder="1" applyAlignment="1">
      <alignment horizontal="center" vertical="center" wrapText="1"/>
    </xf>
    <xf numFmtId="167" fontId="52" fillId="0" borderId="41" xfId="0" applyNumberFormat="1" applyFont="1" applyBorder="1" applyAlignment="1">
      <alignment horizontal="center" vertical="center" wrapText="1"/>
    </xf>
    <xf numFmtId="167" fontId="52" fillId="0" borderId="0" xfId="0" applyNumberFormat="1" applyFont="1" applyAlignment="1">
      <alignment horizontal="center" vertical="center" wrapText="1"/>
    </xf>
    <xf numFmtId="167" fontId="52" fillId="0" borderId="73" xfId="0" applyNumberFormat="1" applyFont="1" applyBorder="1" applyAlignment="1">
      <alignment horizontal="right" vertical="center" wrapText="1" indent="1"/>
    </xf>
    <xf numFmtId="167" fontId="34" fillId="0" borderId="22" xfId="0" applyNumberFormat="1" applyFont="1" applyBorder="1" applyAlignment="1">
      <alignment horizontal="left" vertical="center" wrapText="1" indent="1"/>
    </xf>
    <xf numFmtId="1" fontId="37" fillId="30" borderId="22" xfId="0" applyNumberFormat="1" applyFont="1" applyFill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 wrapText="1"/>
    </xf>
    <xf numFmtId="167" fontId="34" fillId="0" borderId="76" xfId="0" applyNumberFormat="1" applyFont="1" applyBorder="1" applyAlignment="1">
      <alignment vertical="center" wrapText="1"/>
    </xf>
    <xf numFmtId="167" fontId="34" fillId="0" borderId="60" xfId="0" applyNumberFormat="1" applyFont="1" applyBorder="1" applyAlignment="1">
      <alignment vertical="center" wrapText="1"/>
    </xf>
    <xf numFmtId="167" fontId="52" fillId="0" borderId="10" xfId="0" applyNumberFormat="1" applyFont="1" applyBorder="1" applyAlignment="1">
      <alignment horizontal="right" vertical="center" wrapText="1" indent="1"/>
    </xf>
    <xf numFmtId="167" fontId="35" fillId="0" borderId="11" xfId="0" applyNumberFormat="1" applyFont="1" applyBorder="1" applyAlignment="1" applyProtection="1">
      <alignment horizontal="left" vertical="center" wrapText="1" indent="1"/>
      <protection locked="0"/>
    </xf>
    <xf numFmtId="1" fontId="53" fillId="0" borderId="11" xfId="0" applyNumberFormat="1" applyFont="1" applyBorder="1" applyAlignment="1" applyProtection="1">
      <alignment horizontal="center" vertical="center" wrapText="1"/>
      <protection locked="0"/>
    </xf>
    <xf numFmtId="167" fontId="35" fillId="0" borderId="11" xfId="0" applyNumberFormat="1" applyFont="1" applyBorder="1" applyAlignment="1" applyProtection="1">
      <alignment vertical="center" wrapText="1"/>
      <protection locked="0"/>
    </xf>
    <xf numFmtId="167" fontId="35" fillId="0" borderId="18" xfId="0" applyNumberFormat="1" applyFont="1" applyBorder="1" applyAlignment="1" applyProtection="1">
      <alignment vertical="center" wrapText="1"/>
      <protection locked="0"/>
    </xf>
    <xf numFmtId="167" fontId="35" fillId="0" borderId="42" xfId="0" applyNumberFormat="1" applyFont="1" applyBorder="1" applyAlignment="1">
      <alignment vertical="center" wrapText="1"/>
    </xf>
    <xf numFmtId="167" fontId="34" fillId="0" borderId="11" xfId="0" applyNumberFormat="1" applyFont="1" applyBorder="1" applyAlignment="1">
      <alignment horizontal="left" vertical="center" wrapText="1" indent="1"/>
    </xf>
    <xf numFmtId="1" fontId="37" fillId="30" borderId="11" xfId="0" applyNumberFormat="1" applyFont="1" applyFill="1" applyBorder="1" applyAlignment="1">
      <alignment horizontal="center" vertical="center" wrapText="1"/>
    </xf>
    <xf numFmtId="167" fontId="34" fillId="0" borderId="11" xfId="0" applyNumberFormat="1" applyFont="1" applyBorder="1" applyAlignment="1">
      <alignment vertical="center" wrapText="1"/>
    </xf>
    <xf numFmtId="167" fontId="34" fillId="0" borderId="18" xfId="0" applyNumberFormat="1" applyFont="1" applyBorder="1" applyAlignment="1">
      <alignment vertical="center" wrapText="1"/>
    </xf>
    <xf numFmtId="167" fontId="34" fillId="0" borderId="42" xfId="0" applyNumberFormat="1" applyFont="1" applyBorder="1" applyAlignment="1">
      <alignment vertical="center" wrapText="1"/>
    </xf>
    <xf numFmtId="167" fontId="52" fillId="0" borderId="11" xfId="0" applyNumberFormat="1" applyFont="1" applyBorder="1" applyAlignment="1">
      <alignment horizontal="left" vertical="center" wrapText="1" indent="1"/>
    </xf>
    <xf numFmtId="167" fontId="52" fillId="0" borderId="48" xfId="0" applyNumberFormat="1" applyFont="1" applyBorder="1" applyAlignment="1">
      <alignment horizontal="right" vertical="center" wrapText="1" indent="1"/>
    </xf>
    <xf numFmtId="167" fontId="34" fillId="0" borderId="36" xfId="0" applyNumberFormat="1" applyFont="1" applyBorder="1" applyAlignment="1" applyProtection="1">
      <alignment horizontal="left" vertical="center" wrapText="1" indent="1"/>
      <protection locked="0"/>
    </xf>
    <xf numFmtId="1" fontId="37" fillId="30" borderId="19" xfId="0" applyNumberFormat="1" applyFont="1" applyFill="1" applyBorder="1" applyAlignment="1">
      <alignment horizontal="center" vertical="center" wrapText="1"/>
    </xf>
    <xf numFmtId="167" fontId="34" fillId="0" borderId="36" xfId="0" applyNumberFormat="1" applyFont="1" applyBorder="1" applyAlignment="1">
      <alignment vertical="center" wrapText="1"/>
    </xf>
    <xf numFmtId="167" fontId="34" fillId="0" borderId="40" xfId="0" applyNumberFormat="1" applyFont="1" applyBorder="1" applyAlignment="1">
      <alignment vertical="center" wrapText="1"/>
    </xf>
    <xf numFmtId="1" fontId="53" fillId="0" borderId="40" xfId="0" applyNumberFormat="1" applyFont="1" applyBorder="1" applyAlignment="1" applyProtection="1">
      <alignment horizontal="center" vertical="center" wrapText="1"/>
      <protection locked="0"/>
    </xf>
    <xf numFmtId="167" fontId="35" fillId="0" borderId="36" xfId="0" applyNumberFormat="1" applyFont="1" applyBorder="1" applyAlignment="1" applyProtection="1">
      <alignment vertical="center" wrapText="1"/>
      <protection locked="0"/>
    </xf>
    <xf numFmtId="167" fontId="35" fillId="0" borderId="40" xfId="0" applyNumberFormat="1" applyFont="1" applyBorder="1" applyAlignment="1" applyProtection="1">
      <alignment vertical="center" wrapText="1"/>
      <protection locked="0"/>
    </xf>
    <xf numFmtId="167" fontId="52" fillId="0" borderId="29" xfId="0" applyNumberFormat="1" applyFont="1" applyBorder="1" applyAlignment="1">
      <alignment horizontal="right" vertical="center" wrapText="1" indent="1"/>
    </xf>
    <xf numFmtId="167" fontId="52" fillId="0" borderId="26" xfId="0" applyNumberFormat="1" applyFont="1" applyBorder="1" applyAlignment="1">
      <alignment horizontal="left" vertical="center" wrapText="1" indent="1"/>
    </xf>
    <xf numFmtId="1" fontId="35" fillId="30" borderId="72" xfId="0" applyNumberFormat="1" applyFont="1" applyFill="1" applyBorder="1" applyAlignment="1">
      <alignment vertical="center" wrapText="1"/>
    </xf>
    <xf numFmtId="167" fontId="34" fillId="0" borderId="26" xfId="0" applyNumberFormat="1" applyFont="1" applyBorder="1" applyAlignment="1">
      <alignment vertical="center" wrapText="1"/>
    </xf>
    <xf numFmtId="167" fontId="34" fillId="0" borderId="37" xfId="0" applyNumberFormat="1" applyFont="1" applyBorder="1" applyAlignment="1">
      <alignment vertical="center" wrapText="1"/>
    </xf>
    <xf numFmtId="0" fontId="2" fillId="0" borderId="48" xfId="0" applyFont="1" applyBorder="1" applyAlignment="1">
      <alignment horizontal="center" vertical="top"/>
    </xf>
    <xf numFmtId="0" fontId="41" fillId="0" borderId="11" xfId="0" applyFont="1" applyBorder="1" applyAlignment="1">
      <alignment horizontal="left" vertical="center" wrapText="1"/>
    </xf>
    <xf numFmtId="3" fontId="0" fillId="0" borderId="0" xfId="0" applyNumberFormat="1" applyFont="1"/>
    <xf numFmtId="0" fontId="0" fillId="0" borderId="11" xfId="0" applyFont="1" applyBorder="1"/>
    <xf numFmtId="0" fontId="2" fillId="0" borderId="70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19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2" fillId="0" borderId="48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26" fillId="0" borderId="17" xfId="0" applyFont="1" applyFill="1" applyBorder="1"/>
    <xf numFmtId="167" fontId="32" fillId="0" borderId="56" xfId="0" applyNumberFormat="1" applyFont="1" applyBorder="1" applyAlignment="1">
      <alignment horizontal="centerContinuous" vertical="center" wrapText="1"/>
    </xf>
    <xf numFmtId="3" fontId="50" fillId="0" borderId="0" xfId="0" applyNumberFormat="1" applyFont="1" applyAlignment="1">
      <alignment horizontal="right" vertical="center"/>
    </xf>
    <xf numFmtId="0" fontId="50" fillId="0" borderId="71" xfId="0" applyFont="1" applyBorder="1" applyAlignment="1">
      <alignment vertical="center"/>
    </xf>
    <xf numFmtId="167" fontId="0" fillId="0" borderId="0" xfId="0" applyNumberFormat="1" applyFont="1" applyAlignment="1">
      <alignment horizontal="center" vertical="center" wrapText="1"/>
    </xf>
    <xf numFmtId="167" fontId="0" fillId="0" borderId="0" xfId="0" applyNumberFormat="1" applyFont="1" applyAlignment="1">
      <alignment vertical="center" wrapText="1"/>
    </xf>
    <xf numFmtId="3" fontId="35" fillId="0" borderId="11" xfId="0" applyNumberFormat="1" applyFont="1" applyBorder="1" applyAlignment="1" applyProtection="1">
      <alignment vertical="center" wrapText="1"/>
      <protection locked="0"/>
    </xf>
    <xf numFmtId="3" fontId="35" fillId="0" borderId="18" xfId="0" applyNumberFormat="1" applyFont="1" applyBorder="1" applyAlignment="1" applyProtection="1">
      <alignment vertical="center" wrapText="1"/>
      <protection locked="0"/>
    </xf>
    <xf numFmtId="0" fontId="0" fillId="0" borderId="34" xfId="0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3" fontId="3" fillId="0" borderId="18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horizontal="right" vertical="center"/>
    </xf>
    <xf numFmtId="0" fontId="2" fillId="24" borderId="37" xfId="0" applyFont="1" applyFill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2" fillId="0" borderId="19" xfId="0" applyFont="1" applyBorder="1" applyAlignment="1">
      <alignment horizontal="center" vertical="top"/>
    </xf>
    <xf numFmtId="3" fontId="2" fillId="0" borderId="17" xfId="0" applyNumberFormat="1" applyFont="1" applyBorder="1" applyAlignment="1">
      <alignment vertical="center"/>
    </xf>
    <xf numFmtId="0" fontId="47" fillId="28" borderId="11" xfId="0" applyFont="1" applyFill="1" applyBorder="1" applyAlignment="1">
      <alignment horizontal="left"/>
    </xf>
    <xf numFmtId="0" fontId="42" fillId="27" borderId="11" xfId="0" applyFont="1" applyFill="1" applyBorder="1" applyAlignment="1">
      <alignment horizontal="left" vertical="center" wrapText="1"/>
    </xf>
    <xf numFmtId="0" fontId="42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6" borderId="11" xfId="0" applyFont="1" applyFill="1" applyBorder="1" applyAlignment="1">
      <alignment horizontal="left" vertical="top" wrapText="1"/>
    </xf>
    <xf numFmtId="0" fontId="27" fillId="24" borderId="11" xfId="0" applyFont="1" applyFill="1" applyBorder="1" applyAlignment="1">
      <alignment horizontal="left" vertical="center" wrapText="1"/>
    </xf>
    <xf numFmtId="0" fontId="27" fillId="27" borderId="11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42" fillId="27" borderId="59" xfId="0" applyFont="1" applyFill="1" applyBorder="1" applyAlignment="1">
      <alignment horizontal="left" vertical="center" wrapText="1"/>
    </xf>
    <xf numFmtId="0" fontId="27" fillId="29" borderId="14" xfId="0" applyFont="1" applyFill="1" applyBorder="1" applyAlignment="1">
      <alignment horizontal="left" vertical="center" wrapText="1"/>
    </xf>
    <xf numFmtId="3" fontId="2" fillId="1" borderId="11" xfId="0" applyNumberFormat="1" applyFont="1" applyFill="1" applyBorder="1" applyAlignment="1">
      <alignment vertical="center"/>
    </xf>
    <xf numFmtId="3" fontId="2" fillId="1" borderId="17" xfId="0" applyNumberFormat="1" applyFont="1" applyFill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24" borderId="16" xfId="0" applyNumberFormat="1" applyFont="1" applyFill="1" applyBorder="1" applyAlignment="1">
      <alignment vertical="center"/>
    </xf>
    <xf numFmtId="0" fontId="2" fillId="1" borderId="19" xfId="0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2" fillId="24" borderId="23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vertical="center"/>
    </xf>
    <xf numFmtId="3" fontId="2" fillId="24" borderId="26" xfId="0" applyNumberFormat="1" applyFont="1" applyFill="1" applyBorder="1" applyAlignment="1">
      <alignment horizontal="right" vertical="center"/>
    </xf>
    <xf numFmtId="3" fontId="2" fillId="24" borderId="15" xfId="0" applyNumberFormat="1" applyFont="1" applyFill="1" applyBorder="1" applyAlignment="1">
      <alignment horizontal="center" vertical="center" wrapText="1"/>
    </xf>
    <xf numFmtId="167" fontId="32" fillId="0" borderId="55" xfId="0" applyNumberFormat="1" applyFont="1" applyBorder="1" applyAlignment="1">
      <alignment horizontal="centerContinuous" vertical="center" wrapText="1"/>
    </xf>
    <xf numFmtId="167" fontId="34" fillId="0" borderId="55" xfId="0" applyNumberFormat="1" applyFont="1" applyBorder="1" applyAlignment="1">
      <alignment horizontal="center" vertical="center" wrapText="1"/>
    </xf>
    <xf numFmtId="167" fontId="34" fillId="0" borderId="56" xfId="0" applyNumberFormat="1" applyFont="1" applyBorder="1" applyAlignment="1">
      <alignment horizontal="center" vertical="center" wrapText="1"/>
    </xf>
    <xf numFmtId="167" fontId="32" fillId="0" borderId="44" xfId="0" applyNumberFormat="1" applyFont="1" applyBorder="1" applyAlignment="1">
      <alignment horizontal="center" vertical="center" wrapText="1"/>
    </xf>
    <xf numFmtId="167" fontId="34" fillId="0" borderId="44" xfId="0" applyNumberFormat="1" applyFont="1" applyBorder="1" applyAlignment="1">
      <alignment horizontal="center" vertical="center" wrapText="1"/>
    </xf>
    <xf numFmtId="167" fontId="35" fillId="0" borderId="33" xfId="0" applyNumberFormat="1" applyFont="1" applyBorder="1" applyAlignment="1">
      <alignment horizontal="left" vertical="center" wrapText="1" indent="1"/>
    </xf>
    <xf numFmtId="167" fontId="35" fillId="0" borderId="31" xfId="0" applyNumberFormat="1" applyFont="1" applyBorder="1" applyAlignment="1">
      <alignment horizontal="left" vertical="center" wrapText="1" indent="1"/>
    </xf>
    <xf numFmtId="167" fontId="35" fillId="0" borderId="31" xfId="0" applyNumberFormat="1" applyFont="1" applyBorder="1" applyAlignment="1" applyProtection="1">
      <alignment horizontal="left" vertical="center" wrapText="1" indent="1"/>
      <protection locked="0"/>
    </xf>
    <xf numFmtId="167" fontId="35" fillId="0" borderId="62" xfId="0" applyNumberFormat="1" applyFont="1" applyBorder="1" applyAlignment="1" applyProtection="1">
      <alignment horizontal="left" vertical="center" wrapText="1" indent="1"/>
      <protection locked="0"/>
    </xf>
    <xf numFmtId="167" fontId="34" fillId="0" borderId="44" xfId="0" applyNumberFormat="1" applyFont="1" applyBorder="1" applyAlignment="1">
      <alignment horizontal="left" vertical="center" wrapText="1" indent="1"/>
    </xf>
    <xf numFmtId="167" fontId="36" fillId="0" borderId="25" xfId="0" applyNumberFormat="1" applyFont="1" applyBorder="1" applyAlignment="1">
      <alignment horizontal="left" vertical="center" wrapText="1" indent="1"/>
    </xf>
    <xf numFmtId="167" fontId="36" fillId="0" borderId="31" xfId="0" applyNumberFormat="1" applyFont="1" applyBorder="1" applyAlignment="1">
      <alignment horizontal="left" vertical="center" wrapText="1" indent="1"/>
    </xf>
    <xf numFmtId="167" fontId="31" fillId="0" borderId="44" xfId="0" applyNumberFormat="1" applyFont="1" applyBorder="1" applyAlignment="1">
      <alignment horizontal="left" vertical="center" wrapText="1" indent="1"/>
    </xf>
    <xf numFmtId="167" fontId="37" fillId="0" borderId="44" xfId="0" applyNumberFormat="1" applyFont="1" applyBorder="1" applyAlignment="1">
      <alignment horizontal="left" vertical="center" wrapText="1" indent="1"/>
    </xf>
    <xf numFmtId="167" fontId="32" fillId="0" borderId="37" xfId="0" applyNumberFormat="1" applyFont="1" applyBorder="1" applyAlignment="1">
      <alignment horizontal="center" vertical="center" wrapText="1"/>
    </xf>
    <xf numFmtId="3" fontId="41" fillId="0" borderId="11" xfId="0" applyNumberFormat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/>
    </xf>
    <xf numFmtId="167" fontId="32" fillId="0" borderId="5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40" xfId="0" applyFont="1" applyBorder="1" applyAlignment="1">
      <alignment horizontal="center" vertical="top"/>
    </xf>
    <xf numFmtId="0" fontId="3" fillId="0" borderId="32" xfId="0" applyFont="1" applyBorder="1" applyAlignment="1">
      <alignment horizontal="left" vertical="center"/>
    </xf>
    <xf numFmtId="0" fontId="26" fillId="0" borderId="14" xfId="0" applyFont="1" applyBorder="1" applyAlignment="1">
      <alignment wrapText="1"/>
    </xf>
    <xf numFmtId="3" fontId="57" fillId="0" borderId="11" xfId="0" applyNumberFormat="1" applyFont="1" applyBorder="1" applyAlignment="1">
      <alignment horizontal="right" vertical="top" wrapText="1"/>
    </xf>
    <xf numFmtId="167" fontId="34" fillId="0" borderId="93" xfId="0" applyNumberFormat="1" applyFont="1" applyBorder="1" applyAlignment="1">
      <alignment horizontal="center" vertical="center" wrapText="1"/>
    </xf>
    <xf numFmtId="167" fontId="58" fillId="0" borderId="55" xfId="0" applyNumberFormat="1" applyFont="1" applyBorder="1" applyAlignment="1">
      <alignment horizontal="center" vertical="center" wrapText="1"/>
    </xf>
    <xf numFmtId="3" fontId="60" fillId="0" borderId="17" xfId="0" applyNumberFormat="1" applyFont="1" applyBorder="1" applyAlignment="1">
      <alignment vertical="center"/>
    </xf>
    <xf numFmtId="0" fontId="0" fillId="0" borderId="19" xfId="0" applyBorder="1" applyAlignment="1">
      <alignment horizontal="center"/>
    </xf>
    <xf numFmtId="0" fontId="27" fillId="26" borderId="11" xfId="0" applyFont="1" applyFill="1" applyBorder="1" applyAlignment="1">
      <alignment horizontal="left" vertical="top" wrapText="1"/>
    </xf>
    <xf numFmtId="3" fontId="61" fillId="0" borderId="11" xfId="0" applyNumberFormat="1" applyFont="1" applyBorder="1" applyAlignment="1">
      <alignment horizontal="right" vertical="top" wrapText="1"/>
    </xf>
    <xf numFmtId="3" fontId="62" fillId="24" borderId="11" xfId="0" applyNumberFormat="1" applyFont="1" applyFill="1" applyBorder="1" applyAlignment="1">
      <alignment horizontal="right" vertical="center" wrapText="1"/>
    </xf>
    <xf numFmtId="3" fontId="63" fillId="24" borderId="11" xfId="0" applyNumberFormat="1" applyFont="1" applyFill="1" applyBorder="1" applyAlignment="1">
      <alignment horizontal="right" vertical="center" wrapText="1"/>
    </xf>
    <xf numFmtId="3" fontId="63" fillId="27" borderId="11" xfId="0" applyNumberFormat="1" applyFont="1" applyFill="1" applyBorder="1" applyAlignment="1">
      <alignment horizontal="right" vertical="center" wrapText="1"/>
    </xf>
    <xf numFmtId="3" fontId="63" fillId="26" borderId="11" xfId="0" applyNumberFormat="1" applyFont="1" applyFill="1" applyBorder="1" applyAlignment="1">
      <alignment horizontal="right" vertical="top" wrapText="1"/>
    </xf>
    <xf numFmtId="0" fontId="0" fillId="0" borderId="18" xfId="0" applyBorder="1" applyAlignment="1">
      <alignment horizontal="center" vertical="top"/>
    </xf>
    <xf numFmtId="3" fontId="63" fillId="24" borderId="11" xfId="0" applyNumberFormat="1" applyFont="1" applyFill="1" applyBorder="1" applyAlignment="1">
      <alignment horizontal="right" vertical="top" wrapText="1"/>
    </xf>
    <xf numFmtId="3" fontId="64" fillId="28" borderId="11" xfId="0" applyNumberFormat="1" applyFont="1" applyFill="1" applyBorder="1" applyAlignment="1">
      <alignment horizontal="right"/>
    </xf>
    <xf numFmtId="3" fontId="62" fillId="29" borderId="11" xfId="0" applyNumberFormat="1" applyFont="1" applyFill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top"/>
    </xf>
    <xf numFmtId="167" fontId="65" fillId="0" borderId="59" xfId="0" applyNumberFormat="1" applyFont="1" applyBorder="1" applyAlignment="1">
      <alignment horizontal="left" vertical="center" wrapText="1" indent="1"/>
    </xf>
    <xf numFmtId="167" fontId="66" fillId="0" borderId="55" xfId="0" applyNumberFormat="1" applyFont="1" applyBorder="1" applyAlignment="1">
      <alignment horizontal="left" vertical="center" wrapText="1" indent="1"/>
    </xf>
    <xf numFmtId="167" fontId="69" fillId="0" borderId="50" xfId="0" applyNumberFormat="1" applyFont="1" applyBorder="1" applyAlignment="1">
      <alignment horizontal="right" vertical="center" wrapText="1" indent="1"/>
    </xf>
    <xf numFmtId="167" fontId="68" fillId="0" borderId="11" xfId="0" applyNumberFormat="1" applyFont="1" applyBorder="1" applyAlignment="1">
      <alignment horizontal="left" vertical="center" wrapText="1" indent="1"/>
    </xf>
    <xf numFmtId="167" fontId="68" fillId="0" borderId="11" xfId="0" applyNumberFormat="1" applyFont="1" applyBorder="1" applyAlignment="1" applyProtection="1">
      <alignment horizontal="left" vertical="center" wrapText="1" indent="1"/>
      <protection locked="0"/>
    </xf>
    <xf numFmtId="167" fontId="68" fillId="0" borderId="0" xfId="0" applyNumberFormat="1" applyFont="1" applyBorder="1" applyAlignment="1">
      <alignment horizontal="left" vertical="center" wrapText="1" indent="1"/>
    </xf>
    <xf numFmtId="167" fontId="68" fillId="0" borderId="32" xfId="0" applyNumberFormat="1" applyFont="1" applyBorder="1" applyAlignment="1">
      <alignment horizontal="left" vertical="center" wrapText="1" indent="1"/>
    </xf>
    <xf numFmtId="167" fontId="66" fillId="0" borderId="81" xfId="0" applyNumberFormat="1" applyFont="1" applyBorder="1" applyAlignment="1">
      <alignment horizontal="left" vertical="center" wrapText="1" indent="1"/>
    </xf>
    <xf numFmtId="167" fontId="68" fillId="0" borderId="34" xfId="0" applyNumberFormat="1" applyFont="1" applyBorder="1" applyAlignment="1">
      <alignment horizontal="left" vertical="center" wrapText="1" indent="1"/>
    </xf>
    <xf numFmtId="167" fontId="68" fillId="0" borderId="32" xfId="0" quotePrefix="1" applyNumberFormat="1" applyFont="1" applyBorder="1" applyAlignment="1">
      <alignment horizontal="left" vertical="center" wrapText="1" indent="6"/>
    </xf>
    <xf numFmtId="167" fontId="68" fillId="0" borderId="34" xfId="0" applyNumberFormat="1" applyFont="1" applyBorder="1" applyAlignment="1" applyProtection="1">
      <alignment horizontal="left" vertical="center" wrapText="1" indent="1"/>
      <protection locked="0"/>
    </xf>
    <xf numFmtId="167" fontId="68" fillId="0" borderId="32" xfId="0" applyNumberFormat="1" applyFont="1" applyBorder="1" applyAlignment="1" applyProtection="1">
      <alignment horizontal="left" vertical="center" wrapText="1" indent="1"/>
      <protection locked="0"/>
    </xf>
    <xf numFmtId="167" fontId="68" fillId="0" borderId="0" xfId="0" applyNumberFormat="1" applyFont="1" applyBorder="1" applyAlignment="1" applyProtection="1">
      <alignment horizontal="left" vertical="center" wrapText="1" indent="1"/>
      <protection locked="0"/>
    </xf>
    <xf numFmtId="167" fontId="66" fillId="0" borderId="56" xfId="0" applyNumberFormat="1" applyFont="1" applyBorder="1" applyAlignment="1">
      <alignment horizontal="left" vertical="center" wrapText="1" indent="1"/>
    </xf>
    <xf numFmtId="167" fontId="70" fillId="0" borderId="34" xfId="0" applyNumberFormat="1" applyFont="1" applyBorder="1" applyAlignment="1">
      <alignment horizontal="left" vertical="center" wrapText="1" indent="1"/>
    </xf>
    <xf numFmtId="167" fontId="70" fillId="0" borderId="32" xfId="0" applyNumberFormat="1" applyFont="1" applyBorder="1" applyAlignment="1">
      <alignment horizontal="left" vertical="center" wrapText="1" indent="1"/>
    </xf>
    <xf numFmtId="167" fontId="70" fillId="0" borderId="0" xfId="0" applyNumberFormat="1" applyFont="1" applyBorder="1" applyAlignment="1">
      <alignment horizontal="left" vertical="center" wrapText="1" indent="1"/>
    </xf>
    <xf numFmtId="167" fontId="71" fillId="0" borderId="15" xfId="0" applyNumberFormat="1" applyFont="1" applyBorder="1" applyAlignment="1">
      <alignment horizontal="right" vertical="center" wrapText="1" indent="1"/>
    </xf>
    <xf numFmtId="167" fontId="72" fillId="0" borderId="50" xfId="0" applyNumberFormat="1" applyFont="1" applyBorder="1" applyAlignment="1">
      <alignment horizontal="right" vertical="center" wrapText="1" indent="1"/>
    </xf>
    <xf numFmtId="3" fontId="2" fillId="25" borderId="18" xfId="0" applyNumberFormat="1" applyFont="1" applyFill="1" applyBorder="1" applyAlignment="1">
      <alignment horizontal="right" vertical="center"/>
    </xf>
    <xf numFmtId="3" fontId="2" fillId="1" borderId="18" xfId="0" applyNumberFormat="1" applyFont="1" applyFill="1" applyBorder="1" applyAlignment="1">
      <alignment horizontal="right" vertical="center"/>
    </xf>
    <xf numFmtId="3" fontId="2" fillId="24" borderId="18" xfId="0" applyNumberFormat="1" applyFont="1" applyFill="1" applyBorder="1" applyAlignment="1">
      <alignment vertical="center"/>
    </xf>
    <xf numFmtId="3" fontId="2" fillId="1" borderId="18" xfId="0" applyNumberFormat="1" applyFont="1" applyFill="1" applyBorder="1" applyAlignment="1">
      <alignment vertical="center"/>
    </xf>
    <xf numFmtId="3" fontId="2" fillId="24" borderId="68" xfId="0" applyNumberFormat="1" applyFont="1" applyFill="1" applyBorder="1" applyAlignment="1">
      <alignment vertical="center"/>
    </xf>
    <xf numFmtId="3" fontId="2" fillId="24" borderId="72" xfId="0" applyNumberFormat="1" applyFont="1" applyFill="1" applyBorder="1" applyAlignment="1">
      <alignment vertical="center"/>
    </xf>
    <xf numFmtId="3" fontId="3" fillId="0" borderId="42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vertical="center"/>
    </xf>
    <xf numFmtId="3" fontId="3" fillId="0" borderId="42" xfId="0" applyNumberFormat="1" applyFont="1" applyBorder="1" applyAlignment="1">
      <alignment vertical="center"/>
    </xf>
    <xf numFmtId="0" fontId="8" fillId="1" borderId="41" xfId="0" applyFont="1" applyFill="1" applyBorder="1" applyAlignment="1">
      <alignment horizontal="left" vertical="center"/>
    </xf>
    <xf numFmtId="3" fontId="3" fillId="0" borderId="41" xfId="0" applyNumberFormat="1" applyFont="1" applyBorder="1" applyAlignment="1">
      <alignment vertical="center"/>
    </xf>
    <xf numFmtId="0" fontId="2" fillId="0" borderId="37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3" fontId="50" fillId="0" borderId="17" xfId="0" applyNumberFormat="1" applyFont="1" applyBorder="1" applyAlignment="1">
      <alignment vertical="center"/>
    </xf>
    <xf numFmtId="0" fontId="56" fillId="0" borderId="0" xfId="0" applyFont="1" applyAlignment="1">
      <alignment vertical="center"/>
    </xf>
    <xf numFmtId="3" fontId="59" fillId="0" borderId="17" xfId="0" applyNumberFormat="1" applyFont="1" applyBorder="1" applyAlignment="1">
      <alignment vertical="center"/>
    </xf>
    <xf numFmtId="0" fontId="3" fillId="0" borderId="14" xfId="0" applyFont="1" applyBorder="1" applyAlignment="1">
      <alignment vertical="top" wrapText="1"/>
    </xf>
    <xf numFmtId="0" fontId="3" fillId="0" borderId="27" xfId="0" applyFont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top"/>
    </xf>
    <xf numFmtId="0" fontId="73" fillId="0" borderId="0" xfId="0" applyFont="1"/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167" fontId="66" fillId="0" borderId="26" xfId="0" applyNumberFormat="1" applyFont="1" applyBorder="1" applyAlignment="1" applyProtection="1">
      <alignment horizontal="right" vertical="center" wrapText="1" indent="1"/>
      <protection locked="0"/>
    </xf>
    <xf numFmtId="167" fontId="68" fillId="0" borderId="17" xfId="0" applyNumberFormat="1" applyFont="1" applyBorder="1" applyAlignment="1">
      <alignment horizontal="left" vertical="center" wrapText="1" indent="1"/>
    </xf>
    <xf numFmtId="167" fontId="68" fillId="0" borderId="45" xfId="0" applyNumberFormat="1" applyFont="1" applyBorder="1" applyAlignment="1" applyProtection="1">
      <alignment horizontal="right" vertical="center" wrapText="1" indent="1"/>
      <protection locked="0"/>
    </xf>
    <xf numFmtId="167" fontId="68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66" fillId="0" borderId="15" xfId="0" applyNumberFormat="1" applyFont="1" applyBorder="1" applyAlignment="1">
      <alignment horizontal="right" vertical="center" wrapText="1" indent="1"/>
    </xf>
    <xf numFmtId="167" fontId="68" fillId="0" borderId="54" xfId="0" applyNumberFormat="1" applyFont="1" applyBorder="1" applyAlignment="1">
      <alignment horizontal="left" vertical="center" wrapText="1" indent="1"/>
    </xf>
    <xf numFmtId="167" fontId="68" fillId="0" borderId="79" xfId="0" applyNumberFormat="1" applyFont="1" applyBorder="1" applyAlignment="1">
      <alignment horizontal="left" vertical="center" wrapText="1" indent="1"/>
    </xf>
    <xf numFmtId="167" fontId="68" fillId="0" borderId="90" xfId="0" applyNumberFormat="1" applyFont="1" applyBorder="1" applyAlignment="1">
      <alignment horizontal="left" vertical="center" wrapText="1" indent="1"/>
    </xf>
    <xf numFmtId="167" fontId="69" fillId="0" borderId="86" xfId="0" applyNumberFormat="1" applyFont="1" applyBorder="1" applyAlignment="1">
      <alignment horizontal="right" vertical="center" wrapText="1" indent="1"/>
    </xf>
    <xf numFmtId="167" fontId="70" fillId="0" borderId="11" xfId="0" applyNumberFormat="1" applyFont="1" applyBorder="1" applyAlignment="1">
      <alignment horizontal="left" vertical="center" wrapText="1" indent="1"/>
    </xf>
    <xf numFmtId="167" fontId="71" fillId="0" borderId="55" xfId="0" applyNumberFormat="1" applyFont="1" applyBorder="1" applyAlignment="1">
      <alignment horizontal="left" vertical="center" wrapText="1" indent="1"/>
    </xf>
    <xf numFmtId="167" fontId="72" fillId="0" borderId="37" xfId="0" applyNumberFormat="1" applyFont="1" applyBorder="1" applyAlignment="1">
      <alignment horizontal="right" vertical="center" wrapText="1" indent="1"/>
    </xf>
    <xf numFmtId="167" fontId="70" fillId="0" borderId="17" xfId="0" applyNumberFormat="1" applyFont="1" applyBorder="1" applyAlignment="1" applyProtection="1">
      <alignment horizontal="right" vertical="center" wrapText="1" indent="1"/>
      <protection locked="0"/>
    </xf>
    <xf numFmtId="167" fontId="70" fillId="0" borderId="11" xfId="0" applyNumberFormat="1" applyFont="1" applyBorder="1" applyAlignment="1" applyProtection="1">
      <alignment horizontal="right" vertical="center" wrapText="1" indent="1"/>
      <protection locked="0"/>
    </xf>
    <xf numFmtId="167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7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7" fontId="71" fillId="0" borderId="26" xfId="0" applyNumberFormat="1" applyFont="1" applyBorder="1" applyAlignment="1">
      <alignment horizontal="right" vertical="center" wrapText="1" indent="1"/>
    </xf>
    <xf numFmtId="167" fontId="74" fillId="0" borderId="36" xfId="0" applyNumberFormat="1" applyFont="1" applyBorder="1" applyAlignment="1">
      <alignment horizontal="right" vertical="center" wrapText="1" indent="1"/>
    </xf>
    <xf numFmtId="167" fontId="74" fillId="0" borderId="11" xfId="0" applyNumberFormat="1" applyFont="1" applyBorder="1" applyAlignment="1">
      <alignment horizontal="right" vertical="center" wrapText="1" indent="1"/>
    </xf>
    <xf numFmtId="167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7" fontId="71" fillId="0" borderId="26" xfId="0" applyNumberFormat="1" applyFont="1" applyBorder="1" applyAlignment="1" applyProtection="1">
      <alignment horizontal="right" vertical="center" wrapText="1" indent="1"/>
      <protection locked="0"/>
    </xf>
    <xf numFmtId="167" fontId="70" fillId="0" borderId="92" xfId="0" applyNumberFormat="1" applyFont="1" applyBorder="1" applyAlignment="1">
      <alignment horizontal="left" vertical="center" wrapText="1" indent="1"/>
    </xf>
    <xf numFmtId="167" fontId="70" fillId="0" borderId="17" xfId="0" applyNumberFormat="1" applyFont="1" applyBorder="1" applyAlignment="1">
      <alignment horizontal="left" vertical="center" wrapText="1" indent="1"/>
    </xf>
    <xf numFmtId="167" fontId="70" fillId="0" borderId="82" xfId="0" applyNumberFormat="1" applyFont="1" applyBorder="1" applyAlignment="1">
      <alignment horizontal="left" vertical="center" wrapText="1" indent="1"/>
    </xf>
    <xf numFmtId="167" fontId="70" fillId="0" borderId="82" xfId="0" applyNumberFormat="1" applyFont="1" applyBorder="1" applyAlignment="1" applyProtection="1">
      <alignment horizontal="left" vertical="center" wrapText="1" indent="1"/>
      <protection locked="0"/>
    </xf>
    <xf numFmtId="167" fontId="70" fillId="0" borderId="11" xfId="0" applyNumberFormat="1" applyFont="1" applyBorder="1" applyAlignment="1" applyProtection="1">
      <alignment horizontal="left" vertical="center" wrapText="1" indent="1"/>
      <protection locked="0"/>
    </xf>
    <xf numFmtId="167" fontId="71" fillId="0" borderId="83" xfId="0" applyNumberFormat="1" applyFont="1" applyBorder="1" applyAlignment="1">
      <alignment horizontal="right" vertical="center" wrapText="1" indent="1"/>
    </xf>
    <xf numFmtId="167" fontId="70" fillId="0" borderId="84" xfId="0" applyNumberFormat="1" applyFont="1" applyBorder="1" applyAlignment="1">
      <alignment horizontal="left" vertical="center" wrapText="1" indent="1"/>
    </xf>
    <xf numFmtId="167" fontId="70" fillId="0" borderId="85" xfId="0" applyNumberFormat="1" applyFont="1" applyBorder="1" applyAlignment="1">
      <alignment horizontal="left" vertical="center" wrapText="1" indent="1"/>
    </xf>
    <xf numFmtId="167" fontId="70" fillId="0" borderId="85" xfId="0" applyNumberFormat="1" applyFont="1" applyBorder="1" applyAlignment="1" applyProtection="1">
      <alignment horizontal="left" vertical="center" wrapText="1" indent="1"/>
      <protection locked="0"/>
    </xf>
    <xf numFmtId="167" fontId="70" fillId="0" borderId="69" xfId="0" applyNumberFormat="1" applyFont="1" applyBorder="1" applyAlignment="1">
      <alignment horizontal="left" vertical="center" wrapText="1" indent="1"/>
    </xf>
    <xf numFmtId="167" fontId="70" fillId="0" borderId="57" xfId="0" applyNumberFormat="1" applyFont="1" applyBorder="1" applyAlignment="1">
      <alignment horizontal="left" vertical="center" wrapText="1" indent="1"/>
    </xf>
    <xf numFmtId="167" fontId="71" fillId="0" borderId="86" xfId="0" applyNumberFormat="1" applyFont="1" applyBorder="1" applyAlignment="1">
      <alignment horizontal="right" vertical="center" wrapText="1" indent="1"/>
    </xf>
    <xf numFmtId="167" fontId="71" fillId="0" borderId="87" xfId="0" applyNumberFormat="1" applyFont="1" applyBorder="1" applyAlignment="1">
      <alignment horizontal="right" vertical="center" wrapText="1" indent="1"/>
    </xf>
    <xf numFmtId="167" fontId="71" fillId="0" borderId="81" xfId="0" applyNumberFormat="1" applyFont="1" applyBorder="1" applyAlignment="1">
      <alignment horizontal="left" vertical="center" wrapText="1" indent="1"/>
    </xf>
    <xf numFmtId="167" fontId="72" fillId="0" borderId="86" xfId="0" applyNumberFormat="1" applyFont="1" applyBorder="1" applyAlignment="1">
      <alignment horizontal="right" vertical="center" wrapText="1" indent="1"/>
    </xf>
    <xf numFmtId="167" fontId="70" fillId="0" borderId="57" xfId="0" applyNumberFormat="1" applyFont="1" applyBorder="1" applyAlignment="1" applyProtection="1">
      <alignment horizontal="left" vertical="center" wrapText="1" indent="1"/>
      <protection locked="0"/>
    </xf>
    <xf numFmtId="167" fontId="71" fillId="0" borderId="91" xfId="0" applyNumberFormat="1" applyFont="1" applyBorder="1" applyAlignment="1">
      <alignment horizontal="right" vertical="center" wrapText="1" indent="1"/>
    </xf>
    <xf numFmtId="167" fontId="70" fillId="0" borderId="80" xfId="0" applyNumberFormat="1" applyFont="1" applyBorder="1" applyAlignment="1">
      <alignment horizontal="left" vertical="center" wrapText="1" indent="1"/>
    </xf>
    <xf numFmtId="167" fontId="70" fillId="0" borderId="54" xfId="0" applyNumberFormat="1" applyFont="1" applyBorder="1" applyAlignment="1">
      <alignment horizontal="left" vertical="center" wrapText="1" indent="1"/>
    </xf>
    <xf numFmtId="167" fontId="70" fillId="0" borderId="12" xfId="0" applyNumberFormat="1" applyFont="1" applyBorder="1" applyAlignment="1">
      <alignment horizontal="left" vertical="center" wrapText="1" indent="1"/>
    </xf>
    <xf numFmtId="167" fontId="70" fillId="0" borderId="79" xfId="0" applyNumberFormat="1" applyFont="1" applyBorder="1" applyAlignment="1">
      <alignment horizontal="left" vertical="center" wrapText="1" indent="1"/>
    </xf>
    <xf numFmtId="167" fontId="70" fillId="0" borderId="49" xfId="0" applyNumberFormat="1" applyFont="1" applyBorder="1" applyAlignment="1">
      <alignment horizontal="left" vertical="center" wrapText="1" indent="1"/>
    </xf>
    <xf numFmtId="167" fontId="70" fillId="0" borderId="47" xfId="0" applyNumberFormat="1" applyFont="1" applyBorder="1" applyAlignment="1">
      <alignment horizontal="left" vertical="center" wrapText="1" indent="1"/>
    </xf>
    <xf numFmtId="167" fontId="70" fillId="0" borderId="13" xfId="0" applyNumberFormat="1" applyFont="1" applyBorder="1" applyAlignment="1">
      <alignment horizontal="left" vertical="center" wrapText="1" indent="1"/>
    </xf>
    <xf numFmtId="167" fontId="70" fillId="0" borderId="90" xfId="0" applyNumberFormat="1" applyFont="1" applyBorder="1" applyAlignment="1">
      <alignment horizontal="left" vertical="center" wrapText="1" indent="1"/>
    </xf>
    <xf numFmtId="167" fontId="71" fillId="0" borderId="80" xfId="0" applyNumberFormat="1" applyFont="1" applyBorder="1" applyAlignment="1">
      <alignment horizontal="right" vertical="center" wrapText="1" indent="1"/>
    </xf>
    <xf numFmtId="167" fontId="71" fillId="0" borderId="15" xfId="0" applyNumberFormat="1" applyFont="1" applyBorder="1" applyAlignment="1">
      <alignment horizontal="center" vertical="center" wrapText="1"/>
    </xf>
    <xf numFmtId="167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7" fontId="70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70" fillId="0" borderId="47" xfId="0" applyNumberFormat="1" applyFont="1" applyBorder="1" applyAlignment="1" applyProtection="1">
      <alignment horizontal="right" vertical="center" wrapText="1" indent="1"/>
      <protection locked="0"/>
    </xf>
    <xf numFmtId="167" fontId="70" fillId="0" borderId="54" xfId="0" applyNumberFormat="1" applyFont="1" applyBorder="1" applyAlignment="1" applyProtection="1">
      <alignment horizontal="right" vertical="center" wrapText="1" indent="1"/>
      <protection locked="0"/>
    </xf>
    <xf numFmtId="167" fontId="70" fillId="0" borderId="79" xfId="0" applyNumberFormat="1" applyFont="1" applyBorder="1" applyAlignment="1" applyProtection="1">
      <alignment horizontal="right" vertical="center" wrapText="1" indent="1"/>
      <protection locked="0"/>
    </xf>
    <xf numFmtId="167" fontId="71" fillId="0" borderId="50" xfId="0" applyNumberFormat="1" applyFont="1" applyBorder="1" applyAlignment="1" applyProtection="1">
      <alignment horizontal="right" vertical="center" wrapText="1" indent="1"/>
      <protection locked="0"/>
    </xf>
    <xf numFmtId="167" fontId="65" fillId="0" borderId="74" xfId="0" applyNumberFormat="1" applyFont="1" applyBorder="1" applyAlignment="1">
      <alignment horizontal="left" vertical="center" wrapText="1" indent="1"/>
    </xf>
    <xf numFmtId="0" fontId="59" fillId="0" borderId="59" xfId="0" applyFont="1" applyBorder="1" applyAlignment="1">
      <alignment vertical="center"/>
    </xf>
    <xf numFmtId="0" fontId="59" fillId="0" borderId="34" xfId="0" applyFont="1" applyBorder="1" applyAlignment="1">
      <alignment vertical="center"/>
    </xf>
    <xf numFmtId="167" fontId="65" fillId="0" borderId="14" xfId="0" applyNumberFormat="1" applyFont="1" applyBorder="1" applyAlignment="1">
      <alignment horizontal="left" vertical="center" wrapText="1" indent="1"/>
    </xf>
    <xf numFmtId="167" fontId="65" fillId="0" borderId="32" xfId="0" applyNumberFormat="1" applyFont="1" applyBorder="1" applyAlignment="1">
      <alignment horizontal="left" vertical="center" wrapText="1" indent="1"/>
    </xf>
    <xf numFmtId="167" fontId="65" fillId="0" borderId="14" xfId="0" quotePrefix="1" applyNumberFormat="1" applyFont="1" applyBorder="1" applyAlignment="1">
      <alignment horizontal="left" vertical="center" wrapText="1" indent="3"/>
    </xf>
    <xf numFmtId="167" fontId="65" fillId="0" borderId="88" xfId="0" applyNumberFormat="1" applyFont="1" applyBorder="1" applyAlignment="1">
      <alignment horizontal="left" vertical="center" wrapText="1" indent="1"/>
    </xf>
    <xf numFmtId="167" fontId="65" fillId="0" borderId="0" xfId="0" applyNumberFormat="1" applyFont="1" applyBorder="1" applyAlignment="1">
      <alignment horizontal="left" vertical="center" wrapText="1" indent="1"/>
    </xf>
    <xf numFmtId="167" fontId="74" fillId="0" borderId="17" xfId="0" applyNumberFormat="1" applyFont="1" applyBorder="1" applyAlignment="1">
      <alignment horizontal="right" vertical="center" wrapText="1" indent="1"/>
    </xf>
    <xf numFmtId="167" fontId="70" fillId="0" borderId="14" xfId="0" applyNumberFormat="1" applyFont="1" applyBorder="1" applyAlignment="1">
      <alignment horizontal="left" vertical="center" wrapText="1" indent="2"/>
    </xf>
    <xf numFmtId="167" fontId="70" fillId="0" borderId="11" xfId="0" applyNumberFormat="1" applyFont="1" applyBorder="1" applyAlignment="1">
      <alignment horizontal="left" vertical="center" wrapText="1" indent="2"/>
    </xf>
    <xf numFmtId="167" fontId="65" fillId="0" borderId="59" xfId="0" applyNumberFormat="1" applyFont="1" applyBorder="1" applyAlignment="1">
      <alignment horizontal="left" vertical="center" wrapText="1" indent="2"/>
    </xf>
    <xf numFmtId="167" fontId="65" fillId="0" borderId="58" xfId="0" applyNumberFormat="1" applyFont="1" applyBorder="1" applyAlignment="1">
      <alignment horizontal="left" vertical="center" wrapText="1" indent="2"/>
    </xf>
    <xf numFmtId="167" fontId="71" fillId="0" borderId="55" xfId="0" applyNumberFormat="1" applyFont="1" applyBorder="1" applyAlignment="1">
      <alignment horizontal="center" vertical="center" wrapText="1"/>
    </xf>
    <xf numFmtId="167" fontId="71" fillId="0" borderId="26" xfId="0" applyNumberFormat="1" applyFont="1" applyBorder="1" applyAlignment="1">
      <alignment horizontal="center" vertical="center" wrapText="1"/>
    </xf>
    <xf numFmtId="167" fontId="65" fillId="0" borderId="17" xfId="0" applyNumberFormat="1" applyFont="1" applyBorder="1" applyAlignment="1" applyProtection="1">
      <alignment horizontal="right" vertical="center" wrapText="1" indent="1"/>
      <protection locked="0"/>
    </xf>
    <xf numFmtId="167" fontId="65" fillId="0" borderId="11" xfId="0" applyNumberFormat="1" applyFont="1" applyBorder="1" applyAlignment="1" applyProtection="1">
      <alignment horizontal="right" vertical="center" wrapText="1" indent="1"/>
      <protection locked="0"/>
    </xf>
    <xf numFmtId="167" fontId="65" fillId="0" borderId="18" xfId="0" applyNumberFormat="1" applyFont="1" applyBorder="1" applyAlignment="1" applyProtection="1">
      <alignment horizontal="right" vertical="center" wrapText="1" indent="1"/>
      <protection locked="0"/>
    </xf>
    <xf numFmtId="167" fontId="65" fillId="0" borderId="32" xfId="0" quotePrefix="1" applyNumberFormat="1" applyFont="1" applyBorder="1" applyAlignment="1">
      <alignment horizontal="left" vertical="center" wrapText="1" indent="3"/>
    </xf>
    <xf numFmtId="167" fontId="65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65" fillId="0" borderId="40" xfId="0" applyNumberFormat="1" applyFont="1" applyBorder="1" applyAlignment="1" applyProtection="1">
      <alignment horizontal="right" vertical="center" wrapText="1" indent="1"/>
      <protection locked="0"/>
    </xf>
    <xf numFmtId="167" fontId="74" fillId="0" borderId="11" xfId="0" applyNumberFormat="1" applyFont="1" applyBorder="1" applyAlignment="1">
      <alignment horizontal="left" vertical="center" wrapText="1" indent="1"/>
    </xf>
    <xf numFmtId="167" fontId="70" fillId="0" borderId="59" xfId="0" applyNumberFormat="1" applyFont="1" applyBorder="1" applyAlignment="1">
      <alignment horizontal="left" vertical="center" wrapText="1" indent="2"/>
    </xf>
    <xf numFmtId="167" fontId="70" fillId="0" borderId="58" xfId="0" applyNumberFormat="1" applyFont="1" applyBorder="1" applyAlignment="1">
      <alignment horizontal="left" vertical="center" wrapText="1" indent="2"/>
    </xf>
    <xf numFmtId="167" fontId="70" fillId="0" borderId="22" xfId="0" applyNumberFormat="1" applyFont="1" applyBorder="1" applyAlignment="1">
      <alignment horizontal="left" vertical="center" wrapText="1" indent="1"/>
    </xf>
    <xf numFmtId="167" fontId="70" fillId="0" borderId="11" xfId="0" quotePrefix="1" applyNumberFormat="1" applyFont="1" applyBorder="1" applyAlignment="1">
      <alignment horizontal="left" vertical="center" wrapText="1" indent="6"/>
    </xf>
    <xf numFmtId="167" fontId="70" fillId="0" borderId="16" xfId="0" applyNumberFormat="1" applyFont="1" applyBorder="1" applyAlignment="1">
      <alignment horizontal="left" vertical="center" wrapText="1" indent="1"/>
    </xf>
    <xf numFmtId="167" fontId="70" fillId="0" borderId="36" xfId="0" applyNumberFormat="1" applyFont="1" applyBorder="1" applyAlignment="1">
      <alignment horizontal="left" vertical="center" wrapText="1" indent="1"/>
    </xf>
    <xf numFmtId="167" fontId="70" fillId="0" borderId="17" xfId="0" applyNumberFormat="1" applyFont="1" applyBorder="1" applyAlignment="1" applyProtection="1">
      <alignment horizontal="left" vertical="center" wrapText="1" indent="1"/>
      <protection locked="0"/>
    </xf>
    <xf numFmtId="167" fontId="70" fillId="0" borderId="34" xfId="0" applyNumberFormat="1" applyFont="1" applyBorder="1" applyAlignment="1" applyProtection="1">
      <alignment horizontal="left" vertical="center" wrapText="1" indent="1"/>
      <protection locked="0"/>
    </xf>
    <xf numFmtId="167" fontId="70" fillId="0" borderId="32" xfId="0" applyNumberFormat="1" applyFont="1" applyBorder="1" applyAlignment="1" applyProtection="1">
      <alignment horizontal="left" vertical="center" wrapText="1" indent="1"/>
      <protection locked="0"/>
    </xf>
    <xf numFmtId="167" fontId="70" fillId="0" borderId="16" xfId="0" applyNumberFormat="1" applyFont="1" applyBorder="1" applyAlignment="1" applyProtection="1">
      <alignment horizontal="left" vertical="center" wrapText="1" indent="1"/>
      <protection locked="0"/>
    </xf>
    <xf numFmtId="167" fontId="70" fillId="0" borderId="0" xfId="0" applyNumberFormat="1" applyFont="1" applyBorder="1" applyAlignment="1" applyProtection="1">
      <alignment horizontal="left" vertical="center" wrapText="1" indent="1"/>
      <protection locked="0"/>
    </xf>
    <xf numFmtId="167" fontId="71" fillId="0" borderId="26" xfId="0" applyNumberFormat="1" applyFont="1" applyBorder="1" applyAlignment="1">
      <alignment horizontal="left" vertical="center" wrapText="1" indent="1"/>
    </xf>
    <xf numFmtId="167" fontId="71" fillId="0" borderId="56" xfId="0" applyNumberFormat="1" applyFont="1" applyBorder="1" applyAlignment="1">
      <alignment horizontal="left" vertical="center" wrapText="1" indent="1"/>
    </xf>
    <xf numFmtId="167" fontId="70" fillId="0" borderId="49" xfId="0" applyNumberFormat="1" applyFont="1" applyBorder="1" applyAlignment="1" applyProtection="1">
      <alignment horizontal="right" vertical="center" wrapText="1" indent="1"/>
      <protection locked="0"/>
    </xf>
    <xf numFmtId="167" fontId="71" fillId="0" borderId="15" xfId="0" applyNumberFormat="1" applyFont="1" applyBorder="1" applyAlignment="1" applyProtection="1">
      <alignment horizontal="right" vertical="center" wrapText="1" indent="1"/>
      <protection locked="0"/>
    </xf>
    <xf numFmtId="167" fontId="72" fillId="0" borderId="89" xfId="0" applyNumberFormat="1" applyFont="1" applyFill="1" applyBorder="1" applyAlignment="1">
      <alignment horizontal="right" vertical="center" wrapText="1" indent="1"/>
    </xf>
    <xf numFmtId="167" fontId="72" fillId="0" borderId="50" xfId="0" applyNumberFormat="1" applyFont="1" applyFill="1" applyBorder="1" applyAlignment="1">
      <alignment horizontal="right" vertical="center" wrapText="1" indent="1"/>
    </xf>
    <xf numFmtId="167" fontId="32" fillId="0" borderId="55" xfId="0" applyNumberFormat="1" applyFont="1" applyFill="1" applyBorder="1" applyAlignment="1">
      <alignment horizontal="center" vertical="center" wrapText="1"/>
    </xf>
    <xf numFmtId="167" fontId="32" fillId="0" borderId="56" xfId="0" applyNumberFormat="1" applyFont="1" applyFill="1" applyBorder="1" applyAlignment="1">
      <alignment horizontal="center" vertical="center" wrapText="1"/>
    </xf>
    <xf numFmtId="0" fontId="50" fillId="0" borderId="0" xfId="0" applyFont="1" applyBorder="1" applyAlignment="1">
      <alignment vertical="center"/>
    </xf>
    <xf numFmtId="0" fontId="75" fillId="1" borderId="41" xfId="0" applyFont="1" applyFill="1" applyBorder="1" applyAlignment="1">
      <alignment horizontal="left" vertical="center"/>
    </xf>
    <xf numFmtId="0" fontId="50" fillId="0" borderId="37" xfId="0" applyFont="1" applyBorder="1" applyAlignment="1">
      <alignment horizontal="left" vertical="center"/>
    </xf>
    <xf numFmtId="0" fontId="75" fillId="0" borderId="41" xfId="0" applyFont="1" applyBorder="1" applyAlignment="1">
      <alignment horizontal="left" vertical="center"/>
    </xf>
    <xf numFmtId="3" fontId="2" fillId="1" borderId="19" xfId="0" applyNumberFormat="1" applyFont="1" applyFill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24" borderId="19" xfId="0" applyNumberFormat="1" applyFont="1" applyFill="1" applyBorder="1" applyAlignment="1">
      <alignment horizontal="right" vertical="center"/>
    </xf>
    <xf numFmtId="0" fontId="2" fillId="0" borderId="71" xfId="0" applyFont="1" applyBorder="1" applyAlignment="1">
      <alignment vertical="center"/>
    </xf>
    <xf numFmtId="3" fontId="59" fillId="0" borderId="11" xfId="0" applyNumberFormat="1" applyFont="1" applyBorder="1" applyAlignment="1">
      <alignment vertical="center"/>
    </xf>
    <xf numFmtId="3" fontId="59" fillId="0" borderId="19" xfId="0" applyNumberFormat="1" applyFont="1" applyBorder="1" applyAlignment="1">
      <alignment vertical="center"/>
    </xf>
    <xf numFmtId="3" fontId="60" fillId="0" borderId="15" xfId="0" applyNumberFormat="1" applyFont="1" applyBorder="1" applyAlignment="1">
      <alignment vertical="center" wrapText="1"/>
    </xf>
    <xf numFmtId="3" fontId="59" fillId="0" borderId="15" xfId="0" applyNumberFormat="1" applyFont="1" applyBorder="1" applyAlignment="1">
      <alignment vertical="center"/>
    </xf>
    <xf numFmtId="167" fontId="32" fillId="0" borderId="37" xfId="0" applyNumberFormat="1" applyFont="1" applyFill="1" applyBorder="1" applyAlignment="1">
      <alignment horizontal="center" vertical="center" wrapText="1"/>
    </xf>
    <xf numFmtId="167" fontId="34" fillId="0" borderId="37" xfId="0" applyNumberFormat="1" applyFont="1" applyFill="1" applyBorder="1" applyAlignment="1">
      <alignment horizontal="center" vertical="center" wrapText="1"/>
    </xf>
    <xf numFmtId="167" fontId="34" fillId="0" borderId="56" xfId="0" applyNumberFormat="1" applyFont="1" applyFill="1" applyBorder="1" applyAlignment="1">
      <alignment horizontal="center" vertical="center" wrapText="1"/>
    </xf>
    <xf numFmtId="167" fontId="34" fillId="0" borderId="55" xfId="0" applyNumberFormat="1" applyFont="1" applyFill="1" applyBorder="1" applyAlignment="1">
      <alignment horizontal="center" vertical="center" wrapText="1"/>
    </xf>
    <xf numFmtId="167" fontId="35" fillId="0" borderId="73" xfId="0" applyNumberFormat="1" applyFont="1" applyFill="1" applyBorder="1" applyAlignment="1">
      <alignment horizontal="left" vertical="center" wrapText="1" indent="1"/>
    </xf>
    <xf numFmtId="167" fontId="35" fillId="0" borderId="59" xfId="0" applyNumberFormat="1" applyFont="1" applyFill="1" applyBorder="1" applyAlignment="1">
      <alignment horizontal="left" vertical="center" wrapText="1" indent="1"/>
    </xf>
    <xf numFmtId="167" fontId="36" fillId="0" borderId="59" xfId="0" applyNumberFormat="1" applyFont="1" applyFill="1" applyBorder="1" applyAlignment="1">
      <alignment horizontal="left" vertical="center" wrapText="1" indent="1"/>
    </xf>
    <xf numFmtId="167" fontId="35" fillId="0" borderId="10" xfId="0" applyNumberFormat="1" applyFont="1" applyFill="1" applyBorder="1" applyAlignment="1">
      <alignment horizontal="left" vertical="center" wrapText="1" indent="1"/>
    </xf>
    <xf numFmtId="167" fontId="70" fillId="0" borderId="59" xfId="0" applyNumberFormat="1" applyFont="1" applyFill="1" applyBorder="1" applyAlignment="1">
      <alignment horizontal="left" vertical="center" wrapText="1" indent="1"/>
    </xf>
    <xf numFmtId="167" fontId="68" fillId="0" borderId="59" xfId="0" applyNumberFormat="1" applyFont="1" applyFill="1" applyBorder="1" applyAlignment="1">
      <alignment horizontal="left" vertical="center" wrapText="1" indent="1"/>
    </xf>
    <xf numFmtId="167" fontId="35" fillId="0" borderId="32" xfId="0" applyNumberFormat="1" applyFont="1" applyFill="1" applyBorder="1" applyAlignment="1">
      <alignment horizontal="left" vertical="center" wrapText="1" indent="1"/>
    </xf>
    <xf numFmtId="167" fontId="68" fillId="0" borderId="32" xfId="0" applyNumberFormat="1" applyFont="1" applyFill="1" applyBorder="1" applyAlignment="1">
      <alignment horizontal="left" vertical="center" wrapText="1" indent="1"/>
    </xf>
    <xf numFmtId="167" fontId="70" fillId="0" borderId="32" xfId="0" applyNumberFormat="1" applyFont="1" applyFill="1" applyBorder="1" applyAlignment="1">
      <alignment horizontal="left" vertical="center" wrapText="1" indent="1"/>
    </xf>
    <xf numFmtId="167" fontId="35" fillId="0" borderId="14" xfId="0" applyNumberFormat="1" applyFont="1" applyFill="1" applyBorder="1" applyAlignment="1">
      <alignment horizontal="left" vertical="center" wrapText="1" indent="1"/>
    </xf>
    <xf numFmtId="167" fontId="68" fillId="0" borderId="14" xfId="0" applyNumberFormat="1" applyFont="1" applyFill="1" applyBorder="1" applyAlignment="1">
      <alignment horizontal="left" vertical="center" wrapText="1" indent="1"/>
    </xf>
    <xf numFmtId="167" fontId="70" fillId="0" borderId="14" xfId="0" applyNumberFormat="1" applyFont="1" applyFill="1" applyBorder="1" applyAlignment="1">
      <alignment horizontal="left" vertical="center" wrapText="1" indent="1"/>
    </xf>
    <xf numFmtId="167" fontId="36" fillId="0" borderId="11" xfId="0" applyNumberFormat="1" applyFont="1" applyFill="1" applyBorder="1" applyAlignment="1">
      <alignment horizontal="left" vertical="center" wrapText="1" indent="1"/>
    </xf>
    <xf numFmtId="167" fontId="36" fillId="0" borderId="0" xfId="0" applyNumberFormat="1" applyFont="1" applyFill="1" applyBorder="1" applyAlignment="1">
      <alignment horizontal="left" vertical="center" wrapText="1" indent="1"/>
    </xf>
    <xf numFmtId="167" fontId="68" fillId="0" borderId="0" xfId="0" applyNumberFormat="1" applyFont="1" applyFill="1" applyBorder="1" applyAlignment="1">
      <alignment horizontal="left" vertical="center" wrapText="1" indent="1"/>
    </xf>
    <xf numFmtId="167" fontId="70" fillId="0" borderId="0" xfId="0" applyNumberFormat="1" applyFont="1" applyFill="1" applyAlignment="1">
      <alignment horizontal="left" vertical="center" wrapText="1" indent="1"/>
    </xf>
    <xf numFmtId="167" fontId="3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7" fontId="3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7" fontId="6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7" fontId="70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7" fontId="35" fillId="0" borderId="78" xfId="0" applyNumberFormat="1" applyFont="1" applyFill="1" applyBorder="1" applyAlignment="1" applyProtection="1">
      <alignment horizontal="left" vertical="center" wrapText="1" indent="1"/>
      <protection locked="0"/>
    </xf>
    <xf numFmtId="167" fontId="35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7" fontId="68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7" fontId="70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7" fontId="34" fillId="0" borderId="37" xfId="0" applyNumberFormat="1" applyFont="1" applyFill="1" applyBorder="1" applyAlignment="1">
      <alignment horizontal="right" vertical="center" wrapText="1" indent="1"/>
    </xf>
    <xf numFmtId="167" fontId="71" fillId="0" borderId="55" xfId="0" applyNumberFormat="1" applyFont="1" applyFill="1" applyBorder="1" applyAlignment="1">
      <alignment horizontal="right" vertical="center" wrapText="1" indent="1"/>
    </xf>
    <xf numFmtId="167" fontId="39" fillId="0" borderId="73" xfId="0" applyNumberFormat="1" applyFont="1" applyFill="1" applyBorder="1" applyAlignment="1">
      <alignment horizontal="right" vertical="center" wrapText="1" indent="1"/>
    </xf>
    <xf numFmtId="167" fontId="74" fillId="0" borderId="22" xfId="0" applyNumberFormat="1" applyFont="1" applyFill="1" applyBorder="1" applyAlignment="1">
      <alignment horizontal="right" vertical="center" wrapText="1" indent="1"/>
    </xf>
    <xf numFmtId="167" fontId="74" fillId="0" borderId="74" xfId="0" applyNumberFormat="1" applyFont="1" applyFill="1" applyBorder="1" applyAlignment="1">
      <alignment horizontal="right" vertical="center" wrapText="1" indent="1"/>
    </xf>
    <xf numFmtId="167" fontId="36" fillId="0" borderId="10" xfId="0" applyNumberFormat="1" applyFont="1" applyFill="1" applyBorder="1" applyAlignment="1">
      <alignment horizontal="left" vertical="center" wrapText="1" indent="1"/>
    </xf>
    <xf numFmtId="167" fontId="70" fillId="0" borderId="11" xfId="0" applyNumberFormat="1" applyFont="1" applyFill="1" applyBorder="1" applyAlignment="1">
      <alignment horizontal="left" vertical="center" wrapText="1" indent="1"/>
    </xf>
    <xf numFmtId="167" fontId="36" fillId="0" borderId="14" xfId="0" applyNumberFormat="1" applyFont="1" applyFill="1" applyBorder="1" applyAlignment="1">
      <alignment horizontal="left" vertical="center" wrapText="1" indent="1"/>
    </xf>
    <xf numFmtId="167" fontId="39" fillId="0" borderId="10" xfId="0" applyNumberFormat="1" applyFont="1" applyFill="1" applyBorder="1" applyAlignment="1">
      <alignment horizontal="right" vertical="center" wrapText="1" indent="1"/>
    </xf>
    <xf numFmtId="167" fontId="39" fillId="0" borderId="14" xfId="0" applyNumberFormat="1" applyFont="1" applyFill="1" applyBorder="1" applyAlignment="1">
      <alignment horizontal="right" vertical="center" wrapText="1" indent="1"/>
    </xf>
    <xf numFmtId="167" fontId="67" fillId="0" borderId="14" xfId="0" applyNumberFormat="1" applyFont="1" applyFill="1" applyBorder="1" applyAlignment="1">
      <alignment horizontal="right" vertical="center" wrapText="1" indent="1"/>
    </xf>
    <xf numFmtId="167" fontId="74" fillId="0" borderId="14" xfId="0" applyNumberFormat="1" applyFont="1" applyFill="1" applyBorder="1" applyAlignment="1">
      <alignment horizontal="right" vertical="center" wrapText="1" indent="1"/>
    </xf>
    <xf numFmtId="167" fontId="36" fillId="0" borderId="77" xfId="0" applyNumberFormat="1" applyFont="1" applyFill="1" applyBorder="1" applyAlignment="1">
      <alignment horizontal="left" vertical="center" wrapText="1" indent="1"/>
    </xf>
    <xf numFmtId="167" fontId="68" fillId="0" borderId="77" xfId="0" applyNumberFormat="1" applyFont="1" applyFill="1" applyBorder="1" applyAlignment="1">
      <alignment horizontal="left" vertical="center" wrapText="1" indent="1"/>
    </xf>
    <xf numFmtId="167" fontId="70" fillId="0" borderId="77" xfId="0" applyNumberFormat="1" applyFont="1" applyFill="1" applyBorder="1" applyAlignment="1">
      <alignment horizontal="left" vertical="center" wrapText="1" indent="1"/>
    </xf>
    <xf numFmtId="167" fontId="36" fillId="0" borderId="78" xfId="0" applyNumberFormat="1" applyFont="1" applyFill="1" applyBorder="1" applyAlignment="1">
      <alignment horizontal="left" vertical="center" wrapText="1" indent="1"/>
    </xf>
    <xf numFmtId="167" fontId="36" fillId="0" borderId="58" xfId="0" applyNumberFormat="1" applyFont="1" applyFill="1" applyBorder="1" applyAlignment="1">
      <alignment horizontal="left" vertical="center" wrapText="1" indent="1"/>
    </xf>
    <xf numFmtId="167" fontId="68" fillId="0" borderId="58" xfId="0" applyNumberFormat="1" applyFont="1" applyFill="1" applyBorder="1" applyAlignment="1">
      <alignment horizontal="left" vertical="center" wrapText="1" indent="1"/>
    </xf>
    <xf numFmtId="167" fontId="34" fillId="0" borderId="37" xfId="0" applyNumberFormat="1" applyFont="1" applyFill="1" applyBorder="1" applyAlignment="1">
      <alignment horizontal="left" vertical="center" wrapText="1" indent="1"/>
    </xf>
    <xf numFmtId="167" fontId="34" fillId="0" borderId="56" xfId="0" applyNumberFormat="1" applyFont="1" applyFill="1" applyBorder="1" applyAlignment="1">
      <alignment horizontal="left" vertical="center" wrapText="1" indent="1"/>
    </xf>
    <xf numFmtId="167" fontId="66" fillId="0" borderId="56" xfId="0" applyNumberFormat="1" applyFont="1" applyFill="1" applyBorder="1" applyAlignment="1">
      <alignment horizontal="left" vertical="center" wrapText="1" indent="1"/>
    </xf>
    <xf numFmtId="167" fontId="71" fillId="0" borderId="55" xfId="0" applyNumberFormat="1" applyFont="1" applyFill="1" applyBorder="1" applyAlignment="1">
      <alignment horizontal="left" vertical="center" wrapText="1" indent="1"/>
    </xf>
    <xf numFmtId="167" fontId="37" fillId="0" borderId="37" xfId="0" applyNumberFormat="1" applyFont="1" applyFill="1" applyBorder="1" applyAlignment="1">
      <alignment horizontal="right" vertical="center" wrapText="1" indent="1"/>
    </xf>
    <xf numFmtId="167" fontId="72" fillId="0" borderId="37" xfId="0" applyNumberFormat="1" applyFont="1" applyFill="1" applyBorder="1" applyAlignment="1">
      <alignment horizontal="right" vertical="center" wrapText="1" indent="1"/>
    </xf>
    <xf numFmtId="0" fontId="57" fillId="0" borderId="11" xfId="0" applyFont="1" applyBorder="1" applyAlignment="1">
      <alignment horizontal="left" vertical="top" wrapText="1"/>
    </xf>
    <xf numFmtId="0" fontId="77" fillId="0" borderId="34" xfId="0" applyFont="1" applyBorder="1" applyAlignment="1">
      <alignment horizontal="right" vertical="center"/>
    </xf>
    <xf numFmtId="0" fontId="77" fillId="0" borderId="0" xfId="0" applyFont="1"/>
    <xf numFmtId="3" fontId="57" fillId="24" borderId="11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wrapText="1"/>
    </xf>
    <xf numFmtId="0" fontId="77" fillId="0" borderId="11" xfId="0" applyFont="1" applyBorder="1" applyAlignment="1">
      <alignment horizontal="center" vertical="top"/>
    </xf>
    <xf numFmtId="0" fontId="57" fillId="0" borderId="11" xfId="0" applyFont="1" applyBorder="1" applyAlignment="1">
      <alignment horizontal="right" vertical="top" wrapText="1"/>
    </xf>
    <xf numFmtId="0" fontId="63" fillId="26" borderId="11" xfId="0" applyFont="1" applyFill="1" applyBorder="1" applyAlignment="1">
      <alignment horizontal="left" vertical="top" wrapText="1"/>
    </xf>
    <xf numFmtId="0" fontId="57" fillId="0" borderId="11" xfId="0" applyFont="1" applyBorder="1" applyAlignment="1">
      <alignment horizontal="center" vertical="top" wrapText="1"/>
    </xf>
    <xf numFmtId="0" fontId="57" fillId="0" borderId="11" xfId="0" applyFont="1" applyBorder="1" applyAlignment="1">
      <alignment horizontal="left" vertical="center" wrapText="1"/>
    </xf>
    <xf numFmtId="3" fontId="57" fillId="0" borderId="11" xfId="0" applyNumberFormat="1" applyFont="1" applyBorder="1" applyAlignment="1">
      <alignment horizontal="right" vertical="center"/>
    </xf>
    <xf numFmtId="0" fontId="57" fillId="0" borderId="11" xfId="0" applyFont="1" applyBorder="1" applyAlignment="1">
      <alignment horizontal="right" vertical="center"/>
    </xf>
    <xf numFmtId="0" fontId="57" fillId="0" borderId="11" xfId="0" applyFont="1" applyBorder="1" applyAlignment="1">
      <alignment horizontal="left" vertical="center"/>
    </xf>
    <xf numFmtId="0" fontId="78" fillId="0" borderId="0" xfId="0" applyFont="1"/>
    <xf numFmtId="0" fontId="63" fillId="24" borderId="11" xfId="0" applyFont="1" applyFill="1" applyBorder="1" applyAlignment="1">
      <alignment horizontal="left" vertical="center" wrapText="1"/>
    </xf>
    <xf numFmtId="0" fontId="77" fillId="0" borderId="0" xfId="0" applyFont="1" applyAlignment="1">
      <alignment vertical="center"/>
    </xf>
    <xf numFmtId="0" fontId="77" fillId="0" borderId="11" xfId="0" applyFont="1" applyBorder="1" applyAlignment="1">
      <alignment horizontal="center"/>
    </xf>
    <xf numFmtId="0" fontId="63" fillId="26" borderId="11" xfId="0" applyFont="1" applyFill="1" applyBorder="1" applyAlignment="1">
      <alignment horizontal="right" vertical="top" wrapText="1"/>
    </xf>
    <xf numFmtId="0" fontId="77" fillId="0" borderId="11" xfId="0" applyFont="1" applyBorder="1"/>
    <xf numFmtId="3" fontId="78" fillId="28" borderId="11" xfId="0" applyNumberFormat="1" applyFont="1" applyFill="1" applyBorder="1" applyAlignment="1">
      <alignment horizontal="right"/>
    </xf>
    <xf numFmtId="0" fontId="63" fillId="24" borderId="11" xfId="0" applyFont="1" applyFill="1" applyBorder="1" applyAlignment="1">
      <alignment horizontal="left" vertical="top" wrapText="1"/>
    </xf>
    <xf numFmtId="0" fontId="63" fillId="27" borderId="11" xfId="0" applyFont="1" applyFill="1" applyBorder="1" applyAlignment="1">
      <alignment horizontal="left" vertical="center" wrapText="1"/>
    </xf>
    <xf numFmtId="0" fontId="63" fillId="0" borderId="11" xfId="0" applyFont="1" applyBorder="1" applyAlignment="1">
      <alignment horizontal="left" vertical="center" wrapText="1"/>
    </xf>
    <xf numFmtId="0" fontId="78" fillId="28" borderId="11" xfId="0" applyFont="1" applyFill="1" applyBorder="1" applyAlignment="1">
      <alignment horizontal="left"/>
    </xf>
    <xf numFmtId="168" fontId="57" fillId="0" borderId="11" xfId="42" applyNumberFormat="1" applyFont="1" applyBorder="1" applyAlignment="1">
      <alignment horizontal="right" vertical="top" wrapText="1"/>
    </xf>
    <xf numFmtId="0" fontId="63" fillId="26" borderId="11" xfId="0" applyFont="1" applyFill="1" applyBorder="1" applyAlignment="1">
      <alignment vertical="top" wrapText="1"/>
    </xf>
    <xf numFmtId="0" fontId="57" fillId="0" borderId="0" xfId="0" applyFont="1" applyBorder="1" applyAlignment="1">
      <alignment horizontal="left" vertical="top" wrapText="1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63" fillId="26" borderId="11" xfId="0" applyFont="1" applyFill="1" applyBorder="1" applyAlignment="1">
      <alignment horizontal="left" vertical="top" wrapText="1"/>
    </xf>
    <xf numFmtId="0" fontId="2" fillId="1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77" fillId="0" borderId="11" xfId="0" applyFont="1" applyBorder="1" applyAlignment="1">
      <alignment horizontal="center" vertical="center"/>
    </xf>
    <xf numFmtId="0" fontId="63" fillId="24" borderId="11" xfId="0" applyFont="1" applyFill="1" applyBorder="1" applyAlignment="1">
      <alignment horizontal="right" vertical="center" wrapText="1"/>
    </xf>
    <xf numFmtId="0" fontId="63" fillId="29" borderId="14" xfId="0" applyFont="1" applyFill="1" applyBorder="1" applyAlignment="1">
      <alignment horizontal="left" vertical="center" wrapText="1"/>
    </xf>
    <xf numFmtId="3" fontId="63" fillId="29" borderId="11" xfId="0" applyNumberFormat="1" applyFont="1" applyFill="1" applyBorder="1" applyAlignment="1">
      <alignment horizontal="center" vertical="center" wrapText="1"/>
    </xf>
    <xf numFmtId="3" fontId="63" fillId="29" borderId="11" xfId="0" applyNumberFormat="1" applyFont="1" applyFill="1" applyBorder="1" applyAlignment="1">
      <alignment horizontal="right" vertical="center" wrapText="1"/>
    </xf>
    <xf numFmtId="0" fontId="63" fillId="29" borderId="14" xfId="0" applyFont="1" applyFill="1" applyBorder="1" applyAlignment="1">
      <alignment horizontal="right" vertical="center" wrapText="1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63" fillId="27" borderId="59" xfId="0" applyFont="1" applyFill="1" applyBorder="1" applyAlignment="1">
      <alignment horizontal="left" vertical="center" wrapText="1"/>
    </xf>
    <xf numFmtId="3" fontId="57" fillId="0" borderId="11" xfId="0" applyNumberFormat="1" applyFont="1" applyFill="1" applyBorder="1" applyAlignment="1">
      <alignment horizontal="right" vertical="top" wrapText="1"/>
    </xf>
    <xf numFmtId="0" fontId="57" fillId="0" borderId="1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2" fillId="26" borderId="18" xfId="0" applyFont="1" applyFill="1" applyBorder="1" applyAlignment="1">
      <alignment horizontal="left" vertical="top" wrapText="1"/>
    </xf>
    <xf numFmtId="0" fontId="42" fillId="26" borderId="14" xfId="0" applyFont="1" applyFill="1" applyBorder="1" applyAlignment="1">
      <alignment horizontal="left" vertical="top" wrapText="1"/>
    </xf>
    <xf numFmtId="0" fontId="42" fillId="24" borderId="18" xfId="0" applyFont="1" applyFill="1" applyBorder="1" applyAlignment="1">
      <alignment horizontal="left" vertical="center" wrapText="1"/>
    </xf>
    <xf numFmtId="0" fontId="42" fillId="24" borderId="14" xfId="0" applyFont="1" applyFill="1" applyBorder="1" applyAlignment="1">
      <alignment horizontal="left" vertical="center" wrapText="1"/>
    </xf>
    <xf numFmtId="0" fontId="42" fillId="24" borderId="18" xfId="0" applyFont="1" applyFill="1" applyBorder="1" applyAlignment="1">
      <alignment horizontal="left" vertical="top" wrapText="1"/>
    </xf>
    <xf numFmtId="0" fontId="42" fillId="24" borderId="14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7" xfId="0" applyFont="1" applyFill="1" applyBorder="1" applyAlignment="1">
      <alignment horizontal="center" vertical="center" wrapText="1"/>
    </xf>
    <xf numFmtId="0" fontId="40" fillId="24" borderId="58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9" xfId="0" applyFont="1" applyFill="1" applyBorder="1" applyAlignment="1">
      <alignment horizontal="center" vertical="center" wrapText="1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2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27" fillId="26" borderId="18" xfId="0" applyFont="1" applyFill="1" applyBorder="1" applyAlignment="1">
      <alignment horizontal="left" vertical="top" wrapText="1"/>
    </xf>
    <xf numFmtId="0" fontId="47" fillId="28" borderId="18" xfId="0" applyFont="1" applyFill="1" applyBorder="1" applyAlignment="1">
      <alignment horizontal="left"/>
    </xf>
    <xf numFmtId="0" fontId="47" fillId="28" borderId="32" xfId="0" applyFont="1" applyFill="1" applyBorder="1" applyAlignment="1">
      <alignment horizontal="left"/>
    </xf>
    <xf numFmtId="0" fontId="47" fillId="28" borderId="14" xfId="0" applyFont="1" applyFill="1" applyBorder="1" applyAlignment="1">
      <alignment horizontal="left"/>
    </xf>
    <xf numFmtId="0" fontId="42" fillId="27" borderId="18" xfId="0" applyFont="1" applyFill="1" applyBorder="1" applyAlignment="1">
      <alignment horizontal="left" vertical="center" wrapText="1"/>
    </xf>
    <xf numFmtId="0" fontId="42" fillId="27" borderId="32" xfId="0" applyFont="1" applyFill="1" applyBorder="1" applyAlignment="1">
      <alignment horizontal="left" vertical="center" wrapText="1"/>
    </xf>
    <xf numFmtId="0" fontId="42" fillId="27" borderId="14" xfId="0" applyFont="1" applyFill="1" applyBorder="1" applyAlignment="1">
      <alignment horizontal="left" vertical="center" wrapText="1"/>
    </xf>
    <xf numFmtId="0" fontId="27" fillId="24" borderId="18" xfId="0" applyFont="1" applyFill="1" applyBorder="1" applyAlignment="1">
      <alignment horizontal="left" vertical="top" wrapText="1"/>
    </xf>
    <xf numFmtId="0" fontId="27" fillId="24" borderId="14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63" fillId="27" borderId="11" xfId="0" applyFont="1" applyFill="1" applyBorder="1" applyAlignment="1">
      <alignment horizontal="left" vertical="center" wrapText="1"/>
    </xf>
    <xf numFmtId="0" fontId="78" fillId="28" borderId="11" xfId="0" applyFont="1" applyFill="1" applyBorder="1" applyAlignment="1">
      <alignment horizontal="left"/>
    </xf>
    <xf numFmtId="0" fontId="77" fillId="0" borderId="11" xfId="0" applyFont="1" applyBorder="1" applyAlignment="1">
      <alignment horizontal="center"/>
    </xf>
    <xf numFmtId="0" fontId="63" fillId="24" borderId="11" xfId="0" applyFont="1" applyFill="1" applyBorder="1" applyAlignment="1">
      <alignment horizontal="left" vertical="top" wrapText="1"/>
    </xf>
    <xf numFmtId="0" fontId="77" fillId="0" borderId="19" xfId="0" applyFont="1" applyBorder="1" applyAlignment="1">
      <alignment horizontal="center"/>
    </xf>
    <xf numFmtId="0" fontId="77" fillId="0" borderId="17" xfId="0" applyFont="1" applyBorder="1" applyAlignment="1">
      <alignment horizontal="center"/>
    </xf>
    <xf numFmtId="0" fontId="63" fillId="26" borderId="11" xfId="0" applyFont="1" applyFill="1" applyBorder="1" applyAlignment="1">
      <alignment horizontal="left" vertical="top" wrapText="1"/>
    </xf>
    <xf numFmtId="0" fontId="63" fillId="24" borderId="11" xfId="0" applyFont="1" applyFill="1" applyBorder="1" applyAlignment="1">
      <alignment horizontal="left" vertical="center" wrapText="1"/>
    </xf>
    <xf numFmtId="0" fontId="57" fillId="24" borderId="18" xfId="0" applyFont="1" applyFill="1" applyBorder="1" applyAlignment="1">
      <alignment horizontal="center" vertical="center" wrapText="1"/>
    </xf>
    <xf numFmtId="0" fontId="57" fillId="24" borderId="32" xfId="0" applyFont="1" applyFill="1" applyBorder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57" fillId="24" borderId="35" xfId="0" applyFont="1" applyFill="1" applyBorder="1" applyAlignment="1">
      <alignment horizontal="center" vertical="center" wrapText="1"/>
    </xf>
    <xf numFmtId="0" fontId="57" fillId="24" borderId="57" xfId="0" applyFont="1" applyFill="1" applyBorder="1" applyAlignment="1">
      <alignment horizontal="center" vertical="center" wrapText="1"/>
    </xf>
    <xf numFmtId="0" fontId="57" fillId="24" borderId="58" xfId="0" applyFont="1" applyFill="1" applyBorder="1" applyAlignment="1">
      <alignment horizontal="center" vertical="center" wrapText="1"/>
    </xf>
    <xf numFmtId="0" fontId="57" fillId="24" borderId="40" xfId="0" applyFont="1" applyFill="1" applyBorder="1" applyAlignment="1">
      <alignment horizontal="center" vertical="center" wrapText="1"/>
    </xf>
    <xf numFmtId="0" fontId="57" fillId="24" borderId="0" xfId="0" applyFont="1" applyFill="1" applyBorder="1" applyAlignment="1">
      <alignment horizontal="center" vertical="center" wrapText="1"/>
    </xf>
    <xf numFmtId="0" fontId="57" fillId="24" borderId="77" xfId="0" applyFont="1" applyFill="1" applyBorder="1" applyAlignment="1">
      <alignment horizontal="center" vertical="center" wrapText="1"/>
    </xf>
    <xf numFmtId="0" fontId="57" fillId="24" borderId="27" xfId="0" applyFont="1" applyFill="1" applyBorder="1" applyAlignment="1">
      <alignment horizontal="center" vertical="center" wrapText="1"/>
    </xf>
    <xf numFmtId="0" fontId="57" fillId="24" borderId="34" xfId="0" applyFont="1" applyFill="1" applyBorder="1" applyAlignment="1">
      <alignment horizontal="center" vertical="center" wrapText="1"/>
    </xf>
    <xf numFmtId="0" fontId="57" fillId="24" borderId="59" xfId="0" applyFont="1" applyFill="1" applyBorder="1" applyAlignment="1">
      <alignment horizontal="center" vertical="center" wrapText="1"/>
    </xf>
    <xf numFmtId="0" fontId="57" fillId="24" borderId="19" xfId="0" applyFont="1" applyFill="1" applyBorder="1" applyAlignment="1">
      <alignment horizontal="center" vertical="center" wrapText="1"/>
    </xf>
    <xf numFmtId="0" fontId="57" fillId="24" borderId="36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vertical="center" wrapText="1"/>
    </xf>
    <xf numFmtId="3" fontId="57" fillId="24" borderId="35" xfId="0" applyNumberFormat="1" applyFont="1" applyFill="1" applyBorder="1" applyAlignment="1">
      <alignment horizontal="center" vertical="center" wrapText="1"/>
    </xf>
    <xf numFmtId="3" fontId="57" fillId="24" borderId="57" xfId="0" applyNumberFormat="1" applyFont="1" applyFill="1" applyBorder="1" applyAlignment="1">
      <alignment horizontal="center" vertical="center" wrapText="1"/>
    </xf>
    <xf numFmtId="3" fontId="57" fillId="24" borderId="58" xfId="0" applyNumberFormat="1" applyFont="1" applyFill="1" applyBorder="1" applyAlignment="1">
      <alignment horizontal="center" vertical="center" wrapText="1"/>
    </xf>
    <xf numFmtId="3" fontId="57" fillId="24" borderId="19" xfId="0" applyNumberFormat="1" applyFont="1" applyFill="1" applyBorder="1" applyAlignment="1">
      <alignment horizontal="center" vertical="center" wrapText="1"/>
    </xf>
    <xf numFmtId="3" fontId="57" fillId="24" borderId="17" xfId="0" applyNumberFormat="1" applyFont="1" applyFill="1" applyBorder="1" applyAlignment="1">
      <alignment horizontal="center" vertical="center" wrapText="1"/>
    </xf>
    <xf numFmtId="0" fontId="76" fillId="0" borderId="34" xfId="0" applyFont="1" applyBorder="1" applyAlignment="1">
      <alignment horizontal="center" vertical="center"/>
    </xf>
    <xf numFmtId="0" fontId="27" fillId="29" borderId="18" xfId="0" applyFont="1" applyFill="1" applyBorder="1" applyAlignment="1">
      <alignment horizontal="left" vertical="center" wrapText="1"/>
    </xf>
    <xf numFmtId="0" fontId="27" fillId="29" borderId="14" xfId="0" applyFont="1" applyFill="1" applyBorder="1" applyAlignment="1">
      <alignment horizontal="left" vertical="center" wrapText="1"/>
    </xf>
    <xf numFmtId="0" fontId="42" fillId="24" borderId="11" xfId="0" applyFont="1" applyFill="1" applyBorder="1" applyAlignment="1">
      <alignment horizontal="left" vertical="center" wrapText="1"/>
    </xf>
    <xf numFmtId="0" fontId="44" fillId="0" borderId="1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43" fillId="28" borderId="11" xfId="0" applyFont="1" applyFill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2" fillId="27" borderId="27" xfId="0" applyFont="1" applyFill="1" applyBorder="1" applyAlignment="1">
      <alignment horizontal="left" vertical="center" wrapText="1"/>
    </xf>
    <xf numFmtId="0" fontId="42" fillId="27" borderId="34" xfId="0" applyFont="1" applyFill="1" applyBorder="1" applyAlignment="1">
      <alignment horizontal="left" vertical="center" wrapText="1"/>
    </xf>
    <xf numFmtId="0" fontId="42" fillId="27" borderId="59" xfId="0" applyFont="1" applyFill="1" applyBorder="1" applyAlignment="1">
      <alignment horizontal="left" vertical="center" wrapText="1"/>
    </xf>
    <xf numFmtId="0" fontId="42" fillId="27" borderId="11" xfId="0" applyFont="1" applyFill="1" applyBorder="1" applyAlignment="1">
      <alignment horizontal="left" vertical="center" wrapText="1"/>
    </xf>
    <xf numFmtId="0" fontId="63" fillId="27" borderId="27" xfId="0" applyFont="1" applyFill="1" applyBorder="1" applyAlignment="1">
      <alignment horizontal="left" vertical="center" wrapText="1"/>
    </xf>
    <xf numFmtId="0" fontId="63" fillId="27" borderId="34" xfId="0" applyFont="1" applyFill="1" applyBorder="1" applyAlignment="1">
      <alignment horizontal="left" vertical="center" wrapText="1"/>
    </xf>
    <xf numFmtId="0" fontId="63" fillId="27" borderId="59" xfId="0" applyFont="1" applyFill="1" applyBorder="1" applyAlignment="1">
      <alignment horizontal="left" vertical="center" wrapText="1"/>
    </xf>
    <xf numFmtId="0" fontId="77" fillId="0" borderId="36" xfId="0" applyFont="1" applyBorder="1" applyAlignment="1">
      <alignment horizontal="center"/>
    </xf>
    <xf numFmtId="0" fontId="63" fillId="29" borderId="18" xfId="0" applyFont="1" applyFill="1" applyBorder="1" applyAlignment="1">
      <alignment horizontal="left" vertical="center" wrapText="1"/>
    </xf>
    <xf numFmtId="0" fontId="63" fillId="29" borderId="14" xfId="0" applyFont="1" applyFill="1" applyBorder="1" applyAlignment="1">
      <alignment horizontal="left" vertical="center" wrapText="1"/>
    </xf>
    <xf numFmtId="167" fontId="29" fillId="0" borderId="0" xfId="0" applyNumberFormat="1" applyFont="1" applyAlignment="1">
      <alignment horizontal="center" textRotation="180" wrapText="1"/>
    </xf>
    <xf numFmtId="167" fontId="31" fillId="0" borderId="38" xfId="0" applyNumberFormat="1" applyFont="1" applyBorder="1" applyAlignment="1">
      <alignment horizontal="center" vertical="center" wrapText="1"/>
    </xf>
    <xf numFmtId="167" fontId="31" fillId="0" borderId="43" xfId="0" applyNumberFormat="1" applyFont="1" applyBorder="1" applyAlignment="1">
      <alignment horizontal="center" vertical="center" wrapText="1"/>
    </xf>
    <xf numFmtId="167" fontId="31" fillId="0" borderId="60" xfId="0" applyNumberFormat="1" applyFont="1" applyBorder="1" applyAlignment="1">
      <alignment horizontal="center" vertical="center" wrapText="1"/>
    </xf>
    <xf numFmtId="167" fontId="31" fillId="0" borderId="61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65" xfId="0" applyFont="1" applyFill="1" applyBorder="1" applyAlignment="1">
      <alignment horizontal="center" vertical="center" wrapText="1"/>
    </xf>
    <xf numFmtId="0" fontId="2" fillId="24" borderId="52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8" fillId="1" borderId="62" xfId="0" applyFont="1" applyFill="1" applyBorder="1" applyAlignment="1">
      <alignment horizontal="left" vertical="center"/>
    </xf>
    <xf numFmtId="0" fontId="8" fillId="1" borderId="57" xfId="0" applyFont="1" applyFill="1" applyBorder="1" applyAlignment="1">
      <alignment horizontal="left" vertical="center"/>
    </xf>
    <xf numFmtId="0" fontId="2" fillId="24" borderId="63" xfId="0" applyFont="1" applyFill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55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vertical="center"/>
    </xf>
    <xf numFmtId="3" fontId="2" fillId="24" borderId="44" xfId="0" applyNumberFormat="1" applyFont="1" applyFill="1" applyBorder="1" applyAlignment="1">
      <alignment horizontal="center" vertical="center" wrapText="1"/>
    </xf>
    <xf numFmtId="3" fontId="2" fillId="24" borderId="56" xfId="0" applyNumberFormat="1" applyFont="1" applyFill="1" applyBorder="1" applyAlignment="1">
      <alignment horizontal="center" vertical="center" wrapText="1"/>
    </xf>
    <xf numFmtId="3" fontId="2" fillId="24" borderId="50" xfId="0" applyNumberFormat="1" applyFont="1" applyFill="1" applyBorder="1" applyAlignment="1">
      <alignment horizontal="center" vertical="center" wrapText="1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67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7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0" borderId="4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55" fillId="1" borderId="18" xfId="0" applyFont="1" applyFill="1" applyBorder="1" applyAlignment="1">
      <alignment horizontal="left" vertical="center"/>
    </xf>
    <xf numFmtId="0" fontId="55" fillId="1" borderId="32" xfId="0" applyFont="1" applyFill="1" applyBorder="1" applyAlignment="1">
      <alignment horizontal="left" vertical="center"/>
    </xf>
    <xf numFmtId="0" fontId="55" fillId="1" borderId="14" xfId="0" applyFont="1" applyFill="1" applyBorder="1" applyAlignment="1">
      <alignment horizontal="left" vertical="center"/>
    </xf>
    <xf numFmtId="0" fontId="2" fillId="24" borderId="68" xfId="0" applyFont="1" applyFill="1" applyBorder="1" applyAlignment="1">
      <alignment horizontal="left" vertical="center"/>
    </xf>
    <xf numFmtId="0" fontId="2" fillId="24" borderId="69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24" borderId="26" xfId="0" applyFont="1" applyFill="1" applyBorder="1" applyAlignment="1">
      <alignment horizontal="left" vertical="center"/>
    </xf>
    <xf numFmtId="0" fontId="2" fillId="24" borderId="23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4" borderId="19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67" fontId="32" fillId="0" borderId="38" xfId="0" applyNumberFormat="1" applyFont="1" applyBorder="1" applyAlignment="1">
      <alignment horizontal="center" vertical="center" wrapText="1"/>
    </xf>
    <xf numFmtId="167" fontId="32" fillId="0" borderId="43" xfId="0" applyNumberFormat="1" applyFont="1" applyBorder="1" applyAlignment="1">
      <alignment horizontal="center" vertical="center" wrapText="1"/>
    </xf>
    <xf numFmtId="167" fontId="32" fillId="0" borderId="67" xfId="0" applyNumberFormat="1" applyFont="1" applyBorder="1" applyAlignment="1">
      <alignment horizontal="center" vertical="center" wrapText="1"/>
    </xf>
    <xf numFmtId="167" fontId="32" fillId="0" borderId="21" xfId="0" applyNumberFormat="1" applyFont="1" applyBorder="1" applyAlignment="1">
      <alignment horizontal="center" vertical="center" wrapText="1"/>
    </xf>
    <xf numFmtId="167" fontId="32" fillId="0" borderId="75" xfId="0" applyNumberFormat="1" applyFont="1" applyBorder="1" applyAlignment="1">
      <alignment horizontal="center" vertical="center" wrapText="1"/>
    </xf>
    <xf numFmtId="167" fontId="32" fillId="0" borderId="16" xfId="0" applyNumberFormat="1" applyFont="1" applyBorder="1" applyAlignment="1">
      <alignment horizontal="center" vertical="center"/>
    </xf>
    <xf numFmtId="167" fontId="32" fillId="0" borderId="16" xfId="0" applyNumberFormat="1" applyFont="1" applyBorder="1" applyAlignment="1">
      <alignment horizontal="center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2" fillId="24" borderId="72" xfId="0" applyFont="1" applyFill="1" applyBorder="1" applyAlignment="1">
      <alignment horizontal="center" vertical="center" wrapText="1"/>
    </xf>
    <xf numFmtId="49" fontId="2" fillId="24" borderId="67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43" fontId="2" fillId="24" borderId="65" xfId="0" applyNumberFormat="1" applyFont="1" applyFill="1" applyBorder="1" applyAlignment="1">
      <alignment horizontal="center" vertical="center" wrapText="1"/>
    </xf>
    <xf numFmtId="43" fontId="2" fillId="24" borderId="52" xfId="0" applyNumberFormat="1" applyFont="1" applyFill="1" applyBorder="1" applyAlignment="1">
      <alignment horizontal="center" vertical="center" wrapText="1"/>
    </xf>
    <xf numFmtId="0" fontId="2" fillId="24" borderId="73" xfId="0" applyFont="1" applyFill="1" applyBorder="1" applyAlignment="1">
      <alignment horizontal="center" vertical="center" wrapText="1"/>
    </xf>
    <xf numFmtId="0" fontId="2" fillId="24" borderId="74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0" fillId="0" borderId="37" xfId="0" applyBorder="1"/>
    <xf numFmtId="0" fontId="0" fillId="0" borderId="44" xfId="0" applyBorder="1"/>
    <xf numFmtId="0" fontId="3" fillId="0" borderId="4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3" fontId="57" fillId="0" borderId="18" xfId="0" applyNumberFormat="1" applyFont="1" applyBorder="1" applyAlignment="1">
      <alignment horizontal="right" vertical="top" wrapText="1"/>
    </xf>
    <xf numFmtId="3" fontId="63" fillId="26" borderId="18" xfId="0" applyNumberFormat="1" applyFont="1" applyFill="1" applyBorder="1" applyAlignment="1">
      <alignment horizontal="right" vertical="top" wrapText="1"/>
    </xf>
    <xf numFmtId="3" fontId="63" fillId="24" borderId="18" xfId="0" applyNumberFormat="1" applyFont="1" applyFill="1" applyBorder="1" applyAlignment="1">
      <alignment horizontal="right" vertical="center" wrapText="1"/>
    </xf>
    <xf numFmtId="3" fontId="63" fillId="24" borderId="18" xfId="0" applyNumberFormat="1" applyFont="1" applyFill="1" applyBorder="1" applyAlignment="1">
      <alignment horizontal="right" vertical="top" wrapText="1"/>
    </xf>
    <xf numFmtId="3" fontId="63" fillId="27" borderId="18" xfId="0" applyNumberFormat="1" applyFont="1" applyFill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top" wrapText="1"/>
    </xf>
    <xf numFmtId="3" fontId="61" fillId="0" borderId="18" xfId="0" applyNumberFormat="1" applyFont="1" applyBorder="1" applyAlignment="1">
      <alignment horizontal="right" vertical="top" wrapText="1"/>
    </xf>
    <xf numFmtId="3" fontId="27" fillId="24" borderId="18" xfId="0" applyNumberFormat="1" applyFont="1" applyFill="1" applyBorder="1" applyAlignment="1">
      <alignment horizontal="right" vertical="top" wrapText="1"/>
    </xf>
    <xf numFmtId="3" fontId="64" fillId="28" borderId="18" xfId="0" applyNumberFormat="1" applyFont="1" applyFill="1" applyBorder="1" applyAlignment="1">
      <alignment horizontal="right"/>
    </xf>
    <xf numFmtId="3" fontId="41" fillId="0" borderId="14" xfId="0" applyNumberFormat="1" applyFont="1" applyBorder="1" applyAlignment="1">
      <alignment horizontal="right" vertical="top" wrapText="1"/>
    </xf>
    <xf numFmtId="3" fontId="27" fillId="26" borderId="14" xfId="0" applyNumberFormat="1" applyFont="1" applyFill="1" applyBorder="1" applyAlignment="1">
      <alignment horizontal="right" vertical="top" wrapText="1"/>
    </xf>
    <xf numFmtId="3" fontId="27" fillId="24" borderId="14" xfId="0" applyNumberFormat="1" applyFont="1" applyFill="1" applyBorder="1" applyAlignment="1">
      <alignment horizontal="right" vertical="center" wrapText="1"/>
    </xf>
    <xf numFmtId="3" fontId="27" fillId="24" borderId="14" xfId="0" applyNumberFormat="1" applyFont="1" applyFill="1" applyBorder="1" applyAlignment="1">
      <alignment horizontal="right" vertical="top" wrapText="1"/>
    </xf>
    <xf numFmtId="3" fontId="47" fillId="28" borderId="14" xfId="0" applyNumberFormat="1" applyFont="1" applyFill="1" applyBorder="1" applyAlignment="1">
      <alignment horizontal="right"/>
    </xf>
    <xf numFmtId="3" fontId="40" fillId="24" borderId="94" xfId="0" applyNumberFormat="1" applyFont="1" applyFill="1" applyBorder="1" applyAlignment="1">
      <alignment horizontal="center" vertical="center" wrapText="1"/>
    </xf>
    <xf numFmtId="3" fontId="40" fillId="24" borderId="95" xfId="0" applyNumberFormat="1" applyFont="1" applyFill="1" applyBorder="1" applyAlignment="1">
      <alignment horizontal="center" vertical="center" wrapText="1"/>
    </xf>
    <xf numFmtId="3" fontId="40" fillId="24" borderId="96" xfId="0" applyNumberFormat="1" applyFont="1" applyFill="1" applyBorder="1" applyAlignment="1">
      <alignment horizontal="center" vertical="center" wrapText="1"/>
    </xf>
    <xf numFmtId="3" fontId="40" fillId="24" borderId="97" xfId="0" applyNumberFormat="1" applyFont="1" applyFill="1" applyBorder="1" applyAlignment="1">
      <alignment horizontal="center" vertical="center" wrapText="1"/>
    </xf>
    <xf numFmtId="3" fontId="41" fillId="0" borderId="96" xfId="0" applyNumberFormat="1" applyFont="1" applyBorder="1" applyAlignment="1">
      <alignment horizontal="right" vertical="top" wrapText="1"/>
    </xf>
    <xf numFmtId="3" fontId="41" fillId="0" borderId="97" xfId="0" applyNumberFormat="1" applyFont="1" applyBorder="1" applyAlignment="1">
      <alignment horizontal="right" vertical="top" wrapText="1"/>
    </xf>
    <xf numFmtId="3" fontId="27" fillId="26" borderId="96" xfId="0" applyNumberFormat="1" applyFont="1" applyFill="1" applyBorder="1" applyAlignment="1">
      <alignment horizontal="right" vertical="top" wrapText="1"/>
    </xf>
    <xf numFmtId="3" fontId="27" fillId="26" borderId="97" xfId="0" applyNumberFormat="1" applyFont="1" applyFill="1" applyBorder="1" applyAlignment="1">
      <alignment horizontal="right" vertical="top" wrapText="1"/>
    </xf>
    <xf numFmtId="3" fontId="27" fillId="24" borderId="96" xfId="0" applyNumberFormat="1" applyFont="1" applyFill="1" applyBorder="1" applyAlignment="1">
      <alignment horizontal="right" vertical="center" wrapText="1"/>
    </xf>
    <xf numFmtId="3" fontId="27" fillId="24" borderId="97" xfId="0" applyNumberFormat="1" applyFont="1" applyFill="1" applyBorder="1" applyAlignment="1">
      <alignment horizontal="right" vertical="center" wrapText="1"/>
    </xf>
    <xf numFmtId="3" fontId="27" fillId="24" borderId="96" xfId="0" applyNumberFormat="1" applyFont="1" applyFill="1" applyBorder="1" applyAlignment="1">
      <alignment horizontal="right" vertical="top" wrapText="1"/>
    </xf>
    <xf numFmtId="3" fontId="27" fillId="24" borderId="97" xfId="0" applyNumberFormat="1" applyFont="1" applyFill="1" applyBorder="1" applyAlignment="1">
      <alignment horizontal="right" vertical="top" wrapText="1"/>
    </xf>
    <xf numFmtId="3" fontId="27" fillId="27" borderId="96" xfId="0" applyNumberFormat="1" applyFont="1" applyFill="1" applyBorder="1" applyAlignment="1">
      <alignment horizontal="right" vertical="center" wrapText="1"/>
    </xf>
    <xf numFmtId="3" fontId="27" fillId="27" borderId="97" xfId="0" applyNumberFormat="1" applyFont="1" applyFill="1" applyBorder="1" applyAlignment="1">
      <alignment horizontal="right" vertical="center" wrapText="1"/>
    </xf>
    <xf numFmtId="0" fontId="41" fillId="0" borderId="96" xfId="0" applyFont="1" applyBorder="1" applyAlignment="1">
      <alignment horizontal="left" vertical="top" wrapText="1"/>
    </xf>
    <xf numFmtId="0" fontId="41" fillId="0" borderId="97" xfId="0" applyFont="1" applyBorder="1" applyAlignment="1">
      <alignment horizontal="left" vertical="top" wrapText="1"/>
    </xf>
    <xf numFmtId="3" fontId="47" fillId="28" borderId="96" xfId="0" applyNumberFormat="1" applyFont="1" applyFill="1" applyBorder="1" applyAlignment="1">
      <alignment horizontal="right"/>
    </xf>
    <xf numFmtId="3" fontId="47" fillId="28" borderId="97" xfId="0" applyNumberFormat="1" applyFont="1" applyFill="1" applyBorder="1" applyAlignment="1">
      <alignment horizontal="right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3" fontId="27" fillId="24" borderId="18" xfId="0" applyNumberFormat="1" applyFont="1" applyFill="1" applyBorder="1" applyAlignment="1">
      <alignment horizontal="right" vertical="center" wrapText="1"/>
    </xf>
    <xf numFmtId="3" fontId="62" fillId="29" borderId="18" xfId="0" applyNumberFormat="1" applyFont="1" applyFill="1" applyBorder="1" applyAlignment="1">
      <alignment horizontal="center" vertical="center" wrapText="1"/>
    </xf>
    <xf numFmtId="3" fontId="27" fillId="27" borderId="18" xfId="0" applyNumberFormat="1" applyFont="1" applyFill="1" applyBorder="1" applyAlignment="1">
      <alignment horizontal="right" vertical="center" wrapText="1"/>
    </xf>
    <xf numFmtId="3" fontId="43" fillId="28" borderId="18" xfId="0" applyNumberFormat="1" applyFont="1" applyFill="1" applyBorder="1" applyAlignment="1">
      <alignment horizontal="right"/>
    </xf>
    <xf numFmtId="3" fontId="42" fillId="24" borderId="14" xfId="0" applyNumberFormat="1" applyFont="1" applyFill="1" applyBorder="1" applyAlignment="1">
      <alignment horizontal="right" vertical="center" wrapText="1"/>
    </xf>
    <xf numFmtId="3" fontId="43" fillId="28" borderId="14" xfId="0" applyNumberFormat="1" applyFont="1" applyFill="1" applyBorder="1" applyAlignment="1">
      <alignment horizontal="right"/>
    </xf>
    <xf numFmtId="3" fontId="61" fillId="0" borderId="97" xfId="0" applyNumberFormat="1" applyFont="1" applyBorder="1" applyAlignment="1">
      <alignment horizontal="right" vertical="top" wrapText="1"/>
    </xf>
    <xf numFmtId="3" fontId="27" fillId="29" borderId="96" xfId="0" applyNumberFormat="1" applyFont="1" applyFill="1" applyBorder="1" applyAlignment="1">
      <alignment horizontal="right" vertical="center" wrapText="1"/>
    </xf>
    <xf numFmtId="3" fontId="62" fillId="29" borderId="97" xfId="0" applyNumberFormat="1" applyFont="1" applyFill="1" applyBorder="1" applyAlignment="1">
      <alignment horizontal="right" vertical="center" wrapText="1"/>
    </xf>
    <xf numFmtId="3" fontId="62" fillId="24" borderId="97" xfId="0" applyNumberFormat="1" applyFont="1" applyFill="1" applyBorder="1" applyAlignment="1">
      <alignment horizontal="right" vertical="center" wrapText="1"/>
    </xf>
    <xf numFmtId="3" fontId="43" fillId="28" borderId="96" xfId="0" applyNumberFormat="1" applyFont="1" applyFill="1" applyBorder="1" applyAlignment="1">
      <alignment horizontal="right"/>
    </xf>
    <xf numFmtId="3" fontId="43" fillId="28" borderId="97" xfId="0" applyNumberFormat="1" applyFont="1" applyFill="1" applyBorder="1" applyAlignment="1">
      <alignment horizontal="right"/>
    </xf>
    <xf numFmtId="3" fontId="27" fillId="31" borderId="14" xfId="0" applyNumberFormat="1" applyFont="1" applyFill="1" applyBorder="1" applyAlignment="1">
      <alignment horizontal="right" vertical="center" wrapText="1"/>
    </xf>
    <xf numFmtId="3" fontId="27" fillId="31" borderId="11" xfId="0" applyNumberFormat="1" applyFont="1" applyFill="1" applyBorder="1" applyAlignment="1">
      <alignment horizontal="right" vertical="center" wrapText="1"/>
    </xf>
    <xf numFmtId="3" fontId="42" fillId="31" borderId="14" xfId="0" applyNumberFormat="1" applyFont="1" applyFill="1" applyBorder="1" applyAlignment="1">
      <alignment horizontal="right" vertical="center" wrapText="1"/>
    </xf>
    <xf numFmtId="3" fontId="42" fillId="31" borderId="11" xfId="0" applyNumberFormat="1" applyFont="1" applyFill="1" applyBorder="1" applyAlignment="1">
      <alignment horizontal="right" vertical="center" wrapText="1"/>
    </xf>
    <xf numFmtId="0" fontId="63" fillId="24" borderId="19" xfId="0" applyFont="1" applyFill="1" applyBorder="1" applyAlignment="1">
      <alignment horizontal="left" vertical="top" wrapText="1"/>
    </xf>
    <xf numFmtId="0" fontId="63" fillId="24" borderId="19" xfId="0" applyFont="1" applyFill="1" applyBorder="1" applyAlignment="1">
      <alignment horizontal="left" vertical="top" wrapText="1"/>
    </xf>
    <xf numFmtId="3" fontId="63" fillId="24" borderId="19" xfId="0" applyNumberFormat="1" applyFont="1" applyFill="1" applyBorder="1" applyAlignment="1">
      <alignment horizontal="right" vertical="top" wrapText="1"/>
    </xf>
    <xf numFmtId="0" fontId="77" fillId="0" borderId="17" xfId="0" applyFont="1" applyBorder="1"/>
    <xf numFmtId="0" fontId="57" fillId="0" borderId="17" xfId="0" applyFont="1" applyBorder="1" applyAlignment="1">
      <alignment horizontal="left" vertical="top" wrapText="1"/>
    </xf>
    <xf numFmtId="0" fontId="57" fillId="0" borderId="17" xfId="0" applyFont="1" applyBorder="1" applyAlignment="1">
      <alignment horizontal="right" vertical="top" wrapText="1"/>
    </xf>
    <xf numFmtId="3" fontId="57" fillId="0" borderId="17" xfId="0" applyNumberFormat="1" applyFont="1" applyBorder="1" applyAlignment="1">
      <alignment horizontal="right" vertical="top" wrapText="1"/>
    </xf>
    <xf numFmtId="3" fontId="77" fillId="0" borderId="0" xfId="0" applyNumberFormat="1" applyFont="1"/>
    <xf numFmtId="0" fontId="2" fillId="0" borderId="53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3" fontId="3" fillId="0" borderId="79" xfId="0" applyNumberFormat="1" applyFont="1" applyBorder="1" applyAlignment="1">
      <alignment horizontal="right" vertical="center"/>
    </xf>
    <xf numFmtId="0" fontId="50" fillId="0" borderId="54" xfId="0" applyFont="1" applyBorder="1" applyAlignment="1">
      <alignment vertical="center"/>
    </xf>
    <xf numFmtId="3" fontId="3" fillId="0" borderId="79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5" fillId="1" borderId="54" xfId="0" applyFont="1" applyFill="1" applyBorder="1" applyAlignment="1">
      <alignment horizontal="left" vertical="center"/>
    </xf>
    <xf numFmtId="0" fontId="50" fillId="0" borderId="50" xfId="0" applyFont="1" applyBorder="1" applyAlignment="1">
      <alignment horizontal="left" vertical="center"/>
    </xf>
    <xf numFmtId="0" fontId="75" fillId="0" borderId="54" xfId="0" applyFont="1" applyBorder="1" applyAlignment="1">
      <alignment horizontal="left"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42" builtinId="3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indexed="17"/>
    <pageSetUpPr fitToPage="1"/>
  </sheetPr>
  <dimension ref="A1:V51"/>
  <sheetViews>
    <sheetView zoomScale="80" zoomScaleNormal="80" workbookViewId="0">
      <selection sqref="A1:V1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9.140625" customWidth="1"/>
    <col min="5" max="5" width="15.5703125" style="217" bestFit="1" customWidth="1"/>
    <col min="6" max="6" width="15" style="217" bestFit="1" customWidth="1"/>
    <col min="7" max="8" width="15" style="217" customWidth="1"/>
    <col min="9" max="10" width="13.85546875" style="217" customWidth="1"/>
    <col min="11" max="11" width="13.5703125" style="217" bestFit="1" customWidth="1"/>
    <col min="12" max="14" width="12.7109375" style="217" customWidth="1"/>
    <col min="15" max="16" width="13.5703125" style="217" bestFit="1" customWidth="1"/>
    <col min="17" max="17" width="15.5703125" style="217" bestFit="1" customWidth="1"/>
    <col min="18" max="22" width="14.42578125" style="217" customWidth="1"/>
  </cols>
  <sheetData>
    <row r="1" spans="1:22" ht="21.75" customHeight="1" x14ac:dyDescent="0.2">
      <c r="A1" s="556" t="s">
        <v>475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</row>
    <row r="2" spans="1:22" ht="28.5" customHeight="1" x14ac:dyDescent="0.2">
      <c r="A2" s="557" t="s">
        <v>100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237" t="s">
        <v>375</v>
      </c>
    </row>
    <row r="3" spans="1:22" ht="36.75" customHeight="1" x14ac:dyDescent="0.2">
      <c r="A3" s="565" t="s">
        <v>35</v>
      </c>
      <c r="B3" s="566"/>
      <c r="C3" s="567"/>
      <c r="D3" s="755" t="s">
        <v>307</v>
      </c>
      <c r="E3" s="571" t="s">
        <v>199</v>
      </c>
      <c r="F3" s="572"/>
      <c r="G3" s="572"/>
      <c r="H3" s="572"/>
      <c r="I3" s="572"/>
      <c r="J3" s="572"/>
      <c r="K3" s="737" t="s">
        <v>276</v>
      </c>
      <c r="L3" s="572"/>
      <c r="M3" s="572"/>
      <c r="N3" s="572"/>
      <c r="O3" s="572"/>
      <c r="P3" s="738"/>
      <c r="Q3" s="572" t="s">
        <v>198</v>
      </c>
      <c r="R3" s="572"/>
      <c r="S3" s="572"/>
      <c r="T3" s="572"/>
      <c r="U3" s="572"/>
      <c r="V3" s="573"/>
    </row>
    <row r="4" spans="1:22" ht="30" x14ac:dyDescent="0.2">
      <c r="A4" s="568"/>
      <c r="B4" s="569"/>
      <c r="C4" s="570"/>
      <c r="D4" s="756"/>
      <c r="E4" s="144" t="s">
        <v>469</v>
      </c>
      <c r="F4" s="144" t="s">
        <v>419</v>
      </c>
      <c r="G4" s="144" t="s">
        <v>433</v>
      </c>
      <c r="H4" s="144" t="s">
        <v>449</v>
      </c>
      <c r="I4" s="144" t="s">
        <v>420</v>
      </c>
      <c r="J4" s="540" t="s">
        <v>421</v>
      </c>
      <c r="K4" s="739" t="s">
        <v>469</v>
      </c>
      <c r="L4" s="144" t="s">
        <v>419</v>
      </c>
      <c r="M4" s="144" t="s">
        <v>439</v>
      </c>
      <c r="N4" s="144" t="s">
        <v>449</v>
      </c>
      <c r="O4" s="144" t="s">
        <v>420</v>
      </c>
      <c r="P4" s="740" t="s">
        <v>421</v>
      </c>
      <c r="Q4" s="541" t="s">
        <v>429</v>
      </c>
      <c r="R4" s="144" t="s">
        <v>425</v>
      </c>
      <c r="S4" s="144" t="s">
        <v>433</v>
      </c>
      <c r="T4" s="144" t="s">
        <v>449</v>
      </c>
      <c r="U4" s="144" t="s">
        <v>424</v>
      </c>
      <c r="V4" s="144" t="s">
        <v>421</v>
      </c>
    </row>
    <row r="5" spans="1:22" ht="17.25" customHeight="1" x14ac:dyDescent="0.2">
      <c r="A5" s="564" t="s">
        <v>36</v>
      </c>
      <c r="B5" s="140"/>
      <c r="C5" s="137" t="s">
        <v>221</v>
      </c>
      <c r="D5" s="137" t="s">
        <v>310</v>
      </c>
      <c r="E5" s="138">
        <v>75428581</v>
      </c>
      <c r="F5" s="138">
        <v>23382844</v>
      </c>
      <c r="G5" s="138">
        <v>523962</v>
      </c>
      <c r="H5" s="138">
        <f>I5-G5-F5-E5</f>
        <v>53743</v>
      </c>
      <c r="I5" s="292">
        <v>99389130</v>
      </c>
      <c r="J5" s="723">
        <v>99389130</v>
      </c>
      <c r="K5" s="741">
        <v>0</v>
      </c>
      <c r="L5" s="138">
        <v>0</v>
      </c>
      <c r="M5" s="138">
        <v>0</v>
      </c>
      <c r="N5" s="138">
        <f>O5-M5-L5-K5</f>
        <v>0</v>
      </c>
      <c r="O5" s="138"/>
      <c r="P5" s="742"/>
      <c r="Q5" s="732">
        <f>E5+K5</f>
        <v>75428581</v>
      </c>
      <c r="R5" s="138">
        <f>F5+L5</f>
        <v>23382844</v>
      </c>
      <c r="S5" s="138">
        <v>523962</v>
      </c>
      <c r="T5" s="138">
        <f>U5-S5-R5-Q5</f>
        <v>53743</v>
      </c>
      <c r="U5" s="138">
        <f>I5+O5</f>
        <v>99389130</v>
      </c>
      <c r="V5" s="138">
        <f>J5+P5</f>
        <v>99389130</v>
      </c>
    </row>
    <row r="6" spans="1:22" ht="25.5" x14ac:dyDescent="0.2">
      <c r="A6" s="564"/>
      <c r="B6" s="140"/>
      <c r="C6" s="137" t="s">
        <v>222</v>
      </c>
      <c r="D6" s="137" t="s">
        <v>311</v>
      </c>
      <c r="E6" s="138">
        <v>144073630</v>
      </c>
      <c r="F6" s="138">
        <v>0</v>
      </c>
      <c r="G6" s="138">
        <v>8250495</v>
      </c>
      <c r="H6" s="138">
        <f t="shared" ref="H6:H51" si="0">I6-G6-F6-E6</f>
        <v>2138200</v>
      </c>
      <c r="I6" s="292">
        <v>154462325</v>
      </c>
      <c r="J6" s="723">
        <v>154462325</v>
      </c>
      <c r="K6" s="741">
        <v>0</v>
      </c>
      <c r="L6" s="138">
        <v>0</v>
      </c>
      <c r="M6" s="138">
        <v>0</v>
      </c>
      <c r="N6" s="138">
        <f t="shared" ref="N6:N51" si="1">O6-M6-L6-K6</f>
        <v>0</v>
      </c>
      <c r="O6" s="138"/>
      <c r="P6" s="742"/>
      <c r="Q6" s="732">
        <f t="shared" ref="Q6:Q48" si="2">E6+K6</f>
        <v>144073630</v>
      </c>
      <c r="R6" s="138">
        <f t="shared" ref="R6:R48" si="3">F6+L6</f>
        <v>0</v>
      </c>
      <c r="S6" s="138">
        <v>8250495</v>
      </c>
      <c r="T6" s="138">
        <f t="shared" ref="T6:T51" si="4">U6-S6-R6-Q6</f>
        <v>2138200</v>
      </c>
      <c r="U6" s="138">
        <f t="shared" ref="U6:U48" si="5">I6+O6</f>
        <v>154462325</v>
      </c>
      <c r="V6" s="138">
        <f t="shared" ref="V6:V48" si="6">J6+P6</f>
        <v>154462325</v>
      </c>
    </row>
    <row r="7" spans="1:22" ht="25.5" x14ac:dyDescent="0.2">
      <c r="A7" s="564"/>
      <c r="B7" s="140"/>
      <c r="C7" s="137" t="s">
        <v>223</v>
      </c>
      <c r="D7" s="137" t="s">
        <v>312</v>
      </c>
      <c r="E7" s="138">
        <f>59869158-494000</f>
        <v>59375158</v>
      </c>
      <c r="F7" s="138">
        <v>2003647</v>
      </c>
      <c r="G7" s="138">
        <v>-7942875</v>
      </c>
      <c r="H7" s="138">
        <f t="shared" si="0"/>
        <v>3332405</v>
      </c>
      <c r="I7" s="292">
        <v>56768335</v>
      </c>
      <c r="J7" s="723">
        <v>56768335</v>
      </c>
      <c r="K7" s="741">
        <v>0</v>
      </c>
      <c r="L7" s="138">
        <v>0</v>
      </c>
      <c r="M7" s="138">
        <v>0</v>
      </c>
      <c r="N7" s="138">
        <f t="shared" si="1"/>
        <v>0</v>
      </c>
      <c r="O7" s="138"/>
      <c r="P7" s="742"/>
      <c r="Q7" s="732">
        <f t="shared" si="2"/>
        <v>59375158</v>
      </c>
      <c r="R7" s="138">
        <f t="shared" si="3"/>
        <v>2003647</v>
      </c>
      <c r="S7" s="138">
        <v>-7942875</v>
      </c>
      <c r="T7" s="138">
        <f t="shared" si="4"/>
        <v>3332405</v>
      </c>
      <c r="U7" s="138">
        <f t="shared" si="5"/>
        <v>56768335</v>
      </c>
      <c r="V7" s="138">
        <f t="shared" si="6"/>
        <v>56768335</v>
      </c>
    </row>
    <row r="8" spans="1:22" ht="14.25" customHeight="1" x14ac:dyDescent="0.2">
      <c r="A8" s="564"/>
      <c r="B8" s="140"/>
      <c r="C8" s="137" t="s">
        <v>224</v>
      </c>
      <c r="D8" s="137" t="s">
        <v>313</v>
      </c>
      <c r="E8" s="138">
        <v>4115790</v>
      </c>
      <c r="F8" s="138">
        <v>0</v>
      </c>
      <c r="G8" s="138">
        <v>1414700</v>
      </c>
      <c r="H8" s="138">
        <f t="shared" si="0"/>
        <v>0</v>
      </c>
      <c r="I8" s="292">
        <v>5530490</v>
      </c>
      <c r="J8" s="723">
        <v>5530490</v>
      </c>
      <c r="K8" s="741">
        <v>0</v>
      </c>
      <c r="L8" s="138">
        <v>0</v>
      </c>
      <c r="M8" s="138">
        <v>0</v>
      </c>
      <c r="N8" s="138">
        <f t="shared" si="1"/>
        <v>0</v>
      </c>
      <c r="O8" s="138"/>
      <c r="P8" s="742"/>
      <c r="Q8" s="732">
        <f t="shared" si="2"/>
        <v>4115790</v>
      </c>
      <c r="R8" s="138">
        <f t="shared" si="3"/>
        <v>0</v>
      </c>
      <c r="S8" s="138">
        <v>1414700</v>
      </c>
      <c r="T8" s="138">
        <f t="shared" si="4"/>
        <v>0</v>
      </c>
      <c r="U8" s="138">
        <f t="shared" si="5"/>
        <v>5530490</v>
      </c>
      <c r="V8" s="138">
        <f t="shared" si="6"/>
        <v>5530490</v>
      </c>
    </row>
    <row r="9" spans="1:22" ht="14.25" customHeight="1" x14ac:dyDescent="0.2">
      <c r="A9" s="564"/>
      <c r="B9" s="303"/>
      <c r="C9" s="137" t="s">
        <v>434</v>
      </c>
      <c r="D9" s="137" t="s">
        <v>435</v>
      </c>
      <c r="E9" s="138"/>
      <c r="F9" s="138"/>
      <c r="G9" s="138">
        <v>27000</v>
      </c>
      <c r="H9" s="138">
        <f t="shared" si="0"/>
        <v>96600</v>
      </c>
      <c r="I9" s="292">
        <v>123600</v>
      </c>
      <c r="J9" s="723">
        <v>123600</v>
      </c>
      <c r="K9" s="741"/>
      <c r="L9" s="138"/>
      <c r="M9" s="138">
        <v>0</v>
      </c>
      <c r="N9" s="138">
        <f t="shared" si="1"/>
        <v>0</v>
      </c>
      <c r="O9" s="138"/>
      <c r="P9" s="742"/>
      <c r="Q9" s="732"/>
      <c r="R9" s="138"/>
      <c r="S9" s="138">
        <v>27000</v>
      </c>
      <c r="T9" s="138">
        <f t="shared" si="4"/>
        <v>96600</v>
      </c>
      <c r="U9" s="138">
        <f t="shared" si="5"/>
        <v>123600</v>
      </c>
      <c r="V9" s="138">
        <f t="shared" si="6"/>
        <v>123600</v>
      </c>
    </row>
    <row r="10" spans="1:22" ht="18" customHeight="1" x14ac:dyDescent="0.2">
      <c r="A10" s="564"/>
      <c r="B10" s="558" t="s">
        <v>225</v>
      </c>
      <c r="C10" s="559"/>
      <c r="D10" s="249" t="s">
        <v>314</v>
      </c>
      <c r="E10" s="157">
        <f>SUM(E5:E9)</f>
        <v>282993159</v>
      </c>
      <c r="F10" s="157">
        <v>25386491</v>
      </c>
      <c r="G10" s="157">
        <v>2273282</v>
      </c>
      <c r="H10" s="157">
        <f t="shared" si="0"/>
        <v>5620948</v>
      </c>
      <c r="I10" s="302">
        <f>SUM(I5:I9)</f>
        <v>316273880</v>
      </c>
      <c r="J10" s="724">
        <f>SUM(J5:J9)</f>
        <v>316273880</v>
      </c>
      <c r="K10" s="743">
        <f>SUM(K5:K8)</f>
        <v>0</v>
      </c>
      <c r="L10" s="157">
        <v>0</v>
      </c>
      <c r="M10" s="157">
        <v>0</v>
      </c>
      <c r="N10" s="157">
        <f t="shared" si="1"/>
        <v>0</v>
      </c>
      <c r="O10" s="157">
        <f t="shared" ref="O10:P10" si="7">SUM(O5:O8)</f>
        <v>0</v>
      </c>
      <c r="P10" s="744">
        <f t="shared" si="7"/>
        <v>0</v>
      </c>
      <c r="Q10" s="733">
        <f t="shared" si="2"/>
        <v>282993159</v>
      </c>
      <c r="R10" s="157">
        <f t="shared" si="3"/>
        <v>25386491</v>
      </c>
      <c r="S10" s="157">
        <v>2273282</v>
      </c>
      <c r="T10" s="157">
        <f t="shared" si="4"/>
        <v>5620948</v>
      </c>
      <c r="U10" s="157">
        <f>I10+O10</f>
        <v>316273880</v>
      </c>
      <c r="V10" s="157">
        <f t="shared" si="6"/>
        <v>316273880</v>
      </c>
    </row>
    <row r="11" spans="1:22" x14ac:dyDescent="0.2">
      <c r="A11" s="564"/>
      <c r="B11" s="141"/>
      <c r="C11" s="170" t="s">
        <v>367</v>
      </c>
      <c r="D11" s="216" t="s">
        <v>315</v>
      </c>
      <c r="E11" s="138">
        <v>0</v>
      </c>
      <c r="F11" s="138">
        <v>0</v>
      </c>
      <c r="G11" s="138">
        <v>0</v>
      </c>
      <c r="H11" s="138">
        <f t="shared" si="0"/>
        <v>0</v>
      </c>
      <c r="I11" s="292">
        <v>0</v>
      </c>
      <c r="J11" s="723">
        <v>0</v>
      </c>
      <c r="K11" s="741">
        <v>0</v>
      </c>
      <c r="L11" s="138"/>
      <c r="M11" s="138">
        <v>0</v>
      </c>
      <c r="N11" s="138">
        <f t="shared" si="1"/>
        <v>0</v>
      </c>
      <c r="O11" s="138"/>
      <c r="P11" s="742"/>
      <c r="Q11" s="732">
        <f t="shared" si="2"/>
        <v>0</v>
      </c>
      <c r="R11" s="138">
        <f t="shared" si="3"/>
        <v>0</v>
      </c>
      <c r="S11" s="138">
        <v>0</v>
      </c>
      <c r="T11" s="138">
        <f t="shared" si="4"/>
        <v>0</v>
      </c>
      <c r="U11" s="138">
        <f t="shared" si="5"/>
        <v>0</v>
      </c>
      <c r="V11" s="138">
        <f t="shared" si="6"/>
        <v>0</v>
      </c>
    </row>
    <row r="12" spans="1:22" x14ac:dyDescent="0.2">
      <c r="A12" s="564"/>
      <c r="B12" s="141"/>
      <c r="C12" s="134" t="s">
        <v>239</v>
      </c>
      <c r="D12" s="216" t="s">
        <v>315</v>
      </c>
      <c r="E12" s="138">
        <v>18648000</v>
      </c>
      <c r="F12" s="138">
        <v>1762500</v>
      </c>
      <c r="G12" s="138">
        <v>0</v>
      </c>
      <c r="H12" s="138">
        <f t="shared" si="0"/>
        <v>2942100</v>
      </c>
      <c r="I12" s="292">
        <v>23352600</v>
      </c>
      <c r="J12" s="723">
        <v>23352600</v>
      </c>
      <c r="K12" s="741"/>
      <c r="L12" s="138"/>
      <c r="M12" s="138">
        <v>0</v>
      </c>
      <c r="N12" s="138">
        <f t="shared" si="1"/>
        <v>0</v>
      </c>
      <c r="O12" s="138"/>
      <c r="P12" s="742"/>
      <c r="Q12" s="732">
        <f t="shared" si="2"/>
        <v>18648000</v>
      </c>
      <c r="R12" s="138">
        <f t="shared" si="3"/>
        <v>1762500</v>
      </c>
      <c r="S12" s="138">
        <v>0</v>
      </c>
      <c r="T12" s="138">
        <f t="shared" si="4"/>
        <v>2942100</v>
      </c>
      <c r="U12" s="138">
        <f t="shared" si="5"/>
        <v>23352600</v>
      </c>
      <c r="V12" s="138">
        <f t="shared" si="6"/>
        <v>23352600</v>
      </c>
    </row>
    <row r="13" spans="1:22" x14ac:dyDescent="0.2">
      <c r="A13" s="564"/>
      <c r="B13" s="141"/>
      <c r="C13" s="134" t="s">
        <v>240</v>
      </c>
      <c r="D13" s="216" t="s">
        <v>315</v>
      </c>
      <c r="E13" s="138">
        <v>4468659</v>
      </c>
      <c r="F13" s="138">
        <v>0</v>
      </c>
      <c r="G13" s="138">
        <v>121276</v>
      </c>
      <c r="H13" s="138">
        <f t="shared" si="0"/>
        <v>-215362</v>
      </c>
      <c r="I13" s="292">
        <v>4374573</v>
      </c>
      <c r="J13" s="723">
        <v>4374573</v>
      </c>
      <c r="K13" s="741">
        <v>0</v>
      </c>
      <c r="L13" s="138"/>
      <c r="M13" s="138">
        <v>0</v>
      </c>
      <c r="N13" s="138">
        <f t="shared" si="1"/>
        <v>0</v>
      </c>
      <c r="O13" s="138"/>
      <c r="P13" s="742"/>
      <c r="Q13" s="732">
        <f t="shared" si="2"/>
        <v>4468659</v>
      </c>
      <c r="R13" s="138">
        <f t="shared" si="3"/>
        <v>0</v>
      </c>
      <c r="S13" s="138">
        <v>121276</v>
      </c>
      <c r="T13" s="138">
        <f t="shared" si="4"/>
        <v>-215362</v>
      </c>
      <c r="U13" s="138">
        <f t="shared" si="5"/>
        <v>4374573</v>
      </c>
      <c r="V13" s="138">
        <f t="shared" si="6"/>
        <v>4374573</v>
      </c>
    </row>
    <row r="14" spans="1:22" x14ac:dyDescent="0.2">
      <c r="A14" s="564"/>
      <c r="B14" s="141"/>
      <c r="C14" s="134" t="s">
        <v>241</v>
      </c>
      <c r="D14" s="216" t="s">
        <v>315</v>
      </c>
      <c r="E14" s="138">
        <v>29812489</v>
      </c>
      <c r="F14" s="138">
        <v>0</v>
      </c>
      <c r="G14" s="138">
        <v>0</v>
      </c>
      <c r="H14" s="138">
        <f t="shared" si="0"/>
        <v>-19813334</v>
      </c>
      <c r="I14" s="292">
        <v>9999155</v>
      </c>
      <c r="J14" s="723">
        <v>9999155</v>
      </c>
      <c r="K14" s="741">
        <v>0</v>
      </c>
      <c r="L14" s="138"/>
      <c r="M14" s="138">
        <v>0</v>
      </c>
      <c r="N14" s="138">
        <f t="shared" si="1"/>
        <v>0</v>
      </c>
      <c r="O14" s="138"/>
      <c r="P14" s="742"/>
      <c r="Q14" s="732">
        <f t="shared" si="2"/>
        <v>29812489</v>
      </c>
      <c r="R14" s="138">
        <f t="shared" si="3"/>
        <v>0</v>
      </c>
      <c r="S14" s="138">
        <v>0</v>
      </c>
      <c r="T14" s="138">
        <f t="shared" si="4"/>
        <v>-19813334</v>
      </c>
      <c r="U14" s="138">
        <f t="shared" si="5"/>
        <v>9999155</v>
      </c>
      <c r="V14" s="138">
        <f t="shared" si="6"/>
        <v>9999155</v>
      </c>
    </row>
    <row r="15" spans="1:22" s="131" customFormat="1" ht="18.75" customHeight="1" x14ac:dyDescent="0.2">
      <c r="A15" s="564"/>
      <c r="B15" s="558" t="s">
        <v>242</v>
      </c>
      <c r="C15" s="559"/>
      <c r="D15" s="249" t="s">
        <v>315</v>
      </c>
      <c r="E15" s="157">
        <f>SUM(E11:E14)</f>
        <v>52929148</v>
      </c>
      <c r="F15" s="157">
        <v>1762500</v>
      </c>
      <c r="G15" s="157">
        <v>121276</v>
      </c>
      <c r="H15" s="157">
        <f t="shared" si="0"/>
        <v>-17086596</v>
      </c>
      <c r="I15" s="302">
        <f t="shared" ref="I15:J15" si="8">SUM(I11:I14)</f>
        <v>37726328</v>
      </c>
      <c r="J15" s="724">
        <f t="shared" si="8"/>
        <v>37726328</v>
      </c>
      <c r="K15" s="743">
        <f>SUM(K11:K14)</f>
        <v>0</v>
      </c>
      <c r="L15" s="157">
        <v>0</v>
      </c>
      <c r="M15" s="157">
        <v>0</v>
      </c>
      <c r="N15" s="157">
        <f t="shared" si="1"/>
        <v>0</v>
      </c>
      <c r="O15" s="157">
        <f t="shared" ref="O15:P15" si="9">SUM(O11:O14)</f>
        <v>0</v>
      </c>
      <c r="P15" s="744">
        <f t="shared" si="9"/>
        <v>0</v>
      </c>
      <c r="Q15" s="733">
        <f t="shared" si="2"/>
        <v>52929148</v>
      </c>
      <c r="R15" s="157">
        <f t="shared" si="3"/>
        <v>1762500</v>
      </c>
      <c r="S15" s="157">
        <v>121276</v>
      </c>
      <c r="T15" s="157">
        <f t="shared" si="4"/>
        <v>-17086596</v>
      </c>
      <c r="U15" s="157">
        <f t="shared" si="5"/>
        <v>37726328</v>
      </c>
      <c r="V15" s="157">
        <f t="shared" si="6"/>
        <v>37726328</v>
      </c>
    </row>
    <row r="16" spans="1:22" s="135" customFormat="1" ht="22.5" customHeight="1" x14ac:dyDescent="0.2">
      <c r="A16" s="564"/>
      <c r="B16" s="560" t="s">
        <v>243</v>
      </c>
      <c r="C16" s="561"/>
      <c r="D16" s="250" t="s">
        <v>316</v>
      </c>
      <c r="E16" s="158">
        <f t="shared" ref="E16:P16" si="10">E10+E15</f>
        <v>335922307</v>
      </c>
      <c r="F16" s="158">
        <v>27148991</v>
      </c>
      <c r="G16" s="158">
        <v>2394558</v>
      </c>
      <c r="H16" s="158">
        <f t="shared" si="0"/>
        <v>-11465648</v>
      </c>
      <c r="I16" s="300">
        <f t="shared" si="10"/>
        <v>354000208</v>
      </c>
      <c r="J16" s="725">
        <f t="shared" si="10"/>
        <v>354000208</v>
      </c>
      <c r="K16" s="745">
        <f t="shared" si="10"/>
        <v>0</v>
      </c>
      <c r="L16" s="158">
        <v>0</v>
      </c>
      <c r="M16" s="158">
        <v>0</v>
      </c>
      <c r="N16" s="158">
        <f t="shared" si="1"/>
        <v>0</v>
      </c>
      <c r="O16" s="158">
        <f t="shared" si="10"/>
        <v>0</v>
      </c>
      <c r="P16" s="746">
        <f t="shared" si="10"/>
        <v>0</v>
      </c>
      <c r="Q16" s="734">
        <f t="shared" si="2"/>
        <v>335922307</v>
      </c>
      <c r="R16" s="158">
        <f t="shared" si="3"/>
        <v>27148991</v>
      </c>
      <c r="S16" s="158">
        <v>2394558</v>
      </c>
      <c r="T16" s="158">
        <f t="shared" si="4"/>
        <v>-11465648</v>
      </c>
      <c r="U16" s="158">
        <f t="shared" si="5"/>
        <v>354000208</v>
      </c>
      <c r="V16" s="158">
        <f t="shared" si="6"/>
        <v>354000208</v>
      </c>
    </row>
    <row r="17" spans="1:22" s="131" customFormat="1" x14ac:dyDescent="0.2">
      <c r="A17" s="296"/>
      <c r="B17" s="574" t="s">
        <v>436</v>
      </c>
      <c r="C17" s="559"/>
      <c r="D17" s="297" t="s">
        <v>437</v>
      </c>
      <c r="E17" s="157"/>
      <c r="F17" s="157"/>
      <c r="G17" s="157"/>
      <c r="H17" s="157">
        <f t="shared" si="0"/>
        <v>10591</v>
      </c>
      <c r="I17" s="302">
        <v>10591</v>
      </c>
      <c r="J17" s="724">
        <v>10591</v>
      </c>
      <c r="K17" s="743"/>
      <c r="L17" s="157"/>
      <c r="M17" s="157">
        <v>0</v>
      </c>
      <c r="N17" s="157">
        <f t="shared" si="1"/>
        <v>0</v>
      </c>
      <c r="O17" s="157"/>
      <c r="P17" s="744"/>
      <c r="Q17" s="733">
        <f t="shared" si="2"/>
        <v>0</v>
      </c>
      <c r="R17" s="157"/>
      <c r="S17" s="157">
        <v>0</v>
      </c>
      <c r="T17" s="157">
        <f t="shared" si="4"/>
        <v>10591</v>
      </c>
      <c r="U17" s="157">
        <f t="shared" si="5"/>
        <v>10591</v>
      </c>
      <c r="V17" s="157">
        <f t="shared" si="6"/>
        <v>10591</v>
      </c>
    </row>
    <row r="18" spans="1:22" s="131" customFormat="1" ht="12.75" customHeight="1" x14ac:dyDescent="0.2">
      <c r="A18" s="583" t="s">
        <v>37</v>
      </c>
      <c r="B18" s="558" t="s">
        <v>226</v>
      </c>
      <c r="C18" s="559"/>
      <c r="D18" s="249" t="s">
        <v>317</v>
      </c>
      <c r="E18" s="157">
        <v>6400000</v>
      </c>
      <c r="F18" s="157">
        <v>0</v>
      </c>
      <c r="G18" s="157">
        <v>0</v>
      </c>
      <c r="H18" s="157">
        <f t="shared" si="0"/>
        <v>814631</v>
      </c>
      <c r="I18" s="302">
        <v>7214631</v>
      </c>
      <c r="J18" s="724">
        <v>6474518</v>
      </c>
      <c r="K18" s="743">
        <v>0</v>
      </c>
      <c r="L18" s="157"/>
      <c r="M18" s="157">
        <v>0</v>
      </c>
      <c r="N18" s="157">
        <f t="shared" si="1"/>
        <v>0</v>
      </c>
      <c r="O18" s="157"/>
      <c r="P18" s="744"/>
      <c r="Q18" s="733">
        <f t="shared" si="2"/>
        <v>6400000</v>
      </c>
      <c r="R18" s="157">
        <f t="shared" si="3"/>
        <v>0</v>
      </c>
      <c r="S18" s="157">
        <v>0</v>
      </c>
      <c r="T18" s="157">
        <f t="shared" si="4"/>
        <v>814631</v>
      </c>
      <c r="U18" s="157">
        <f t="shared" si="5"/>
        <v>7214631</v>
      </c>
      <c r="V18" s="157">
        <f t="shared" si="6"/>
        <v>6474518</v>
      </c>
    </row>
    <row r="19" spans="1:22" x14ac:dyDescent="0.2">
      <c r="A19" s="564"/>
      <c r="B19" s="140" t="s">
        <v>36</v>
      </c>
      <c r="C19" s="137" t="s">
        <v>218</v>
      </c>
      <c r="D19" s="137" t="s">
        <v>318</v>
      </c>
      <c r="E19" s="138">
        <v>161354000</v>
      </c>
      <c r="F19" s="138">
        <v>0</v>
      </c>
      <c r="G19" s="138">
        <v>0</v>
      </c>
      <c r="H19" s="138">
        <f t="shared" si="0"/>
        <v>9568596</v>
      </c>
      <c r="I19" s="292">
        <v>170922596</v>
      </c>
      <c r="J19" s="723">
        <v>166113988</v>
      </c>
      <c r="K19" s="741">
        <v>0</v>
      </c>
      <c r="L19" s="138"/>
      <c r="M19" s="138">
        <v>0</v>
      </c>
      <c r="N19" s="138">
        <f t="shared" si="1"/>
        <v>0</v>
      </c>
      <c r="O19" s="138"/>
      <c r="P19" s="742"/>
      <c r="Q19" s="732">
        <f t="shared" si="2"/>
        <v>161354000</v>
      </c>
      <c r="R19" s="138">
        <f t="shared" si="3"/>
        <v>0</v>
      </c>
      <c r="S19" s="138">
        <v>0</v>
      </c>
      <c r="T19" s="138">
        <f t="shared" si="4"/>
        <v>9568596</v>
      </c>
      <c r="U19" s="138">
        <f t="shared" si="5"/>
        <v>170922596</v>
      </c>
      <c r="V19" s="138">
        <f t="shared" si="6"/>
        <v>166113988</v>
      </c>
    </row>
    <row r="20" spans="1:22" x14ac:dyDescent="0.2">
      <c r="A20" s="564"/>
      <c r="B20" s="140" t="s">
        <v>37</v>
      </c>
      <c r="C20" s="137" t="s">
        <v>227</v>
      </c>
      <c r="D20" s="137" t="s">
        <v>319</v>
      </c>
      <c r="E20" s="138">
        <v>12900000</v>
      </c>
      <c r="F20" s="138">
        <v>-12900000</v>
      </c>
      <c r="G20" s="138">
        <v>0</v>
      </c>
      <c r="H20" s="138">
        <f t="shared" si="0"/>
        <v>0</v>
      </c>
      <c r="I20" s="292">
        <v>0</v>
      </c>
      <c r="J20" s="723">
        <v>0</v>
      </c>
      <c r="K20" s="741">
        <v>0</v>
      </c>
      <c r="L20" s="138"/>
      <c r="M20" s="138">
        <v>0</v>
      </c>
      <c r="N20" s="138">
        <f t="shared" si="1"/>
        <v>0</v>
      </c>
      <c r="O20" s="138"/>
      <c r="P20" s="742"/>
      <c r="Q20" s="732">
        <f t="shared" si="2"/>
        <v>12900000</v>
      </c>
      <c r="R20" s="138">
        <f t="shared" si="3"/>
        <v>-12900000</v>
      </c>
      <c r="S20" s="138">
        <v>0</v>
      </c>
      <c r="T20" s="138">
        <f t="shared" si="4"/>
        <v>0</v>
      </c>
      <c r="U20" s="138">
        <f t="shared" si="5"/>
        <v>0</v>
      </c>
      <c r="V20" s="138">
        <f t="shared" si="6"/>
        <v>0</v>
      </c>
    </row>
    <row r="21" spans="1:22" x14ac:dyDescent="0.2">
      <c r="A21" s="564"/>
      <c r="B21" s="140" t="s">
        <v>38</v>
      </c>
      <c r="C21" s="137" t="s">
        <v>219</v>
      </c>
      <c r="D21" s="137" t="s">
        <v>320</v>
      </c>
      <c r="E21" s="138">
        <v>400000</v>
      </c>
      <c r="F21" s="138">
        <v>0</v>
      </c>
      <c r="G21" s="138">
        <v>0</v>
      </c>
      <c r="H21" s="138">
        <f t="shared" si="0"/>
        <v>-395000</v>
      </c>
      <c r="I21" s="292">
        <v>5000</v>
      </c>
      <c r="J21" s="723">
        <v>5000</v>
      </c>
      <c r="K21" s="741">
        <v>0</v>
      </c>
      <c r="L21" s="138"/>
      <c r="M21" s="138">
        <v>0</v>
      </c>
      <c r="N21" s="138">
        <f t="shared" si="1"/>
        <v>0</v>
      </c>
      <c r="O21" s="138"/>
      <c r="P21" s="742"/>
      <c r="Q21" s="732">
        <f t="shared" si="2"/>
        <v>400000</v>
      </c>
      <c r="R21" s="138">
        <f t="shared" si="3"/>
        <v>0</v>
      </c>
      <c r="S21" s="138">
        <v>0</v>
      </c>
      <c r="T21" s="138">
        <f t="shared" si="4"/>
        <v>-395000</v>
      </c>
      <c r="U21" s="138">
        <f t="shared" si="5"/>
        <v>5000</v>
      </c>
      <c r="V21" s="138">
        <f t="shared" si="6"/>
        <v>5000</v>
      </c>
    </row>
    <row r="22" spans="1:22" ht="17.25" customHeight="1" x14ac:dyDescent="0.2">
      <c r="A22" s="564"/>
      <c r="B22" s="558" t="s">
        <v>273</v>
      </c>
      <c r="C22" s="559"/>
      <c r="D22" s="249" t="s">
        <v>321</v>
      </c>
      <c r="E22" s="157">
        <f t="shared" ref="E22:P22" si="11">SUM(E19:E21)</f>
        <v>174654000</v>
      </c>
      <c r="F22" s="157">
        <v>-12900000</v>
      </c>
      <c r="G22" s="157">
        <v>0</v>
      </c>
      <c r="H22" s="157">
        <f t="shared" si="0"/>
        <v>9173596</v>
      </c>
      <c r="I22" s="302">
        <f t="shared" si="11"/>
        <v>170927596</v>
      </c>
      <c r="J22" s="724">
        <f t="shared" si="11"/>
        <v>166118988</v>
      </c>
      <c r="K22" s="743">
        <f t="shared" si="11"/>
        <v>0</v>
      </c>
      <c r="L22" s="157">
        <v>0</v>
      </c>
      <c r="M22" s="157">
        <v>0</v>
      </c>
      <c r="N22" s="157">
        <f t="shared" si="1"/>
        <v>0</v>
      </c>
      <c r="O22" s="157">
        <f t="shared" si="11"/>
        <v>0</v>
      </c>
      <c r="P22" s="744">
        <f t="shared" si="11"/>
        <v>0</v>
      </c>
      <c r="Q22" s="733">
        <f t="shared" si="2"/>
        <v>174654000</v>
      </c>
      <c r="R22" s="157">
        <f t="shared" si="3"/>
        <v>-12900000</v>
      </c>
      <c r="S22" s="157">
        <v>0</v>
      </c>
      <c r="T22" s="157">
        <f t="shared" si="4"/>
        <v>9173596</v>
      </c>
      <c r="U22" s="157">
        <f t="shared" si="5"/>
        <v>170927596</v>
      </c>
      <c r="V22" s="157">
        <f t="shared" si="6"/>
        <v>166118988</v>
      </c>
    </row>
    <row r="23" spans="1:22" s="131" customFormat="1" ht="18.75" customHeight="1" x14ac:dyDescent="0.2">
      <c r="A23" s="564"/>
      <c r="B23" s="558" t="s">
        <v>220</v>
      </c>
      <c r="C23" s="559"/>
      <c r="D23" s="249" t="s">
        <v>322</v>
      </c>
      <c r="E23" s="157">
        <v>50000</v>
      </c>
      <c r="F23" s="157">
        <v>25995</v>
      </c>
      <c r="G23" s="157">
        <v>179701</v>
      </c>
      <c r="H23" s="157">
        <f t="shared" si="0"/>
        <v>1421130</v>
      </c>
      <c r="I23" s="302">
        <v>1676826</v>
      </c>
      <c r="J23" s="724">
        <v>818651</v>
      </c>
      <c r="K23" s="743">
        <v>0</v>
      </c>
      <c r="L23" s="157"/>
      <c r="M23" s="157">
        <v>0</v>
      </c>
      <c r="N23" s="157">
        <f t="shared" si="1"/>
        <v>0</v>
      </c>
      <c r="O23" s="157"/>
      <c r="P23" s="744"/>
      <c r="Q23" s="733">
        <f t="shared" si="2"/>
        <v>50000</v>
      </c>
      <c r="R23" s="157">
        <f t="shared" si="3"/>
        <v>25995</v>
      </c>
      <c r="S23" s="157">
        <v>179701</v>
      </c>
      <c r="T23" s="157">
        <f t="shared" si="4"/>
        <v>1421130</v>
      </c>
      <c r="U23" s="157">
        <f t="shared" si="5"/>
        <v>1676826</v>
      </c>
      <c r="V23" s="157">
        <f t="shared" si="6"/>
        <v>818651</v>
      </c>
    </row>
    <row r="24" spans="1:22" s="135" customFormat="1" ht="18" customHeight="1" x14ac:dyDescent="0.2">
      <c r="A24" s="564"/>
      <c r="B24" s="560" t="s">
        <v>228</v>
      </c>
      <c r="C24" s="561"/>
      <c r="D24" s="250" t="s">
        <v>323</v>
      </c>
      <c r="E24" s="158">
        <f>E17+E18+E22+E23</f>
        <v>181104000</v>
      </c>
      <c r="F24" s="158">
        <f t="shared" ref="F24:J24" si="12">F17+F18+F22+F23</f>
        <v>-12874005</v>
      </c>
      <c r="G24" s="158">
        <v>179701</v>
      </c>
      <c r="H24" s="158">
        <f t="shared" si="0"/>
        <v>11419948</v>
      </c>
      <c r="I24" s="300">
        <f t="shared" si="12"/>
        <v>179829644</v>
      </c>
      <c r="J24" s="725">
        <f t="shared" si="12"/>
        <v>173422748</v>
      </c>
      <c r="K24" s="745">
        <f t="shared" ref="K24:P24" si="13">K18+K22+K23</f>
        <v>0</v>
      </c>
      <c r="L24" s="158">
        <v>0</v>
      </c>
      <c r="M24" s="158">
        <v>0</v>
      </c>
      <c r="N24" s="158">
        <f t="shared" si="1"/>
        <v>0</v>
      </c>
      <c r="O24" s="158">
        <f t="shared" si="13"/>
        <v>0</v>
      </c>
      <c r="P24" s="746">
        <f t="shared" si="13"/>
        <v>0</v>
      </c>
      <c r="Q24" s="734">
        <f t="shared" si="2"/>
        <v>181104000</v>
      </c>
      <c r="R24" s="158">
        <f t="shared" si="3"/>
        <v>-12874005</v>
      </c>
      <c r="S24" s="158">
        <v>179701</v>
      </c>
      <c r="T24" s="158">
        <f t="shared" si="4"/>
        <v>11419948</v>
      </c>
      <c r="U24" s="158">
        <f t="shared" si="5"/>
        <v>179829644</v>
      </c>
      <c r="V24" s="158">
        <f t="shared" si="6"/>
        <v>173422748</v>
      </c>
    </row>
    <row r="25" spans="1:22" x14ac:dyDescent="0.2">
      <c r="A25" s="564" t="s">
        <v>38</v>
      </c>
      <c r="B25" s="142"/>
      <c r="C25" s="137" t="s">
        <v>230</v>
      </c>
      <c r="D25" s="137" t="s">
        <v>324</v>
      </c>
      <c r="E25" s="138">
        <v>3189462</v>
      </c>
      <c r="F25" s="138">
        <v>319144</v>
      </c>
      <c r="G25" s="138">
        <v>627120</v>
      </c>
      <c r="H25" s="138">
        <f t="shared" si="0"/>
        <v>728740</v>
      </c>
      <c r="I25" s="292">
        <v>4864466</v>
      </c>
      <c r="J25" s="723">
        <v>4844466</v>
      </c>
      <c r="K25" s="741">
        <v>0</v>
      </c>
      <c r="L25" s="138"/>
      <c r="M25" s="138">
        <v>0</v>
      </c>
      <c r="N25" s="138">
        <f t="shared" si="1"/>
        <v>0</v>
      </c>
      <c r="O25" s="138"/>
      <c r="P25" s="742"/>
      <c r="Q25" s="732">
        <f t="shared" si="2"/>
        <v>3189462</v>
      </c>
      <c r="R25" s="138">
        <f t="shared" si="3"/>
        <v>319144</v>
      </c>
      <c r="S25" s="138">
        <v>627120</v>
      </c>
      <c r="T25" s="138">
        <f t="shared" si="4"/>
        <v>728740</v>
      </c>
      <c r="U25" s="138">
        <f t="shared" si="5"/>
        <v>4864466</v>
      </c>
      <c r="V25" s="138">
        <f t="shared" si="6"/>
        <v>4844466</v>
      </c>
    </row>
    <row r="26" spans="1:22" x14ac:dyDescent="0.2">
      <c r="A26" s="564"/>
      <c r="B26" s="142"/>
      <c r="C26" s="137" t="s">
        <v>231</v>
      </c>
      <c r="D26" s="137" t="s">
        <v>325</v>
      </c>
      <c r="E26" s="138">
        <v>114076</v>
      </c>
      <c r="F26" s="138">
        <v>942499</v>
      </c>
      <c r="G26" s="138">
        <v>27020</v>
      </c>
      <c r="H26" s="138">
        <f t="shared" si="0"/>
        <v>556623</v>
      </c>
      <c r="I26" s="292">
        <v>1640218</v>
      </c>
      <c r="J26" s="723">
        <v>1613218</v>
      </c>
      <c r="K26" s="741">
        <v>2000000</v>
      </c>
      <c r="L26" s="138">
        <v>407000</v>
      </c>
      <c r="M26" s="138">
        <v>0</v>
      </c>
      <c r="N26" s="138">
        <f t="shared" si="1"/>
        <v>1890555</v>
      </c>
      <c r="O26" s="138">
        <v>4297555</v>
      </c>
      <c r="P26" s="742">
        <v>4297555</v>
      </c>
      <c r="Q26" s="732">
        <f t="shared" si="2"/>
        <v>2114076</v>
      </c>
      <c r="R26" s="138">
        <f t="shared" si="3"/>
        <v>1349499</v>
      </c>
      <c r="S26" s="138">
        <v>27020</v>
      </c>
      <c r="T26" s="138">
        <f t="shared" si="4"/>
        <v>2447178</v>
      </c>
      <c r="U26" s="138">
        <f t="shared" si="5"/>
        <v>5937773</v>
      </c>
      <c r="V26" s="138">
        <f t="shared" si="6"/>
        <v>5910773</v>
      </c>
    </row>
    <row r="27" spans="1:22" x14ac:dyDescent="0.2">
      <c r="A27" s="564"/>
      <c r="B27" s="142"/>
      <c r="C27" s="137" t="s">
        <v>232</v>
      </c>
      <c r="D27" s="137" t="s">
        <v>326</v>
      </c>
      <c r="E27" s="138">
        <v>241672</v>
      </c>
      <c r="F27" s="138">
        <v>0</v>
      </c>
      <c r="G27" s="138">
        <v>0</v>
      </c>
      <c r="H27" s="138">
        <f t="shared" si="0"/>
        <v>0</v>
      </c>
      <c r="I27" s="292">
        <v>241672</v>
      </c>
      <c r="J27" s="723">
        <v>241672</v>
      </c>
      <c r="K27" s="741">
        <v>0</v>
      </c>
      <c r="L27" s="138">
        <v>0</v>
      </c>
      <c r="M27" s="138">
        <v>0</v>
      </c>
      <c r="N27" s="138">
        <f t="shared" si="1"/>
        <v>0</v>
      </c>
      <c r="O27" s="138"/>
      <c r="P27" s="742"/>
      <c r="Q27" s="732">
        <f t="shared" si="2"/>
        <v>241672</v>
      </c>
      <c r="R27" s="138">
        <f t="shared" si="3"/>
        <v>0</v>
      </c>
      <c r="S27" s="138">
        <v>0</v>
      </c>
      <c r="T27" s="138">
        <f t="shared" si="4"/>
        <v>0</v>
      </c>
      <c r="U27" s="138">
        <f t="shared" si="5"/>
        <v>241672</v>
      </c>
      <c r="V27" s="138">
        <f t="shared" si="6"/>
        <v>241672</v>
      </c>
    </row>
    <row r="28" spans="1:22" x14ac:dyDescent="0.2">
      <c r="A28" s="564"/>
      <c r="B28" s="142"/>
      <c r="C28" s="137" t="s">
        <v>233</v>
      </c>
      <c r="D28" s="137" t="s">
        <v>327</v>
      </c>
      <c r="E28" s="138">
        <v>8478149</v>
      </c>
      <c r="F28" s="138">
        <v>0</v>
      </c>
      <c r="G28" s="138">
        <v>0</v>
      </c>
      <c r="H28" s="138">
        <f t="shared" si="0"/>
        <v>-2744785</v>
      </c>
      <c r="I28" s="292">
        <v>5733364</v>
      </c>
      <c r="J28" s="723">
        <v>5733364</v>
      </c>
      <c r="K28" s="741">
        <v>0</v>
      </c>
      <c r="L28" s="138">
        <v>0</v>
      </c>
      <c r="M28" s="138">
        <v>0</v>
      </c>
      <c r="N28" s="138">
        <f t="shared" si="1"/>
        <v>0</v>
      </c>
      <c r="O28" s="138"/>
      <c r="P28" s="742"/>
      <c r="Q28" s="732">
        <f t="shared" si="2"/>
        <v>8478149</v>
      </c>
      <c r="R28" s="138">
        <f t="shared" si="3"/>
        <v>0</v>
      </c>
      <c r="S28" s="138">
        <v>0</v>
      </c>
      <c r="T28" s="138">
        <f t="shared" si="4"/>
        <v>-2744785</v>
      </c>
      <c r="U28" s="138">
        <f t="shared" si="5"/>
        <v>5733364</v>
      </c>
      <c r="V28" s="138">
        <f t="shared" si="6"/>
        <v>5733364</v>
      </c>
    </row>
    <row r="29" spans="1:22" x14ac:dyDescent="0.2">
      <c r="A29" s="564"/>
      <c r="B29" s="142"/>
      <c r="C29" s="137" t="s">
        <v>234</v>
      </c>
      <c r="D29" s="137" t="s">
        <v>328</v>
      </c>
      <c r="E29" s="138">
        <v>2311234</v>
      </c>
      <c r="F29" s="138">
        <v>0</v>
      </c>
      <c r="G29" s="138">
        <v>0</v>
      </c>
      <c r="H29" s="138">
        <f t="shared" si="0"/>
        <v>-417974</v>
      </c>
      <c r="I29" s="292">
        <v>1893260</v>
      </c>
      <c r="J29" s="723">
        <v>1893260</v>
      </c>
      <c r="K29" s="741">
        <v>0</v>
      </c>
      <c r="L29" s="138">
        <v>0</v>
      </c>
      <c r="M29" s="138">
        <v>0</v>
      </c>
      <c r="N29" s="138">
        <f t="shared" si="1"/>
        <v>0</v>
      </c>
      <c r="O29" s="138"/>
      <c r="P29" s="742"/>
      <c r="Q29" s="732">
        <f t="shared" si="2"/>
        <v>2311234</v>
      </c>
      <c r="R29" s="138">
        <f t="shared" si="3"/>
        <v>0</v>
      </c>
      <c r="S29" s="138">
        <v>0</v>
      </c>
      <c r="T29" s="138">
        <f t="shared" si="4"/>
        <v>-417974</v>
      </c>
      <c r="U29" s="138">
        <f t="shared" si="5"/>
        <v>1893260</v>
      </c>
      <c r="V29" s="138">
        <f t="shared" si="6"/>
        <v>1893260</v>
      </c>
    </row>
    <row r="30" spans="1:22" x14ac:dyDescent="0.2">
      <c r="A30" s="564"/>
      <c r="B30" s="142"/>
      <c r="C30" s="137" t="s">
        <v>235</v>
      </c>
      <c r="D30" s="137" t="s">
        <v>329</v>
      </c>
      <c r="E30" s="138">
        <v>3435000</v>
      </c>
      <c r="F30" s="138">
        <v>0</v>
      </c>
      <c r="G30" s="138">
        <v>0</v>
      </c>
      <c r="H30" s="138">
        <f t="shared" si="0"/>
        <v>-1806757</v>
      </c>
      <c r="I30" s="292">
        <v>1628243</v>
      </c>
      <c r="J30" s="723">
        <v>1628243</v>
      </c>
      <c r="K30" s="741">
        <v>0</v>
      </c>
      <c r="L30" s="138">
        <v>0</v>
      </c>
      <c r="M30" s="138">
        <v>0</v>
      </c>
      <c r="N30" s="138">
        <f t="shared" si="1"/>
        <v>0</v>
      </c>
      <c r="O30" s="138"/>
      <c r="P30" s="742"/>
      <c r="Q30" s="732">
        <f t="shared" si="2"/>
        <v>3435000</v>
      </c>
      <c r="R30" s="138">
        <f t="shared" si="3"/>
        <v>0</v>
      </c>
      <c r="S30" s="138">
        <v>0</v>
      </c>
      <c r="T30" s="138">
        <f t="shared" si="4"/>
        <v>-1806757</v>
      </c>
      <c r="U30" s="138">
        <f t="shared" si="5"/>
        <v>1628243</v>
      </c>
      <c r="V30" s="138">
        <f t="shared" si="6"/>
        <v>1628243</v>
      </c>
    </row>
    <row r="31" spans="1:22" s="132" customFormat="1" x14ac:dyDescent="0.2">
      <c r="A31" s="564"/>
      <c r="B31" s="143"/>
      <c r="C31" s="137" t="s">
        <v>215</v>
      </c>
      <c r="D31" s="137" t="s">
        <v>330</v>
      </c>
      <c r="E31" s="138">
        <v>95000</v>
      </c>
      <c r="F31" s="138">
        <v>1533899</v>
      </c>
      <c r="G31" s="138">
        <v>1587288</v>
      </c>
      <c r="H31" s="138">
        <f t="shared" si="0"/>
        <v>78153</v>
      </c>
      <c r="I31" s="292">
        <v>3294340</v>
      </c>
      <c r="J31" s="723">
        <v>3294340</v>
      </c>
      <c r="K31" s="741">
        <v>2000</v>
      </c>
      <c r="L31" s="138">
        <v>0</v>
      </c>
      <c r="M31" s="138">
        <v>0</v>
      </c>
      <c r="N31" s="138">
        <f t="shared" si="1"/>
        <v>320</v>
      </c>
      <c r="O31" s="138">
        <v>2320</v>
      </c>
      <c r="P31" s="742">
        <v>2320</v>
      </c>
      <c r="Q31" s="732">
        <f t="shared" si="2"/>
        <v>97000</v>
      </c>
      <c r="R31" s="138">
        <f t="shared" si="3"/>
        <v>1533899</v>
      </c>
      <c r="S31" s="138">
        <v>1587288</v>
      </c>
      <c r="T31" s="138">
        <f t="shared" si="4"/>
        <v>78473</v>
      </c>
      <c r="U31" s="138">
        <f t="shared" si="5"/>
        <v>3296660</v>
      </c>
      <c r="V31" s="138">
        <f t="shared" si="6"/>
        <v>3296660</v>
      </c>
    </row>
    <row r="32" spans="1:22" x14ac:dyDescent="0.2">
      <c r="A32" s="564"/>
      <c r="B32" s="142"/>
      <c r="C32" s="137" t="s">
        <v>236</v>
      </c>
      <c r="D32" s="137" t="s">
        <v>331</v>
      </c>
      <c r="E32" s="138">
        <v>1010</v>
      </c>
      <c r="F32" s="138">
        <v>64318</v>
      </c>
      <c r="G32" s="138">
        <v>3583</v>
      </c>
      <c r="H32" s="138">
        <f t="shared" si="0"/>
        <v>313808</v>
      </c>
      <c r="I32" s="292">
        <v>382719</v>
      </c>
      <c r="J32" s="723">
        <v>382719</v>
      </c>
      <c r="K32" s="741">
        <v>0</v>
      </c>
      <c r="L32" s="138">
        <v>0</v>
      </c>
      <c r="M32" s="138">
        <v>0</v>
      </c>
      <c r="N32" s="138">
        <f t="shared" si="1"/>
        <v>16</v>
      </c>
      <c r="O32" s="138">
        <v>16</v>
      </c>
      <c r="P32" s="742">
        <v>16</v>
      </c>
      <c r="Q32" s="732">
        <f t="shared" si="2"/>
        <v>1010</v>
      </c>
      <c r="R32" s="138">
        <f t="shared" si="3"/>
        <v>64318</v>
      </c>
      <c r="S32" s="138">
        <v>3583</v>
      </c>
      <c r="T32" s="138">
        <f t="shared" si="4"/>
        <v>313824</v>
      </c>
      <c r="U32" s="138">
        <f t="shared" si="5"/>
        <v>382735</v>
      </c>
      <c r="V32" s="138">
        <f t="shared" si="6"/>
        <v>382735</v>
      </c>
    </row>
    <row r="33" spans="1:22" ht="12.75" customHeight="1" x14ac:dyDescent="0.2">
      <c r="A33" s="564"/>
      <c r="B33" s="562" t="s">
        <v>229</v>
      </c>
      <c r="C33" s="563"/>
      <c r="D33" s="248" t="s">
        <v>332</v>
      </c>
      <c r="E33" s="159">
        <f t="shared" ref="E33:P33" si="14">SUM(E25:E32)</f>
        <v>17865603</v>
      </c>
      <c r="F33" s="159">
        <v>2859860</v>
      </c>
      <c r="G33" s="159">
        <v>2245011</v>
      </c>
      <c r="H33" s="159">
        <f t="shared" si="0"/>
        <v>-3292192</v>
      </c>
      <c r="I33" s="304">
        <f t="shared" si="14"/>
        <v>19678282</v>
      </c>
      <c r="J33" s="726">
        <f t="shared" si="14"/>
        <v>19631282</v>
      </c>
      <c r="K33" s="747">
        <f t="shared" si="14"/>
        <v>2002000</v>
      </c>
      <c r="L33" s="159">
        <v>407000</v>
      </c>
      <c r="M33" s="159">
        <v>0</v>
      </c>
      <c r="N33" s="159">
        <f t="shared" si="1"/>
        <v>1890891</v>
      </c>
      <c r="O33" s="159">
        <f t="shared" si="14"/>
        <v>4299891</v>
      </c>
      <c r="P33" s="748">
        <f t="shared" si="14"/>
        <v>4299891</v>
      </c>
      <c r="Q33" s="735">
        <f t="shared" si="2"/>
        <v>19867603</v>
      </c>
      <c r="R33" s="159">
        <f t="shared" si="3"/>
        <v>3266860</v>
      </c>
      <c r="S33" s="159">
        <v>2245011</v>
      </c>
      <c r="T33" s="159">
        <f t="shared" si="4"/>
        <v>-1401301</v>
      </c>
      <c r="U33" s="159">
        <f t="shared" si="5"/>
        <v>23978173</v>
      </c>
      <c r="V33" s="159">
        <f t="shared" si="6"/>
        <v>23931173</v>
      </c>
    </row>
    <row r="34" spans="1:22" ht="20.25" customHeight="1" x14ac:dyDescent="0.2">
      <c r="A34" s="564" t="s">
        <v>39</v>
      </c>
      <c r="B34" s="142"/>
      <c r="C34" s="137" t="s">
        <v>237</v>
      </c>
      <c r="D34" s="137" t="s">
        <v>416</v>
      </c>
      <c r="E34" s="292">
        <v>2372880</v>
      </c>
      <c r="F34" s="292">
        <v>0</v>
      </c>
      <c r="G34" s="292">
        <v>0</v>
      </c>
      <c r="H34" s="292">
        <f t="shared" si="0"/>
        <v>2372580</v>
      </c>
      <c r="I34" s="292">
        <v>4745460</v>
      </c>
      <c r="J34" s="723">
        <v>2372880</v>
      </c>
      <c r="K34" s="741">
        <v>0</v>
      </c>
      <c r="L34" s="138"/>
      <c r="M34" s="138">
        <v>0</v>
      </c>
      <c r="N34" s="138">
        <f t="shared" si="1"/>
        <v>0</v>
      </c>
      <c r="O34" s="138"/>
      <c r="P34" s="742"/>
      <c r="Q34" s="732">
        <f t="shared" si="2"/>
        <v>2372880</v>
      </c>
      <c r="R34" s="138">
        <f t="shared" si="3"/>
        <v>0</v>
      </c>
      <c r="S34" s="138">
        <v>0</v>
      </c>
      <c r="T34" s="138">
        <f t="shared" si="4"/>
        <v>2372580</v>
      </c>
      <c r="U34" s="138">
        <f t="shared" si="5"/>
        <v>4745460</v>
      </c>
      <c r="V34" s="138">
        <f t="shared" si="6"/>
        <v>2372880</v>
      </c>
    </row>
    <row r="35" spans="1:22" ht="16.5" customHeight="1" x14ac:dyDescent="0.2">
      <c r="A35" s="564"/>
      <c r="B35" s="562" t="s">
        <v>216</v>
      </c>
      <c r="C35" s="563"/>
      <c r="D35" s="248" t="s">
        <v>416</v>
      </c>
      <c r="E35" s="159">
        <f t="shared" ref="E35:P35" si="15">SUM(E34)</f>
        <v>2372880</v>
      </c>
      <c r="F35" s="159">
        <v>0</v>
      </c>
      <c r="G35" s="159">
        <v>0</v>
      </c>
      <c r="H35" s="159">
        <f t="shared" si="0"/>
        <v>2372580</v>
      </c>
      <c r="I35" s="304">
        <f t="shared" si="15"/>
        <v>4745460</v>
      </c>
      <c r="J35" s="726">
        <f>SUM(J34)</f>
        <v>2372880</v>
      </c>
      <c r="K35" s="747">
        <f t="shared" si="15"/>
        <v>0</v>
      </c>
      <c r="L35" s="159">
        <v>0</v>
      </c>
      <c r="M35" s="159">
        <v>0</v>
      </c>
      <c r="N35" s="159">
        <f t="shared" si="1"/>
        <v>0</v>
      </c>
      <c r="O35" s="159">
        <f t="shared" si="15"/>
        <v>0</v>
      </c>
      <c r="P35" s="748">
        <f t="shared" si="15"/>
        <v>0</v>
      </c>
      <c r="Q35" s="735">
        <f t="shared" si="2"/>
        <v>2372880</v>
      </c>
      <c r="R35" s="159">
        <f t="shared" si="3"/>
        <v>0</v>
      </c>
      <c r="S35" s="159">
        <v>0</v>
      </c>
      <c r="T35" s="159">
        <f t="shared" si="4"/>
        <v>2372580</v>
      </c>
      <c r="U35" s="159">
        <f t="shared" si="5"/>
        <v>4745460</v>
      </c>
      <c r="V35" s="159">
        <f t="shared" si="6"/>
        <v>2372880</v>
      </c>
    </row>
    <row r="36" spans="1:22" ht="25.5" x14ac:dyDescent="0.2">
      <c r="A36" s="564" t="s">
        <v>40</v>
      </c>
      <c r="B36" s="142"/>
      <c r="C36" s="137" t="s">
        <v>238</v>
      </c>
      <c r="D36" s="137" t="s">
        <v>333</v>
      </c>
      <c r="E36" s="138">
        <v>707620</v>
      </c>
      <c r="F36" s="138">
        <v>0</v>
      </c>
      <c r="G36" s="138">
        <v>0</v>
      </c>
      <c r="H36" s="138">
        <f t="shared" si="0"/>
        <v>606930</v>
      </c>
      <c r="I36" s="292">
        <v>1314550</v>
      </c>
      <c r="J36" s="723">
        <v>435210</v>
      </c>
      <c r="K36" s="741">
        <v>0</v>
      </c>
      <c r="L36" s="138"/>
      <c r="M36" s="138">
        <v>0</v>
      </c>
      <c r="N36" s="138">
        <f t="shared" si="1"/>
        <v>0</v>
      </c>
      <c r="O36" s="138"/>
      <c r="P36" s="742"/>
      <c r="Q36" s="732">
        <f t="shared" si="2"/>
        <v>707620</v>
      </c>
      <c r="R36" s="138">
        <f t="shared" si="3"/>
        <v>0</v>
      </c>
      <c r="S36" s="138">
        <v>0</v>
      </c>
      <c r="T36" s="138">
        <f t="shared" si="4"/>
        <v>606930</v>
      </c>
      <c r="U36" s="138">
        <f t="shared" si="5"/>
        <v>1314550</v>
      </c>
      <c r="V36" s="138">
        <f t="shared" si="6"/>
        <v>435210</v>
      </c>
    </row>
    <row r="37" spans="1:22" ht="25.5" x14ac:dyDescent="0.2">
      <c r="A37" s="564"/>
      <c r="B37" s="142"/>
      <c r="C37" s="137" t="s">
        <v>368</v>
      </c>
      <c r="D37" s="137" t="s">
        <v>410</v>
      </c>
      <c r="E37" s="138">
        <v>110732349</v>
      </c>
      <c r="F37" s="138">
        <v>0</v>
      </c>
      <c r="G37" s="138">
        <v>15999989</v>
      </c>
      <c r="H37" s="138">
        <f t="shared" si="0"/>
        <v>-82008900</v>
      </c>
      <c r="I37" s="292">
        <v>44723438</v>
      </c>
      <c r="J37" s="723">
        <v>44723438</v>
      </c>
      <c r="K37" s="741"/>
      <c r="L37" s="138"/>
      <c r="M37" s="138">
        <v>0</v>
      </c>
      <c r="N37" s="138">
        <f t="shared" si="1"/>
        <v>0</v>
      </c>
      <c r="O37" s="138"/>
      <c r="P37" s="742"/>
      <c r="Q37" s="732">
        <f t="shared" si="2"/>
        <v>110732349</v>
      </c>
      <c r="R37" s="138">
        <f t="shared" si="3"/>
        <v>0</v>
      </c>
      <c r="S37" s="138">
        <v>15999989</v>
      </c>
      <c r="T37" s="138">
        <f t="shared" si="4"/>
        <v>-82008900</v>
      </c>
      <c r="U37" s="138">
        <f t="shared" si="5"/>
        <v>44723438</v>
      </c>
      <c r="V37" s="138">
        <f t="shared" si="6"/>
        <v>44723438</v>
      </c>
    </row>
    <row r="38" spans="1:22" x14ac:dyDescent="0.2">
      <c r="A38" s="564"/>
      <c r="B38" s="142"/>
      <c r="C38" s="137" t="s">
        <v>422</v>
      </c>
      <c r="D38" s="137" t="s">
        <v>423</v>
      </c>
      <c r="E38" s="138"/>
      <c r="F38" s="138">
        <v>126128</v>
      </c>
      <c r="G38" s="138">
        <v>0</v>
      </c>
      <c r="H38" s="138">
        <f t="shared" si="0"/>
        <v>2888483</v>
      </c>
      <c r="I38" s="292">
        <v>3014611</v>
      </c>
      <c r="J38" s="723">
        <v>3014611</v>
      </c>
      <c r="K38" s="741"/>
      <c r="L38" s="138"/>
      <c r="M38" s="138">
        <v>0</v>
      </c>
      <c r="N38" s="138">
        <f t="shared" si="1"/>
        <v>0</v>
      </c>
      <c r="O38" s="138"/>
      <c r="P38" s="742"/>
      <c r="Q38" s="732">
        <f t="shared" si="2"/>
        <v>0</v>
      </c>
      <c r="R38" s="138">
        <f t="shared" si="3"/>
        <v>126128</v>
      </c>
      <c r="S38" s="138">
        <v>0</v>
      </c>
      <c r="T38" s="138">
        <f t="shared" si="4"/>
        <v>2888483</v>
      </c>
      <c r="U38" s="138">
        <f t="shared" si="5"/>
        <v>3014611</v>
      </c>
      <c r="V38" s="138">
        <f t="shared" si="6"/>
        <v>3014611</v>
      </c>
    </row>
    <row r="39" spans="1:22" ht="27" customHeight="1" x14ac:dyDescent="0.2">
      <c r="A39" s="564"/>
      <c r="B39" s="581" t="s">
        <v>369</v>
      </c>
      <c r="C39" s="582"/>
      <c r="D39" s="248"/>
      <c r="E39" s="159">
        <f>SUM(E36:E38)</f>
        <v>111439969</v>
      </c>
      <c r="F39" s="159">
        <v>126128</v>
      </c>
      <c r="G39" s="159">
        <v>15999989</v>
      </c>
      <c r="H39" s="159">
        <f t="shared" si="0"/>
        <v>-78513487</v>
      </c>
      <c r="I39" s="304">
        <f>SUM(I36:I38)</f>
        <v>49052599</v>
      </c>
      <c r="J39" s="726">
        <f t="shared" ref="I39:J39" si="16">SUM(J36:J38)</f>
        <v>48173259</v>
      </c>
      <c r="K39" s="747">
        <f>SUM(K36)</f>
        <v>0</v>
      </c>
      <c r="L39" s="159"/>
      <c r="M39" s="159">
        <v>0</v>
      </c>
      <c r="N39" s="159">
        <f t="shared" si="1"/>
        <v>0</v>
      </c>
      <c r="O39" s="159"/>
      <c r="P39" s="748"/>
      <c r="Q39" s="735">
        <f t="shared" si="2"/>
        <v>111439969</v>
      </c>
      <c r="R39" s="159">
        <f t="shared" si="3"/>
        <v>126128</v>
      </c>
      <c r="S39" s="159">
        <v>15999989</v>
      </c>
      <c r="T39" s="159">
        <f t="shared" si="4"/>
        <v>-78513487</v>
      </c>
      <c r="U39" s="159">
        <f t="shared" si="5"/>
        <v>49052599</v>
      </c>
      <c r="V39" s="159">
        <f t="shared" si="6"/>
        <v>48173259</v>
      </c>
    </row>
    <row r="40" spans="1:22" s="133" customFormat="1" ht="24.75" customHeight="1" x14ac:dyDescent="0.2">
      <c r="A40" s="578" t="s">
        <v>217</v>
      </c>
      <c r="B40" s="579"/>
      <c r="C40" s="580"/>
      <c r="D40" s="251" t="s">
        <v>334</v>
      </c>
      <c r="E40" s="160">
        <f>E16+E24+E33+E35+E39</f>
        <v>648704759</v>
      </c>
      <c r="F40" s="160">
        <v>17260974</v>
      </c>
      <c r="G40" s="160">
        <v>20819259</v>
      </c>
      <c r="H40" s="160">
        <f t="shared" si="0"/>
        <v>-79478799</v>
      </c>
      <c r="I40" s="301">
        <f>I16+I24+I33+I35+I39</f>
        <v>607306193</v>
      </c>
      <c r="J40" s="727">
        <f>J16+J24+J33+J35+J39</f>
        <v>597600377</v>
      </c>
      <c r="K40" s="749">
        <f>K16+K24+K33+K35+K39</f>
        <v>2002000</v>
      </c>
      <c r="L40" s="160">
        <v>407000</v>
      </c>
      <c r="M40" s="160">
        <v>0</v>
      </c>
      <c r="N40" s="160">
        <f t="shared" si="1"/>
        <v>1890891</v>
      </c>
      <c r="O40" s="160">
        <f>O16+O24+O33+O35+O39</f>
        <v>4299891</v>
      </c>
      <c r="P40" s="750">
        <f>P16+P24+P33+P35+P39</f>
        <v>4299891</v>
      </c>
      <c r="Q40" s="769">
        <f t="shared" si="2"/>
        <v>650706759</v>
      </c>
      <c r="R40" s="770">
        <f t="shared" si="3"/>
        <v>17667974</v>
      </c>
      <c r="S40" s="770">
        <v>20819259</v>
      </c>
      <c r="T40" s="770">
        <f t="shared" si="4"/>
        <v>-77587908</v>
      </c>
      <c r="U40" s="770">
        <f t="shared" si="5"/>
        <v>611606084</v>
      </c>
      <c r="V40" s="770">
        <f t="shared" si="6"/>
        <v>601900268</v>
      </c>
    </row>
    <row r="41" spans="1:22" ht="24" customHeight="1" x14ac:dyDescent="0.2">
      <c r="A41" s="161"/>
      <c r="B41" s="142"/>
      <c r="C41" s="137" t="s">
        <v>279</v>
      </c>
      <c r="D41" s="137" t="s">
        <v>335</v>
      </c>
      <c r="E41" s="138">
        <f>400000000+250000000</f>
        <v>650000000</v>
      </c>
      <c r="F41" s="138">
        <v>0</v>
      </c>
      <c r="G41" s="138">
        <v>0</v>
      </c>
      <c r="H41" s="138">
        <f t="shared" si="0"/>
        <v>-650000000</v>
      </c>
      <c r="I41" s="292">
        <v>0</v>
      </c>
      <c r="J41" s="723">
        <v>0</v>
      </c>
      <c r="K41" s="741">
        <v>0</v>
      </c>
      <c r="L41" s="138"/>
      <c r="M41" s="138">
        <v>0</v>
      </c>
      <c r="N41" s="138">
        <f t="shared" si="1"/>
        <v>0</v>
      </c>
      <c r="O41" s="138"/>
      <c r="P41" s="742"/>
      <c r="Q41" s="732">
        <f t="shared" si="2"/>
        <v>650000000</v>
      </c>
      <c r="R41" s="138">
        <f t="shared" si="3"/>
        <v>0</v>
      </c>
      <c r="S41" s="138">
        <v>0</v>
      </c>
      <c r="T41" s="138">
        <f t="shared" si="4"/>
        <v>-650000000</v>
      </c>
      <c r="U41" s="138">
        <f t="shared" si="5"/>
        <v>0</v>
      </c>
      <c r="V41" s="138">
        <f t="shared" si="6"/>
        <v>0</v>
      </c>
    </row>
    <row r="42" spans="1:22" ht="18.75" customHeight="1" x14ac:dyDescent="0.2">
      <c r="A42" s="161"/>
      <c r="B42" s="581" t="s">
        <v>280</v>
      </c>
      <c r="C42" s="582"/>
      <c r="D42" s="248" t="s">
        <v>336</v>
      </c>
      <c r="E42" s="159">
        <f t="shared" ref="E42:P42" si="17">SUM(E41)</f>
        <v>650000000</v>
      </c>
      <c r="F42" s="159">
        <v>0</v>
      </c>
      <c r="G42" s="159"/>
      <c r="H42" s="159">
        <f t="shared" si="0"/>
        <v>-650000000</v>
      </c>
      <c r="I42" s="304">
        <f t="shared" si="17"/>
        <v>0</v>
      </c>
      <c r="J42" s="726">
        <f t="shared" si="17"/>
        <v>0</v>
      </c>
      <c r="K42" s="747">
        <f t="shared" si="17"/>
        <v>0</v>
      </c>
      <c r="L42" s="159">
        <v>0</v>
      </c>
      <c r="M42" s="159">
        <v>0</v>
      </c>
      <c r="N42" s="159">
        <f t="shared" si="1"/>
        <v>0</v>
      </c>
      <c r="O42" s="159">
        <f t="shared" si="17"/>
        <v>0</v>
      </c>
      <c r="P42" s="748">
        <f t="shared" si="17"/>
        <v>0</v>
      </c>
      <c r="Q42" s="735">
        <f t="shared" si="2"/>
        <v>650000000</v>
      </c>
      <c r="R42" s="159">
        <f t="shared" si="3"/>
        <v>0</v>
      </c>
      <c r="S42" s="159">
        <v>0</v>
      </c>
      <c r="T42" s="159">
        <f t="shared" si="4"/>
        <v>-650000000</v>
      </c>
      <c r="U42" s="159">
        <f t="shared" si="5"/>
        <v>0</v>
      </c>
      <c r="V42" s="159">
        <f t="shared" si="6"/>
        <v>0</v>
      </c>
    </row>
    <row r="43" spans="1:22" ht="17.25" customHeight="1" x14ac:dyDescent="0.2">
      <c r="A43" s="564" t="s">
        <v>45</v>
      </c>
      <c r="B43" s="142"/>
      <c r="C43" s="137" t="s">
        <v>245</v>
      </c>
      <c r="D43" s="137" t="s">
        <v>337</v>
      </c>
      <c r="E43" s="138">
        <v>65000000</v>
      </c>
      <c r="F43" s="138">
        <v>0</v>
      </c>
      <c r="G43" s="138">
        <v>0</v>
      </c>
      <c r="H43" s="138">
        <f t="shared" si="0"/>
        <v>-65000000</v>
      </c>
      <c r="I43" s="292">
        <v>0</v>
      </c>
      <c r="J43" s="723"/>
      <c r="K43" s="741">
        <v>0</v>
      </c>
      <c r="L43" s="138"/>
      <c r="M43" s="138">
        <v>0</v>
      </c>
      <c r="N43" s="138">
        <f t="shared" si="1"/>
        <v>0</v>
      </c>
      <c r="O43" s="138"/>
      <c r="P43" s="742"/>
      <c r="Q43" s="732">
        <f t="shared" si="2"/>
        <v>65000000</v>
      </c>
      <c r="R43" s="138">
        <f t="shared" si="3"/>
        <v>0</v>
      </c>
      <c r="S43" s="138">
        <v>0</v>
      </c>
      <c r="T43" s="138">
        <f t="shared" si="4"/>
        <v>-65000000</v>
      </c>
      <c r="U43" s="138">
        <f t="shared" si="5"/>
        <v>0</v>
      </c>
      <c r="V43" s="138">
        <f t="shared" si="6"/>
        <v>0</v>
      </c>
    </row>
    <row r="44" spans="1:22" ht="18.75" customHeight="1" x14ac:dyDescent="0.2">
      <c r="A44" s="564"/>
      <c r="B44" s="562" t="s">
        <v>244</v>
      </c>
      <c r="C44" s="563"/>
      <c r="D44" s="248" t="s">
        <v>438</v>
      </c>
      <c r="E44" s="159">
        <f t="shared" ref="E44:P44" si="18">SUM(E43)</f>
        <v>65000000</v>
      </c>
      <c r="F44" s="159">
        <v>0</v>
      </c>
      <c r="G44" s="159"/>
      <c r="H44" s="159">
        <f t="shared" si="0"/>
        <v>-65000000</v>
      </c>
      <c r="I44" s="304">
        <f t="shared" si="18"/>
        <v>0</v>
      </c>
      <c r="J44" s="726">
        <f t="shared" si="18"/>
        <v>0</v>
      </c>
      <c r="K44" s="747">
        <f t="shared" si="18"/>
        <v>0</v>
      </c>
      <c r="L44" s="159">
        <v>0</v>
      </c>
      <c r="M44" s="159">
        <v>0</v>
      </c>
      <c r="N44" s="159">
        <f t="shared" si="1"/>
        <v>0</v>
      </c>
      <c r="O44" s="159">
        <f t="shared" si="18"/>
        <v>0</v>
      </c>
      <c r="P44" s="748">
        <f t="shared" si="18"/>
        <v>0</v>
      </c>
      <c r="Q44" s="735">
        <f t="shared" si="2"/>
        <v>65000000</v>
      </c>
      <c r="R44" s="159">
        <f t="shared" si="3"/>
        <v>0</v>
      </c>
      <c r="S44" s="159">
        <v>0</v>
      </c>
      <c r="T44" s="159">
        <f t="shared" si="4"/>
        <v>-65000000</v>
      </c>
      <c r="U44" s="159">
        <f t="shared" si="5"/>
        <v>0</v>
      </c>
      <c r="V44" s="159">
        <f t="shared" si="6"/>
        <v>0</v>
      </c>
    </row>
    <row r="45" spans="1:22" ht="15" customHeight="1" x14ac:dyDescent="0.2">
      <c r="A45" s="564" t="s">
        <v>47</v>
      </c>
      <c r="B45" s="142"/>
      <c r="C45" s="137" t="s">
        <v>274</v>
      </c>
      <c r="D45" s="137" t="s">
        <v>412</v>
      </c>
      <c r="E45" s="138">
        <v>141599305</v>
      </c>
      <c r="F45" s="138">
        <v>0</v>
      </c>
      <c r="G45" s="138">
        <v>0</v>
      </c>
      <c r="H45" s="138">
        <f t="shared" si="0"/>
        <v>-3795353</v>
      </c>
      <c r="I45" s="292">
        <v>137803952</v>
      </c>
      <c r="J45" s="723">
        <v>137803952</v>
      </c>
      <c r="K45" s="741">
        <v>941822</v>
      </c>
      <c r="L45" s="138">
        <v>0</v>
      </c>
      <c r="M45" s="138">
        <v>0</v>
      </c>
      <c r="N45" s="138">
        <f t="shared" si="1"/>
        <v>0</v>
      </c>
      <c r="O45" s="138">
        <v>941822</v>
      </c>
      <c r="P45" s="742">
        <v>941822</v>
      </c>
      <c r="Q45" s="732">
        <f t="shared" si="2"/>
        <v>142541127</v>
      </c>
      <c r="R45" s="138">
        <f t="shared" si="3"/>
        <v>0</v>
      </c>
      <c r="S45" s="138">
        <v>0</v>
      </c>
      <c r="T45" s="138">
        <f t="shared" si="4"/>
        <v>-3795353</v>
      </c>
      <c r="U45" s="138">
        <f t="shared" si="5"/>
        <v>138745774</v>
      </c>
      <c r="V45" s="138">
        <f t="shared" si="6"/>
        <v>138745774</v>
      </c>
    </row>
    <row r="46" spans="1:22" ht="17.25" customHeight="1" x14ac:dyDescent="0.2">
      <c r="A46" s="564"/>
      <c r="B46" s="562" t="s">
        <v>246</v>
      </c>
      <c r="C46" s="563"/>
      <c r="D46" s="248" t="s">
        <v>413</v>
      </c>
      <c r="E46" s="159">
        <f t="shared" ref="E46:P46" si="19">SUM(E45)</f>
        <v>141599305</v>
      </c>
      <c r="F46" s="159">
        <v>0</v>
      </c>
      <c r="G46" s="159"/>
      <c r="H46" s="159">
        <f t="shared" si="0"/>
        <v>-3795353</v>
      </c>
      <c r="I46" s="304">
        <f t="shared" si="19"/>
        <v>137803952</v>
      </c>
      <c r="J46" s="726">
        <f t="shared" si="19"/>
        <v>137803952</v>
      </c>
      <c r="K46" s="747">
        <f t="shared" si="19"/>
        <v>941822</v>
      </c>
      <c r="L46" s="159">
        <v>0</v>
      </c>
      <c r="M46" s="159">
        <v>0</v>
      </c>
      <c r="N46" s="159">
        <f t="shared" si="1"/>
        <v>0</v>
      </c>
      <c r="O46" s="159">
        <f t="shared" si="19"/>
        <v>941822</v>
      </c>
      <c r="P46" s="748">
        <f t="shared" si="19"/>
        <v>941822</v>
      </c>
      <c r="Q46" s="735">
        <f t="shared" si="2"/>
        <v>142541127</v>
      </c>
      <c r="R46" s="159">
        <f t="shared" si="3"/>
        <v>0</v>
      </c>
      <c r="S46" s="159">
        <v>0</v>
      </c>
      <c r="T46" s="159">
        <f t="shared" si="4"/>
        <v>-3795353</v>
      </c>
      <c r="U46" s="159">
        <f t="shared" si="5"/>
        <v>138745774</v>
      </c>
      <c r="V46" s="159">
        <f t="shared" si="6"/>
        <v>138745774</v>
      </c>
    </row>
    <row r="47" spans="1:22" ht="17.25" customHeight="1" x14ac:dyDescent="0.2">
      <c r="A47" s="346"/>
      <c r="B47" s="142"/>
      <c r="C47" s="137" t="s">
        <v>450</v>
      </c>
      <c r="D47" s="137" t="s">
        <v>451</v>
      </c>
      <c r="E47" s="138"/>
      <c r="F47" s="142"/>
      <c r="G47" s="137"/>
      <c r="H47" s="138">
        <f t="shared" si="0"/>
        <v>14451641</v>
      </c>
      <c r="I47" s="138">
        <v>14451641</v>
      </c>
      <c r="J47" s="728">
        <v>14451641</v>
      </c>
      <c r="K47" s="751"/>
      <c r="L47" s="137"/>
      <c r="M47" s="138"/>
      <c r="N47" s="142"/>
      <c r="O47" s="137"/>
      <c r="P47" s="752"/>
      <c r="Q47" s="732">
        <f t="shared" si="2"/>
        <v>0</v>
      </c>
      <c r="R47" s="218"/>
      <c r="S47" s="137"/>
      <c r="T47" s="138">
        <f t="shared" si="4"/>
        <v>14451641</v>
      </c>
      <c r="U47" s="138">
        <f t="shared" si="5"/>
        <v>14451641</v>
      </c>
      <c r="V47" s="138">
        <f t="shared" si="6"/>
        <v>14451641</v>
      </c>
    </row>
    <row r="48" spans="1:22" ht="15.75" customHeight="1" x14ac:dyDescent="0.2">
      <c r="A48" s="584" t="s">
        <v>48</v>
      </c>
      <c r="B48" s="142"/>
      <c r="C48" s="137" t="s">
        <v>277</v>
      </c>
      <c r="D48" s="137" t="s">
        <v>338</v>
      </c>
      <c r="E48" s="138">
        <v>0</v>
      </c>
      <c r="F48" s="138">
        <v>0</v>
      </c>
      <c r="G48" s="138">
        <v>0</v>
      </c>
      <c r="H48" s="138">
        <f t="shared" si="0"/>
        <v>0</v>
      </c>
      <c r="I48" s="298"/>
      <c r="J48" s="729"/>
      <c r="K48" s="741">
        <v>105524914</v>
      </c>
      <c r="L48" s="138">
        <v>0</v>
      </c>
      <c r="M48" s="138">
        <v>0</v>
      </c>
      <c r="N48" s="138">
        <f t="shared" si="1"/>
        <v>-717191</v>
      </c>
      <c r="O48" s="138">
        <v>104807723</v>
      </c>
      <c r="P48" s="742">
        <v>104807723</v>
      </c>
      <c r="Q48" s="732">
        <f t="shared" si="2"/>
        <v>105524914</v>
      </c>
      <c r="R48" s="138">
        <f t="shared" si="3"/>
        <v>0</v>
      </c>
      <c r="S48" s="138">
        <v>0</v>
      </c>
      <c r="T48" s="138">
        <f t="shared" si="4"/>
        <v>-717191</v>
      </c>
      <c r="U48" s="138">
        <f t="shared" si="5"/>
        <v>104807723</v>
      </c>
      <c r="V48" s="138">
        <f t="shared" si="6"/>
        <v>104807723</v>
      </c>
    </row>
    <row r="49" spans="1:22" ht="18" customHeight="1" x14ac:dyDescent="0.2">
      <c r="A49" s="583"/>
      <c r="B49" s="562" t="s">
        <v>278</v>
      </c>
      <c r="C49" s="563"/>
      <c r="D49" s="248" t="s">
        <v>339</v>
      </c>
      <c r="E49" s="159">
        <f>SUM(E47:E48)</f>
        <v>0</v>
      </c>
      <c r="F49" s="159">
        <f t="shared" ref="F49:K49" si="20">SUM(F47:F48)</f>
        <v>0</v>
      </c>
      <c r="G49" s="159">
        <f t="shared" si="20"/>
        <v>0</v>
      </c>
      <c r="H49" s="159">
        <f t="shared" si="20"/>
        <v>14451641</v>
      </c>
      <c r="I49" s="159">
        <f t="shared" si="20"/>
        <v>14451641</v>
      </c>
      <c r="J49" s="730">
        <f t="shared" si="20"/>
        <v>14451641</v>
      </c>
      <c r="K49" s="747">
        <f t="shared" si="20"/>
        <v>105524914</v>
      </c>
      <c r="L49" s="159">
        <v>0</v>
      </c>
      <c r="M49" s="159">
        <v>0</v>
      </c>
      <c r="N49" s="159">
        <f t="shared" si="1"/>
        <v>-717191</v>
      </c>
      <c r="O49" s="159">
        <f>SUM(O47:O48)</f>
        <v>104807723</v>
      </c>
      <c r="P49" s="748">
        <f t="shared" ref="P49:Q49" si="21">SUM(P47:P48)</f>
        <v>104807723</v>
      </c>
      <c r="Q49" s="735">
        <f t="shared" si="21"/>
        <v>105524914</v>
      </c>
      <c r="R49" s="159">
        <f t="shared" ref="R49" si="22">SUM(R47:R48)</f>
        <v>0</v>
      </c>
      <c r="S49" s="159">
        <f t="shared" ref="S49" si="23">SUM(S47:S48)</f>
        <v>0</v>
      </c>
      <c r="T49" s="159">
        <f t="shared" si="4"/>
        <v>13734450</v>
      </c>
      <c r="U49" s="159">
        <f>SUM(U47:U48)</f>
        <v>119259364</v>
      </c>
      <c r="V49" s="159">
        <f>SUM(V47:V48)</f>
        <v>119259364</v>
      </c>
    </row>
    <row r="50" spans="1:22" s="135" customFormat="1" ht="21.75" customHeight="1" x14ac:dyDescent="0.2">
      <c r="A50" s="578" t="s">
        <v>247</v>
      </c>
      <c r="B50" s="579"/>
      <c r="C50" s="580"/>
      <c r="D50" s="251" t="s">
        <v>340</v>
      </c>
      <c r="E50" s="160">
        <f>E44+E46+E49+E42</f>
        <v>856599305</v>
      </c>
      <c r="F50" s="160">
        <v>0</v>
      </c>
      <c r="G50" s="160">
        <v>0</v>
      </c>
      <c r="H50" s="160">
        <f t="shared" si="0"/>
        <v>-704343712</v>
      </c>
      <c r="I50" s="301">
        <f>I44+I46+I49+I42</f>
        <v>152255593</v>
      </c>
      <c r="J50" s="727">
        <f>J44+J46+J49+J42</f>
        <v>152255593</v>
      </c>
      <c r="K50" s="749">
        <f>K44+K46+K49+K42</f>
        <v>106466736</v>
      </c>
      <c r="L50" s="160">
        <v>0</v>
      </c>
      <c r="M50" s="160">
        <v>0</v>
      </c>
      <c r="N50" s="160">
        <f t="shared" si="1"/>
        <v>-717191</v>
      </c>
      <c r="O50" s="160">
        <f>O44+O46+O49+O42</f>
        <v>105749545</v>
      </c>
      <c r="P50" s="750">
        <f>P44+P46+P49+P42</f>
        <v>105749545</v>
      </c>
      <c r="Q50" s="769">
        <f>Q44+Q46+Q49+Q42</f>
        <v>963066041</v>
      </c>
      <c r="R50" s="770">
        <f>R44+R46+R49+R42</f>
        <v>0</v>
      </c>
      <c r="S50" s="770">
        <v>0</v>
      </c>
      <c r="T50" s="770">
        <f t="shared" si="4"/>
        <v>-705060903</v>
      </c>
      <c r="U50" s="770">
        <f>U44+U46+U49+U42</f>
        <v>258005138</v>
      </c>
      <c r="V50" s="770">
        <f>V44+V46+V49+V42</f>
        <v>258005138</v>
      </c>
    </row>
    <row r="51" spans="1:22" s="148" customFormat="1" ht="22.5" customHeight="1" x14ac:dyDescent="0.25">
      <c r="A51" s="575" t="s">
        <v>248</v>
      </c>
      <c r="B51" s="576"/>
      <c r="C51" s="577"/>
      <c r="D51" s="245"/>
      <c r="E51" s="147">
        <f>E40+E50</f>
        <v>1505304064</v>
      </c>
      <c r="F51" s="147">
        <v>17260974</v>
      </c>
      <c r="G51" s="147">
        <v>20819259</v>
      </c>
      <c r="H51" s="147">
        <f t="shared" si="0"/>
        <v>-783822511</v>
      </c>
      <c r="I51" s="305">
        <f>I40+I50</f>
        <v>759561786</v>
      </c>
      <c r="J51" s="731">
        <f>J40+J50</f>
        <v>749855970</v>
      </c>
      <c r="K51" s="753">
        <f>K40+K50</f>
        <v>108468736</v>
      </c>
      <c r="L51" s="147">
        <v>407000</v>
      </c>
      <c r="M51" s="147">
        <v>0</v>
      </c>
      <c r="N51" s="147">
        <f t="shared" si="1"/>
        <v>1173700</v>
      </c>
      <c r="O51" s="147">
        <f>O40+O50</f>
        <v>110049436</v>
      </c>
      <c r="P51" s="754">
        <f>P40+P50</f>
        <v>110049436</v>
      </c>
      <c r="Q51" s="736">
        <f>Q40+Q50</f>
        <v>1613772800</v>
      </c>
      <c r="R51" s="147">
        <f>R40+R50</f>
        <v>17667974</v>
      </c>
      <c r="S51" s="147">
        <v>20819259</v>
      </c>
      <c r="T51" s="147">
        <f t="shared" si="4"/>
        <v>-782648811</v>
      </c>
      <c r="U51" s="147">
        <f>U40+U50</f>
        <v>869611222</v>
      </c>
      <c r="V51" s="147">
        <f>V40+V50</f>
        <v>859905406</v>
      </c>
    </row>
  </sheetData>
  <mergeCells count="33">
    <mergeCell ref="Q3:V3"/>
    <mergeCell ref="D3:D4"/>
    <mergeCell ref="A1:V1"/>
    <mergeCell ref="A2:U2"/>
    <mergeCell ref="A51:C51"/>
    <mergeCell ref="A43:A44"/>
    <mergeCell ref="A45:A46"/>
    <mergeCell ref="A40:C40"/>
    <mergeCell ref="B24:C24"/>
    <mergeCell ref="B39:C39"/>
    <mergeCell ref="A36:A39"/>
    <mergeCell ref="A34:A35"/>
    <mergeCell ref="A50:C50"/>
    <mergeCell ref="B44:C44"/>
    <mergeCell ref="B46:C46"/>
    <mergeCell ref="A18:A24"/>
    <mergeCell ref="B35:C35"/>
    <mergeCell ref="B49:C49"/>
    <mergeCell ref="A48:A49"/>
    <mergeCell ref="B42:C42"/>
    <mergeCell ref="B23:C23"/>
    <mergeCell ref="B16:C16"/>
    <mergeCell ref="B33:C33"/>
    <mergeCell ref="A25:A33"/>
    <mergeCell ref="B18:C18"/>
    <mergeCell ref="B22:C22"/>
    <mergeCell ref="B10:C10"/>
    <mergeCell ref="B15:C15"/>
    <mergeCell ref="A5:A16"/>
    <mergeCell ref="A3:C4"/>
    <mergeCell ref="B17:C17"/>
    <mergeCell ref="E3:J3"/>
    <mergeCell ref="K3:P3"/>
  </mergeCells>
  <phoneticPr fontId="0" type="noConversion"/>
  <printOptions horizontalCentered="1"/>
  <pageMargins left="0.39370078740157483" right="0.27559055118110237" top="0.55118110236220474" bottom="0.39370078740157483" header="0.15748031496062992" footer="0.19685039370078741"/>
  <pageSetup paperSize="9" scale="44" firstPageNumber="39" orientation="landscape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0"/>
  <sheetViews>
    <sheetView workbookViewId="0">
      <selection activeCell="K13" sqref="K13"/>
    </sheetView>
  </sheetViews>
  <sheetFormatPr defaultRowHeight="15" customHeight="1" x14ac:dyDescent="0.2"/>
  <cols>
    <col min="1" max="1" width="6.5703125" style="67" customWidth="1"/>
    <col min="2" max="2" width="39.28515625" style="2" customWidth="1"/>
    <col min="3" max="3" width="17.85546875" style="2" customWidth="1"/>
    <col min="4" max="4" width="16.28515625" style="2" customWidth="1"/>
    <col min="5" max="5" width="12.28515625" style="2" customWidth="1"/>
    <col min="6" max="16384" width="9.140625" style="2"/>
  </cols>
  <sheetData>
    <row r="1" spans="1:5" ht="15" customHeight="1" x14ac:dyDescent="0.2">
      <c r="A1" s="556" t="s">
        <v>462</v>
      </c>
      <c r="B1" s="556"/>
      <c r="C1" s="556"/>
      <c r="D1" s="556"/>
      <c r="E1" s="556"/>
    </row>
    <row r="3" spans="1:5" ht="15" customHeight="1" thickBot="1" x14ac:dyDescent="0.25"/>
    <row r="4" spans="1:5" ht="42" customHeight="1" thickBot="1" x14ac:dyDescent="0.25">
      <c r="A4" s="706" t="s">
        <v>84</v>
      </c>
      <c r="B4" s="708" t="s">
        <v>85</v>
      </c>
      <c r="C4" s="710" t="s">
        <v>371</v>
      </c>
      <c r="D4" s="711"/>
      <c r="E4" s="68" t="s">
        <v>86</v>
      </c>
    </row>
    <row r="5" spans="1:5" ht="25.5" customHeight="1" thickBot="1" x14ac:dyDescent="0.25">
      <c r="A5" s="707"/>
      <c r="B5" s="709"/>
      <c r="C5" s="69" t="s">
        <v>87</v>
      </c>
      <c r="D5" s="130" t="s">
        <v>88</v>
      </c>
      <c r="E5" s="70"/>
    </row>
    <row r="6" spans="1:5" ht="15" customHeight="1" x14ac:dyDescent="0.2">
      <c r="A6" s="71" t="s">
        <v>36</v>
      </c>
      <c r="B6" s="72" t="s">
        <v>89</v>
      </c>
      <c r="C6" s="73">
        <v>1</v>
      </c>
      <c r="D6" s="74"/>
      <c r="E6" s="74"/>
    </row>
    <row r="7" spans="1:5" ht="15" customHeight="1" x14ac:dyDescent="0.2">
      <c r="A7" s="71" t="s">
        <v>37</v>
      </c>
      <c r="B7" s="75" t="s">
        <v>90</v>
      </c>
      <c r="C7" s="76">
        <f>1+6</f>
        <v>7</v>
      </c>
      <c r="D7" s="77"/>
      <c r="E7" s="74"/>
    </row>
    <row r="8" spans="1:5" ht="15" customHeight="1" x14ac:dyDescent="0.2">
      <c r="A8" s="71" t="s">
        <v>38</v>
      </c>
      <c r="B8" s="78" t="s">
        <v>91</v>
      </c>
      <c r="C8" s="76">
        <v>2</v>
      </c>
      <c r="D8" s="77"/>
      <c r="E8" s="74"/>
    </row>
    <row r="9" spans="1:5" ht="15" customHeight="1" x14ac:dyDescent="0.2">
      <c r="A9" s="71" t="s">
        <v>39</v>
      </c>
      <c r="B9" s="75" t="s">
        <v>92</v>
      </c>
      <c r="C9" s="76">
        <v>1</v>
      </c>
      <c r="D9" s="77"/>
      <c r="E9" s="74"/>
    </row>
    <row r="10" spans="1:5" ht="15" customHeight="1" x14ac:dyDescent="0.2">
      <c r="A10" s="71" t="s">
        <v>40</v>
      </c>
      <c r="B10" s="75" t="s">
        <v>93</v>
      </c>
      <c r="C10" s="76">
        <v>2</v>
      </c>
      <c r="D10" s="77"/>
      <c r="E10" s="74"/>
    </row>
    <row r="11" spans="1:5" ht="15" customHeight="1" x14ac:dyDescent="0.2">
      <c r="A11" s="71" t="s">
        <v>45</v>
      </c>
      <c r="B11" s="78" t="s">
        <v>94</v>
      </c>
      <c r="C11" s="76">
        <v>1</v>
      </c>
      <c r="D11" s="77"/>
      <c r="E11" s="74"/>
    </row>
    <row r="12" spans="1:5" ht="15" customHeight="1" x14ac:dyDescent="0.2">
      <c r="A12" s="71" t="s">
        <v>47</v>
      </c>
      <c r="B12" s="78" t="s">
        <v>95</v>
      </c>
      <c r="C12" s="76">
        <v>6</v>
      </c>
      <c r="D12" s="77"/>
      <c r="E12" s="74"/>
    </row>
    <row r="13" spans="1:5" ht="15" customHeight="1" x14ac:dyDescent="0.2">
      <c r="A13" s="71" t="s">
        <v>48</v>
      </c>
      <c r="B13" s="12" t="s">
        <v>200</v>
      </c>
      <c r="C13" s="76">
        <v>0</v>
      </c>
      <c r="D13" s="77"/>
      <c r="E13" s="74"/>
    </row>
    <row r="14" spans="1:5" ht="15" customHeight="1" x14ac:dyDescent="0.2">
      <c r="A14" s="71" t="s">
        <v>49</v>
      </c>
      <c r="B14" s="78" t="s">
        <v>96</v>
      </c>
      <c r="C14" s="79"/>
      <c r="D14" s="80">
        <v>16</v>
      </c>
      <c r="E14" s="74"/>
    </row>
    <row r="15" spans="1:5" ht="15" customHeight="1" x14ac:dyDescent="0.2">
      <c r="A15" s="71" t="s">
        <v>50</v>
      </c>
      <c r="B15" s="75" t="s">
        <v>97</v>
      </c>
      <c r="C15" s="79"/>
      <c r="D15" s="80">
        <v>1</v>
      </c>
      <c r="E15" s="74"/>
    </row>
    <row r="16" spans="1:5" ht="15" customHeight="1" x14ac:dyDescent="0.2">
      <c r="A16" s="71" t="s">
        <v>23</v>
      </c>
      <c r="B16" s="75" t="s">
        <v>201</v>
      </c>
      <c r="C16" s="76">
        <v>1</v>
      </c>
      <c r="D16" s="80"/>
      <c r="E16" s="74"/>
    </row>
    <row r="17" spans="1:5" ht="15" customHeight="1" x14ac:dyDescent="0.2">
      <c r="A17" s="71" t="s">
        <v>24</v>
      </c>
      <c r="B17" s="75"/>
      <c r="C17" s="76"/>
      <c r="D17" s="77"/>
      <c r="E17" s="74"/>
    </row>
    <row r="18" spans="1:5" ht="15" customHeight="1" thickBot="1" x14ac:dyDescent="0.25">
      <c r="A18" s="71" t="s">
        <v>28</v>
      </c>
      <c r="B18" s="72"/>
      <c r="C18" s="81"/>
      <c r="D18" s="74"/>
      <c r="E18" s="82"/>
    </row>
    <row r="19" spans="1:5" s="12" customFormat="1" ht="18" customHeight="1" thickBot="1" x14ac:dyDescent="0.25">
      <c r="A19" s="704" t="s">
        <v>98</v>
      </c>
      <c r="B19" s="705"/>
      <c r="C19" s="83">
        <f>SUM(C6:C18)</f>
        <v>21</v>
      </c>
      <c r="D19" s="84">
        <f>SUM(D6:D18)</f>
        <v>17</v>
      </c>
      <c r="E19" s="85">
        <f>SUM(C19:D19)</f>
        <v>38</v>
      </c>
    </row>
    <row r="24" spans="1:5" ht="15" customHeight="1" x14ac:dyDescent="0.2">
      <c r="B24" s="12"/>
      <c r="C24" s="12"/>
      <c r="D24" s="12"/>
      <c r="E24" s="12"/>
    </row>
    <row r="25" spans="1:5" ht="15" customHeight="1" x14ac:dyDescent="0.2">
      <c r="B25" s="12"/>
      <c r="C25" s="12"/>
      <c r="D25" s="12"/>
      <c r="E25" s="12"/>
    </row>
    <row r="26" spans="1:5" ht="15" customHeight="1" x14ac:dyDescent="0.2">
      <c r="B26" s="12"/>
      <c r="C26" s="12"/>
      <c r="D26" s="12"/>
      <c r="E26" s="12"/>
    </row>
    <row r="27" spans="1:5" ht="15" customHeight="1" x14ac:dyDescent="0.2">
      <c r="B27" s="12"/>
      <c r="C27" s="12"/>
      <c r="D27" s="12"/>
      <c r="E27" s="12"/>
    </row>
    <row r="32" spans="1:5" ht="15" customHeight="1" x14ac:dyDescent="0.2">
      <c r="B32" s="12"/>
      <c r="C32" s="12"/>
      <c r="D32" s="12"/>
      <c r="E32" s="12"/>
    </row>
    <row r="38" spans="2:5" ht="15" customHeight="1" x14ac:dyDescent="0.2">
      <c r="B38" s="12"/>
      <c r="C38" s="12"/>
      <c r="D38" s="12"/>
      <c r="E38" s="12"/>
    </row>
    <row r="40" spans="2:5" ht="15" customHeight="1" x14ac:dyDescent="0.2">
      <c r="B40" s="12"/>
      <c r="C40" s="12"/>
      <c r="D40" s="12"/>
      <c r="E40" s="12"/>
    </row>
  </sheetData>
  <mergeCells count="5">
    <mergeCell ref="A19:B19"/>
    <mergeCell ref="A1:E1"/>
    <mergeCell ref="A4:A5"/>
    <mergeCell ref="B4:B5"/>
    <mergeCell ref="C4:D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7"/>
  </sheetPr>
  <dimension ref="A1:I15"/>
  <sheetViews>
    <sheetView tabSelected="1" workbookViewId="0">
      <selection activeCell="L16" sqref="L16"/>
    </sheetView>
  </sheetViews>
  <sheetFormatPr defaultRowHeight="12.75" x14ac:dyDescent="0.2"/>
  <cols>
    <col min="1" max="1" width="4.28515625" customWidth="1"/>
    <col min="3" max="3" width="35.42578125" customWidth="1"/>
    <col min="4" max="4" width="15.85546875" bestFit="1" customWidth="1"/>
    <col min="5" max="5" width="11.85546875" customWidth="1"/>
    <col min="6" max="6" width="11.7109375" customWidth="1"/>
    <col min="7" max="7" width="12.140625" customWidth="1"/>
    <col min="8" max="8" width="12.5703125" customWidth="1"/>
    <col min="9" max="9" width="13.28515625" customWidth="1"/>
  </cols>
  <sheetData>
    <row r="1" spans="1:9" ht="21.75" customHeight="1" x14ac:dyDescent="0.2">
      <c r="A1" s="556" t="s">
        <v>462</v>
      </c>
      <c r="B1" s="556"/>
      <c r="C1" s="556"/>
      <c r="D1" s="556"/>
      <c r="E1" s="556"/>
      <c r="F1" s="556"/>
      <c r="G1" s="556"/>
      <c r="H1" s="556"/>
      <c r="I1" s="556"/>
    </row>
    <row r="2" spans="1:9" x14ac:dyDescent="0.2">
      <c r="A2" s="3"/>
      <c r="B2" s="3"/>
      <c r="C2" s="3"/>
      <c r="D2" s="126"/>
      <c r="E2" s="126"/>
      <c r="F2" s="126"/>
      <c r="G2" s="126"/>
      <c r="H2" s="126"/>
      <c r="I2" s="126"/>
    </row>
    <row r="3" spans="1:9" x14ac:dyDescent="0.2">
      <c r="A3" s="3"/>
      <c r="B3" s="3"/>
      <c r="C3" s="3"/>
      <c r="D3" s="126"/>
      <c r="E3" s="126"/>
      <c r="F3" s="126"/>
      <c r="G3" s="126"/>
      <c r="H3" s="126"/>
      <c r="I3" s="126"/>
    </row>
    <row r="4" spans="1:9" x14ac:dyDescent="0.2">
      <c r="A4" s="3"/>
      <c r="B4" s="3"/>
      <c r="C4" s="3"/>
      <c r="D4" s="126"/>
      <c r="E4" s="126"/>
      <c r="F4" s="126"/>
      <c r="G4" s="126"/>
      <c r="H4" s="126"/>
      <c r="I4" s="126"/>
    </row>
    <row r="5" spans="1:9" x14ac:dyDescent="0.2">
      <c r="A5" s="3"/>
      <c r="B5" s="3"/>
      <c r="C5" s="3"/>
      <c r="E5" s="17"/>
      <c r="F5" s="17"/>
      <c r="G5" s="17"/>
      <c r="H5" s="17"/>
      <c r="I5" s="17" t="s">
        <v>375</v>
      </c>
    </row>
    <row r="6" spans="1:9" ht="13.5" thickBot="1" x14ac:dyDescent="0.25">
      <c r="A6" s="1"/>
      <c r="B6" s="1"/>
      <c r="C6" s="2"/>
      <c r="D6" s="17"/>
      <c r="E6" s="17"/>
      <c r="F6" s="17"/>
      <c r="G6" s="17"/>
      <c r="H6" s="17"/>
      <c r="I6" s="17"/>
    </row>
    <row r="7" spans="1:9" ht="26.25" customHeight="1" x14ac:dyDescent="0.2">
      <c r="A7" s="712" t="s">
        <v>35</v>
      </c>
      <c r="B7" s="713"/>
      <c r="C7" s="714"/>
      <c r="D7" s="127" t="s">
        <v>474</v>
      </c>
      <c r="E7" s="127" t="s">
        <v>425</v>
      </c>
      <c r="F7" s="127" t="s">
        <v>433</v>
      </c>
      <c r="G7" s="127" t="s">
        <v>449</v>
      </c>
      <c r="H7" s="127" t="s">
        <v>420</v>
      </c>
      <c r="I7" s="127" t="s">
        <v>421</v>
      </c>
    </row>
    <row r="8" spans="1:9" x14ac:dyDescent="0.2">
      <c r="A8" s="4"/>
      <c r="B8" s="715"/>
      <c r="C8" s="715"/>
      <c r="D8" s="6"/>
      <c r="E8" s="6"/>
      <c r="F8" s="6"/>
      <c r="G8" s="6"/>
      <c r="H8" s="6"/>
      <c r="I8" s="6"/>
    </row>
    <row r="9" spans="1:9" x14ac:dyDescent="0.2">
      <c r="A9" s="4" t="s">
        <v>36</v>
      </c>
      <c r="B9" s="715" t="s">
        <v>195</v>
      </c>
      <c r="C9" s="715"/>
      <c r="D9" s="6">
        <f>'1. Bevételek'!Q18+'1. Bevételek'!Q19+'1. Bevételek'!Q21</f>
        <v>168154000</v>
      </c>
      <c r="E9" s="6">
        <v>0</v>
      </c>
      <c r="F9" s="6">
        <v>0</v>
      </c>
      <c r="G9" s="6">
        <f>H9-F9-E9-D9</f>
        <v>9988227</v>
      </c>
      <c r="H9" s="457">
        <v>178142227</v>
      </c>
      <c r="I9" s="457">
        <v>172593506</v>
      </c>
    </row>
    <row r="10" spans="1:9" x14ac:dyDescent="0.2">
      <c r="A10" s="4" t="s">
        <v>37</v>
      </c>
      <c r="B10" s="715" t="s">
        <v>232</v>
      </c>
      <c r="C10" s="715"/>
      <c r="D10" s="6">
        <f>'1. Bevételek'!Q27</f>
        <v>241672</v>
      </c>
      <c r="E10" s="6">
        <v>0</v>
      </c>
      <c r="F10" s="6">
        <v>0</v>
      </c>
      <c r="G10" s="6">
        <f t="shared" ref="G10:G14" si="0">H10-F10-E10-D10</f>
        <v>0</v>
      </c>
      <c r="H10" s="457">
        <v>241672</v>
      </c>
      <c r="I10" s="457">
        <v>241672</v>
      </c>
    </row>
    <row r="11" spans="1:9" x14ac:dyDescent="0.2">
      <c r="A11" s="4" t="s">
        <v>38</v>
      </c>
      <c r="B11" s="715" t="s">
        <v>286</v>
      </c>
      <c r="C11" s="715"/>
      <c r="D11" s="6">
        <f>'1. Bevételek'!Q23</f>
        <v>50000</v>
      </c>
      <c r="E11" s="6">
        <v>25995</v>
      </c>
      <c r="F11" s="6">
        <v>179701</v>
      </c>
      <c r="G11" s="6">
        <f t="shared" si="0"/>
        <v>1421130</v>
      </c>
      <c r="H11" s="457">
        <v>1676826</v>
      </c>
      <c r="I11" s="457">
        <v>818651</v>
      </c>
    </row>
    <row r="12" spans="1:9" ht="13.5" thickBot="1" x14ac:dyDescent="0.25">
      <c r="A12" s="4" t="s">
        <v>39</v>
      </c>
      <c r="B12" s="716" t="s">
        <v>287</v>
      </c>
      <c r="C12" s="716"/>
      <c r="D12" s="23">
        <f>'1. Bevételek'!Q34</f>
        <v>2372880</v>
      </c>
      <c r="E12" s="6">
        <v>0</v>
      </c>
      <c r="F12" s="6">
        <v>0</v>
      </c>
      <c r="G12" s="23">
        <f t="shared" si="0"/>
        <v>2372580</v>
      </c>
      <c r="H12" s="458">
        <v>4745460</v>
      </c>
      <c r="I12" s="458">
        <v>2372880</v>
      </c>
    </row>
    <row r="13" spans="1:9" ht="13.5" thickBot="1" x14ac:dyDescent="0.25">
      <c r="A13" s="717" t="s">
        <v>196</v>
      </c>
      <c r="B13" s="718"/>
      <c r="C13" s="719"/>
      <c r="D13" s="283">
        <f>SUM(D8:D12)</f>
        <v>170818552</v>
      </c>
      <c r="E13" s="283">
        <f t="shared" ref="E13:I13" si="1">SUM(E8:E12)</f>
        <v>25995</v>
      </c>
      <c r="F13" s="283">
        <v>179701</v>
      </c>
      <c r="G13" s="283">
        <f t="shared" si="0"/>
        <v>13781937</v>
      </c>
      <c r="H13" s="459">
        <f t="shared" si="1"/>
        <v>184806185</v>
      </c>
      <c r="I13" s="459">
        <f t="shared" si="1"/>
        <v>176026709</v>
      </c>
    </row>
    <row r="14" spans="1:9" ht="13.5" thickBot="1" x14ac:dyDescent="0.25">
      <c r="A14" s="720" t="s">
        <v>197</v>
      </c>
      <c r="B14" s="721"/>
      <c r="C14" s="721"/>
      <c r="D14" s="284">
        <f>D13*0.5</f>
        <v>85409276</v>
      </c>
      <c r="E14" s="284">
        <f t="shared" ref="E14:I14" si="2">E13*0.5</f>
        <v>12997.5</v>
      </c>
      <c r="F14" s="284">
        <v>89850.5</v>
      </c>
      <c r="G14" s="284">
        <f t="shared" si="0"/>
        <v>6890968.5</v>
      </c>
      <c r="H14" s="460">
        <f t="shared" si="2"/>
        <v>92403092.5</v>
      </c>
      <c r="I14" s="460">
        <f t="shared" si="2"/>
        <v>88013354.5</v>
      </c>
    </row>
    <row r="15" spans="1:9" x14ac:dyDescent="0.2">
      <c r="A15" s="722"/>
      <c r="B15" s="722"/>
      <c r="C15" s="722"/>
      <c r="D15" s="128"/>
      <c r="E15" s="128"/>
      <c r="F15" s="128"/>
      <c r="G15" s="128"/>
      <c r="H15" s="128"/>
      <c r="I15" s="128"/>
    </row>
  </sheetData>
  <mergeCells count="10">
    <mergeCell ref="B11:C11"/>
    <mergeCell ref="B12:C12"/>
    <mergeCell ref="A13:C13"/>
    <mergeCell ref="A14:C14"/>
    <mergeCell ref="A15:C15"/>
    <mergeCell ref="A7:C7"/>
    <mergeCell ref="B8:C8"/>
    <mergeCell ref="B9:C9"/>
    <mergeCell ref="B10:C10"/>
    <mergeCell ref="A1:I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F42B-EE30-4AD5-9574-53E2225B59AD}">
  <sheetPr>
    <pageSetUpPr fitToPage="1"/>
  </sheetPr>
  <dimension ref="A1:Z53"/>
  <sheetViews>
    <sheetView zoomScaleNormal="100" workbookViewId="0">
      <selection activeCell="N67" sqref="N67"/>
    </sheetView>
  </sheetViews>
  <sheetFormatPr defaultRowHeight="12.75" x14ac:dyDescent="0.2"/>
  <cols>
    <col min="1" max="2" width="2.5703125" style="162" bestFit="1" customWidth="1"/>
    <col min="3" max="3" width="52.7109375" style="162" customWidth="1"/>
    <col min="4" max="4" width="6.28515625" style="162" bestFit="1" customWidth="1"/>
    <col min="5" max="5" width="12.7109375" style="162" bestFit="1" customWidth="1"/>
    <col min="6" max="6" width="10.7109375" style="162" bestFit="1" customWidth="1"/>
    <col min="7" max="7" width="10.140625" style="162" bestFit="1" customWidth="1"/>
    <col min="8" max="8" width="11.7109375" style="162" bestFit="1" customWidth="1"/>
    <col min="9" max="9" width="12" style="515" bestFit="1" customWidth="1"/>
    <col min="10" max="10" width="7.140625" style="515" bestFit="1" customWidth="1"/>
    <col min="11" max="11" width="8" style="515" bestFit="1" customWidth="1"/>
    <col min="12" max="12" width="8.42578125" style="515" bestFit="1" customWidth="1"/>
    <col min="13" max="13" width="11.140625" style="162" bestFit="1" customWidth="1"/>
    <col min="14" max="14" width="9.140625" style="162" bestFit="1" customWidth="1"/>
    <col min="15" max="15" width="7.5703125" style="162" bestFit="1" customWidth="1"/>
    <col min="16" max="16" width="8" style="162" bestFit="1" customWidth="1"/>
    <col min="17" max="17" width="9.5703125" style="162" bestFit="1" customWidth="1"/>
    <col min="18" max="18" width="9.140625" style="162" bestFit="1"/>
    <col min="19" max="19" width="7.5703125" style="515" bestFit="1" customWidth="1"/>
    <col min="20" max="20" width="8" style="515" bestFit="1" customWidth="1"/>
    <col min="21" max="21" width="9.140625" style="515"/>
    <col min="22" max="22" width="10.140625" style="515" bestFit="1" customWidth="1"/>
    <col min="23" max="23" width="6.42578125" style="515" customWidth="1"/>
    <col min="24" max="24" width="7.42578125" style="515" customWidth="1"/>
    <col min="25" max="25" width="9.42578125" style="515" bestFit="1" customWidth="1"/>
    <col min="26" max="26" width="13.140625" style="515" bestFit="1" customWidth="1"/>
    <col min="27" max="16384" width="9.140625" style="162"/>
  </cols>
  <sheetData>
    <row r="1" spans="1:26" ht="21.75" customHeight="1" x14ac:dyDescent="0.2">
      <c r="A1" s="596" t="s">
        <v>452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</row>
    <row r="2" spans="1:26" s="515" customFormat="1" ht="28.5" customHeight="1" x14ac:dyDescent="0.2">
      <c r="A2" s="614" t="s">
        <v>100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514" t="s">
        <v>375</v>
      </c>
    </row>
    <row r="3" spans="1:26" s="515" customFormat="1" ht="36.75" customHeight="1" x14ac:dyDescent="0.2">
      <c r="A3" s="597" t="s">
        <v>35</v>
      </c>
      <c r="B3" s="598"/>
      <c r="C3" s="599"/>
      <c r="D3" s="606" t="s">
        <v>307</v>
      </c>
      <c r="E3" s="609" t="s">
        <v>366</v>
      </c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1"/>
    </row>
    <row r="4" spans="1:26" s="515" customFormat="1" ht="12.75" customHeight="1" x14ac:dyDescent="0.2">
      <c r="A4" s="600"/>
      <c r="B4" s="601"/>
      <c r="C4" s="602"/>
      <c r="D4" s="607"/>
      <c r="E4" s="593" t="s">
        <v>308</v>
      </c>
      <c r="F4" s="594"/>
      <c r="G4" s="594"/>
      <c r="H4" s="594"/>
      <c r="I4" s="594"/>
      <c r="J4" s="594"/>
      <c r="K4" s="594"/>
      <c r="L4" s="595"/>
      <c r="M4" s="606" t="s">
        <v>198</v>
      </c>
      <c r="N4" s="593" t="s">
        <v>309</v>
      </c>
      <c r="O4" s="594"/>
      <c r="P4" s="594"/>
      <c r="Q4" s="594"/>
      <c r="R4" s="594"/>
      <c r="S4" s="594"/>
      <c r="T4" s="594"/>
      <c r="U4" s="595"/>
      <c r="V4" s="606" t="s">
        <v>198</v>
      </c>
      <c r="W4" s="593" t="s">
        <v>471</v>
      </c>
      <c r="X4" s="594"/>
      <c r="Y4" s="606" t="s">
        <v>198</v>
      </c>
      <c r="Z4" s="612" t="s">
        <v>98</v>
      </c>
    </row>
    <row r="5" spans="1:26" s="517" customFormat="1" ht="25.5" x14ac:dyDescent="0.2">
      <c r="A5" s="603"/>
      <c r="B5" s="604"/>
      <c r="C5" s="605"/>
      <c r="D5" s="608"/>
      <c r="E5" s="516" t="s">
        <v>199</v>
      </c>
      <c r="F5" s="516" t="s">
        <v>430</v>
      </c>
      <c r="G5" s="516" t="s">
        <v>446</v>
      </c>
      <c r="H5" s="516" t="s">
        <v>463</v>
      </c>
      <c r="I5" s="516" t="s">
        <v>276</v>
      </c>
      <c r="J5" s="516" t="s">
        <v>431</v>
      </c>
      <c r="K5" s="516" t="s">
        <v>448</v>
      </c>
      <c r="L5" s="516" t="s">
        <v>466</v>
      </c>
      <c r="M5" s="608"/>
      <c r="N5" s="516" t="s">
        <v>199</v>
      </c>
      <c r="O5" s="516" t="s">
        <v>431</v>
      </c>
      <c r="P5" s="516" t="s">
        <v>446</v>
      </c>
      <c r="Q5" s="516" t="s">
        <v>465</v>
      </c>
      <c r="R5" s="516" t="s">
        <v>276</v>
      </c>
      <c r="S5" s="516" t="s">
        <v>431</v>
      </c>
      <c r="T5" s="516" t="s">
        <v>448</v>
      </c>
      <c r="U5" s="516" t="s">
        <v>466</v>
      </c>
      <c r="V5" s="608"/>
      <c r="W5" s="516" t="s">
        <v>199</v>
      </c>
      <c r="X5" s="516" t="s">
        <v>276</v>
      </c>
      <c r="Y5" s="608"/>
      <c r="Z5" s="613"/>
    </row>
    <row r="6" spans="1:26" s="515" customFormat="1" ht="17.25" customHeight="1" x14ac:dyDescent="0.2">
      <c r="A6" s="587" t="s">
        <v>36</v>
      </c>
      <c r="B6" s="518"/>
      <c r="C6" s="513" t="s">
        <v>221</v>
      </c>
      <c r="D6" s="513" t="s">
        <v>310</v>
      </c>
      <c r="E6" s="292">
        <f>'1. Bevételek'!E5</f>
        <v>75428581</v>
      </c>
      <c r="F6" s="292">
        <v>23382844</v>
      </c>
      <c r="G6" s="292">
        <v>523962</v>
      </c>
      <c r="H6" s="292">
        <v>53743</v>
      </c>
      <c r="I6" s="292">
        <f>'1. Bevételek'!K5</f>
        <v>0</v>
      </c>
      <c r="J6" s="292">
        <v>0</v>
      </c>
      <c r="K6" s="292">
        <v>0</v>
      </c>
      <c r="L6" s="292"/>
      <c r="M6" s="292">
        <f>SUM(E6:L6)</f>
        <v>99389130</v>
      </c>
      <c r="N6" s="519">
        <v>0</v>
      </c>
      <c r="O6" s="519"/>
      <c r="P6" s="519"/>
      <c r="Q6" s="519"/>
      <c r="R6" s="519">
        <v>0</v>
      </c>
      <c r="S6" s="519"/>
      <c r="T6" s="519"/>
      <c r="U6" s="519"/>
      <c r="V6" s="519">
        <f>SUM(N6:R6)</f>
        <v>0</v>
      </c>
      <c r="W6" s="519">
        <v>0</v>
      </c>
      <c r="X6" s="519">
        <v>0</v>
      </c>
      <c r="Y6" s="519">
        <f>SUM(W6:X6)</f>
        <v>0</v>
      </c>
      <c r="Z6" s="292">
        <f>M6+V6+Y6</f>
        <v>99389130</v>
      </c>
    </row>
    <row r="7" spans="1:26" s="515" customFormat="1" ht="25.5" x14ac:dyDescent="0.2">
      <c r="A7" s="587"/>
      <c r="B7" s="518"/>
      <c r="C7" s="513" t="s">
        <v>222</v>
      </c>
      <c r="D7" s="513" t="s">
        <v>311</v>
      </c>
      <c r="E7" s="292">
        <f>'1. Bevételek'!E6</f>
        <v>144073630</v>
      </c>
      <c r="F7" s="292"/>
      <c r="G7" s="292">
        <v>8250495</v>
      </c>
      <c r="H7" s="292">
        <v>2138200</v>
      </c>
      <c r="I7" s="292">
        <f>'1. Bevételek'!K6</f>
        <v>0</v>
      </c>
      <c r="J7" s="292">
        <v>0</v>
      </c>
      <c r="K7" s="292">
        <v>0</v>
      </c>
      <c r="L7" s="292"/>
      <c r="M7" s="292">
        <f t="shared" ref="M7:M10" si="0">SUM(E7:L7)</f>
        <v>154462325</v>
      </c>
      <c r="N7" s="519">
        <v>0</v>
      </c>
      <c r="O7" s="519"/>
      <c r="P7" s="519"/>
      <c r="Q7" s="519"/>
      <c r="R7" s="519">
        <v>0</v>
      </c>
      <c r="S7" s="519"/>
      <c r="T7" s="519"/>
      <c r="U7" s="519"/>
      <c r="V7" s="519">
        <f t="shared" ref="V7:V9" si="1">SUM(N7:R7)</f>
        <v>0</v>
      </c>
      <c r="W7" s="519">
        <v>0</v>
      </c>
      <c r="X7" s="519">
        <v>0</v>
      </c>
      <c r="Y7" s="519">
        <f>SUM(W7:X7)</f>
        <v>0</v>
      </c>
      <c r="Z7" s="292">
        <f>M7+V7+Y7</f>
        <v>154462325</v>
      </c>
    </row>
    <row r="8" spans="1:26" s="515" customFormat="1" ht="25.5" x14ac:dyDescent="0.2">
      <c r="A8" s="587"/>
      <c r="B8" s="518"/>
      <c r="C8" s="513" t="s">
        <v>223</v>
      </c>
      <c r="D8" s="513" t="s">
        <v>312</v>
      </c>
      <c r="E8" s="292">
        <f>'1. Bevételek'!E7</f>
        <v>59375158</v>
      </c>
      <c r="F8" s="292">
        <v>2003647</v>
      </c>
      <c r="G8" s="292">
        <v>-7942875</v>
      </c>
      <c r="H8" s="292">
        <v>3332405</v>
      </c>
      <c r="I8" s="292">
        <f>'1. Bevételek'!K7</f>
        <v>0</v>
      </c>
      <c r="J8" s="292">
        <v>0</v>
      </c>
      <c r="K8" s="292">
        <v>0</v>
      </c>
      <c r="L8" s="292"/>
      <c r="M8" s="292">
        <f t="shared" si="0"/>
        <v>56768335</v>
      </c>
      <c r="N8" s="519">
        <v>0</v>
      </c>
      <c r="O8" s="519"/>
      <c r="P8" s="519"/>
      <c r="Q8" s="519"/>
      <c r="R8" s="519">
        <v>0</v>
      </c>
      <c r="S8" s="519"/>
      <c r="T8" s="519"/>
      <c r="U8" s="519"/>
      <c r="V8" s="519">
        <f t="shared" si="1"/>
        <v>0</v>
      </c>
      <c r="W8" s="519">
        <v>0</v>
      </c>
      <c r="X8" s="519">
        <v>0</v>
      </c>
      <c r="Y8" s="519">
        <f>SUM(W8:X8)</f>
        <v>0</v>
      </c>
      <c r="Z8" s="292">
        <f>M8+V8+Y8</f>
        <v>56768335</v>
      </c>
    </row>
    <row r="9" spans="1:26" s="515" customFormat="1" ht="14.25" customHeight="1" x14ac:dyDescent="0.2">
      <c r="A9" s="587"/>
      <c r="B9" s="518"/>
      <c r="C9" s="513" t="s">
        <v>224</v>
      </c>
      <c r="D9" s="513" t="s">
        <v>313</v>
      </c>
      <c r="E9" s="292">
        <f>'1. Bevételek'!E8</f>
        <v>4115790</v>
      </c>
      <c r="F9" s="292"/>
      <c r="G9" s="292">
        <v>1414700</v>
      </c>
      <c r="H9" s="292">
        <v>0</v>
      </c>
      <c r="I9" s="292">
        <f>'1. Bevételek'!K8</f>
        <v>0</v>
      </c>
      <c r="J9" s="292">
        <v>0</v>
      </c>
      <c r="K9" s="292">
        <v>0</v>
      </c>
      <c r="L9" s="292"/>
      <c r="M9" s="292">
        <f t="shared" si="0"/>
        <v>5530490</v>
      </c>
      <c r="N9" s="519">
        <v>0</v>
      </c>
      <c r="O9" s="519"/>
      <c r="P9" s="519"/>
      <c r="Q9" s="519"/>
      <c r="R9" s="519">
        <v>0</v>
      </c>
      <c r="S9" s="519"/>
      <c r="T9" s="519"/>
      <c r="U9" s="519"/>
      <c r="V9" s="519">
        <f t="shared" si="1"/>
        <v>0</v>
      </c>
      <c r="W9" s="519">
        <v>0</v>
      </c>
      <c r="X9" s="519">
        <v>0</v>
      </c>
      <c r="Y9" s="519">
        <f>SUM(W9:X9)</f>
        <v>0</v>
      </c>
      <c r="Z9" s="292">
        <f>M9+V9+Y9</f>
        <v>5530490</v>
      </c>
    </row>
    <row r="10" spans="1:26" s="515" customFormat="1" ht="14.25" customHeight="1" x14ac:dyDescent="0.2">
      <c r="A10" s="587"/>
      <c r="B10" s="518"/>
      <c r="C10" s="513" t="s">
        <v>434</v>
      </c>
      <c r="D10" s="513"/>
      <c r="E10" s="292"/>
      <c r="F10" s="292"/>
      <c r="G10" s="292">
        <v>27000</v>
      </c>
      <c r="H10" s="292">
        <v>96600</v>
      </c>
      <c r="I10" s="292"/>
      <c r="J10" s="292"/>
      <c r="K10" s="292"/>
      <c r="L10" s="292"/>
      <c r="M10" s="292">
        <f t="shared" si="0"/>
        <v>123600</v>
      </c>
      <c r="N10" s="519"/>
      <c r="O10" s="519"/>
      <c r="P10" s="519"/>
      <c r="Q10" s="519"/>
      <c r="R10" s="519"/>
      <c r="S10" s="519"/>
      <c r="T10" s="519"/>
      <c r="U10" s="519"/>
      <c r="V10" s="519"/>
      <c r="W10" s="519"/>
      <c r="X10" s="519"/>
      <c r="Y10" s="519"/>
      <c r="Z10" s="292">
        <f>M10+V10+Y10</f>
        <v>123600</v>
      </c>
    </row>
    <row r="11" spans="1:26" s="515" customFormat="1" ht="18" customHeight="1" x14ac:dyDescent="0.2">
      <c r="A11" s="587"/>
      <c r="B11" s="591" t="s">
        <v>225</v>
      </c>
      <c r="C11" s="591"/>
      <c r="D11" s="520" t="s">
        <v>314</v>
      </c>
      <c r="E11" s="302">
        <f>SUM(E6:E10)</f>
        <v>282993159</v>
      </c>
      <c r="F11" s="302">
        <f t="shared" ref="F11" si="2">SUM(F6:F10)</f>
        <v>25386491</v>
      </c>
      <c r="G11" s="302">
        <f>SUM(G6:G10)</f>
        <v>2273282</v>
      </c>
      <c r="H11" s="302">
        <f>SUM(H6:H10)</f>
        <v>5620948</v>
      </c>
      <c r="I11" s="302">
        <f>SUM(I6:I10)</f>
        <v>0</v>
      </c>
      <c r="J11" s="302">
        <f t="shared" ref="J11:L11" si="3">SUM(J6:J10)</f>
        <v>0</v>
      </c>
      <c r="K11" s="302">
        <f t="shared" si="3"/>
        <v>0</v>
      </c>
      <c r="L11" s="302">
        <f t="shared" si="3"/>
        <v>0</v>
      </c>
      <c r="M11" s="302">
        <f>SUM(M6:M10)</f>
        <v>316273880</v>
      </c>
      <c r="N11" s="302">
        <f t="shared" ref="N11:Y11" si="4">SUM(N6:N9)</f>
        <v>0</v>
      </c>
      <c r="O11" s="302">
        <f t="shared" si="4"/>
        <v>0</v>
      </c>
      <c r="P11" s="302">
        <f t="shared" si="4"/>
        <v>0</v>
      </c>
      <c r="Q11" s="302"/>
      <c r="R11" s="302">
        <f t="shared" si="4"/>
        <v>0</v>
      </c>
      <c r="S11" s="302"/>
      <c r="T11" s="302"/>
      <c r="U11" s="302"/>
      <c r="V11" s="302">
        <f t="shared" si="4"/>
        <v>0</v>
      </c>
      <c r="W11" s="302">
        <f t="shared" si="4"/>
        <v>0</v>
      </c>
      <c r="X11" s="302">
        <f t="shared" si="4"/>
        <v>0</v>
      </c>
      <c r="Y11" s="302">
        <f t="shared" si="4"/>
        <v>0</v>
      </c>
      <c r="Z11" s="302">
        <f>SUM(Z6:Z10)</f>
        <v>316273880</v>
      </c>
    </row>
    <row r="12" spans="1:26" s="515" customFormat="1" x14ac:dyDescent="0.2">
      <c r="A12" s="587"/>
      <c r="B12" s="521"/>
      <c r="C12" s="522" t="s">
        <v>367</v>
      </c>
      <c r="D12" s="522" t="s">
        <v>315</v>
      </c>
      <c r="E12" s="292">
        <f>'1. Bevételek'!E11</f>
        <v>0</v>
      </c>
      <c r="F12" s="292"/>
      <c r="G12" s="292">
        <v>0</v>
      </c>
      <c r="H12" s="292">
        <v>0</v>
      </c>
      <c r="I12" s="523">
        <f>'1. Bevételek'!K11</f>
        <v>0</v>
      </c>
      <c r="J12" s="523">
        <v>0</v>
      </c>
      <c r="K12" s="523">
        <v>0</v>
      </c>
      <c r="L12" s="523"/>
      <c r="M12" s="292">
        <f>SUM(E12:K12)</f>
        <v>0</v>
      </c>
      <c r="N12" s="524">
        <v>0</v>
      </c>
      <c r="O12" s="524"/>
      <c r="P12" s="524"/>
      <c r="Q12" s="524"/>
      <c r="R12" s="524">
        <v>0</v>
      </c>
      <c r="S12" s="524"/>
      <c r="T12" s="524"/>
      <c r="U12" s="524"/>
      <c r="V12" s="524">
        <f>SUM(N12:R12)</f>
        <v>0</v>
      </c>
      <c r="W12" s="524">
        <v>0</v>
      </c>
      <c r="X12" s="524">
        <v>0</v>
      </c>
      <c r="Y12" s="524">
        <f>SUM(W12:X12)</f>
        <v>0</v>
      </c>
      <c r="Z12" s="292">
        <f>M12+V12+Y12</f>
        <v>0</v>
      </c>
    </row>
    <row r="13" spans="1:26" s="515" customFormat="1" x14ac:dyDescent="0.2">
      <c r="A13" s="587"/>
      <c r="B13" s="521"/>
      <c r="C13" s="525" t="s">
        <v>239</v>
      </c>
      <c r="D13" s="522" t="s">
        <v>315</v>
      </c>
      <c r="E13" s="292">
        <f>'1. Bevételek'!E12</f>
        <v>18648000</v>
      </c>
      <c r="F13" s="292">
        <v>1762500</v>
      </c>
      <c r="G13" s="292">
        <v>0</v>
      </c>
      <c r="H13" s="292">
        <v>2942100</v>
      </c>
      <c r="I13" s="523">
        <f>'1. Bevételek'!K12</f>
        <v>0</v>
      </c>
      <c r="J13" s="523">
        <v>0</v>
      </c>
      <c r="K13" s="523">
        <v>0</v>
      </c>
      <c r="L13" s="523"/>
      <c r="M13" s="292">
        <f>SUM(E13:K13)</f>
        <v>23352600</v>
      </c>
      <c r="N13" s="524">
        <v>0</v>
      </c>
      <c r="O13" s="524"/>
      <c r="P13" s="524"/>
      <c r="Q13" s="524"/>
      <c r="R13" s="524">
        <v>0</v>
      </c>
      <c r="S13" s="524"/>
      <c r="T13" s="524"/>
      <c r="U13" s="524"/>
      <c r="V13" s="524">
        <f t="shared" ref="V13:V15" si="5">SUM(N13:R13)</f>
        <v>0</v>
      </c>
      <c r="W13" s="524">
        <v>0</v>
      </c>
      <c r="X13" s="524">
        <v>0</v>
      </c>
      <c r="Y13" s="524">
        <f>SUM(W13:X13)</f>
        <v>0</v>
      </c>
      <c r="Z13" s="292">
        <f>M13+V13+Y13</f>
        <v>23352600</v>
      </c>
    </row>
    <row r="14" spans="1:26" s="515" customFormat="1" x14ac:dyDescent="0.2">
      <c r="A14" s="587"/>
      <c r="B14" s="521"/>
      <c r="C14" s="525" t="s">
        <v>240</v>
      </c>
      <c r="D14" s="522" t="s">
        <v>315</v>
      </c>
      <c r="E14" s="292">
        <f>'1. Bevételek'!E13</f>
        <v>4468659</v>
      </c>
      <c r="F14" s="292"/>
      <c r="G14" s="292">
        <v>121276</v>
      </c>
      <c r="H14" s="292">
        <v>-215362</v>
      </c>
      <c r="I14" s="523">
        <f>'1. Bevételek'!K13</f>
        <v>0</v>
      </c>
      <c r="J14" s="523">
        <v>0</v>
      </c>
      <c r="K14" s="523">
        <v>0</v>
      </c>
      <c r="L14" s="523"/>
      <c r="M14" s="292">
        <f>SUM(E14:K14)</f>
        <v>4374573</v>
      </c>
      <c r="N14" s="524">
        <v>0</v>
      </c>
      <c r="O14" s="524"/>
      <c r="P14" s="524"/>
      <c r="Q14" s="524"/>
      <c r="R14" s="524">
        <v>0</v>
      </c>
      <c r="S14" s="524"/>
      <c r="T14" s="524"/>
      <c r="U14" s="524"/>
      <c r="V14" s="524">
        <f t="shared" si="5"/>
        <v>0</v>
      </c>
      <c r="W14" s="524">
        <v>0</v>
      </c>
      <c r="X14" s="524">
        <v>0</v>
      </c>
      <c r="Y14" s="524">
        <f>SUM(W14:X14)</f>
        <v>0</v>
      </c>
      <c r="Z14" s="292">
        <f>M14+V14+Y14</f>
        <v>4374573</v>
      </c>
    </row>
    <row r="15" spans="1:26" s="515" customFormat="1" x14ac:dyDescent="0.2">
      <c r="A15" s="587"/>
      <c r="B15" s="521"/>
      <c r="C15" s="525" t="s">
        <v>241</v>
      </c>
      <c r="D15" s="522" t="s">
        <v>315</v>
      </c>
      <c r="E15" s="292">
        <f>'1. Bevételek'!E14</f>
        <v>29812489</v>
      </c>
      <c r="F15" s="292"/>
      <c r="G15" s="292">
        <v>0</v>
      </c>
      <c r="H15" s="292">
        <v>-19813334</v>
      </c>
      <c r="I15" s="523">
        <f>'1. Bevételek'!K14</f>
        <v>0</v>
      </c>
      <c r="J15" s="523">
        <v>0</v>
      </c>
      <c r="K15" s="523">
        <v>0</v>
      </c>
      <c r="L15" s="523"/>
      <c r="M15" s="292">
        <f>SUM(E15:K15)</f>
        <v>9999155</v>
      </c>
      <c r="N15" s="524">
        <v>0</v>
      </c>
      <c r="O15" s="524"/>
      <c r="P15" s="524"/>
      <c r="Q15" s="524"/>
      <c r="R15" s="524">
        <v>0</v>
      </c>
      <c r="S15" s="524"/>
      <c r="T15" s="524"/>
      <c r="U15" s="524"/>
      <c r="V15" s="524">
        <f t="shared" si="5"/>
        <v>0</v>
      </c>
      <c r="W15" s="524">
        <v>0</v>
      </c>
      <c r="X15" s="524">
        <v>0</v>
      </c>
      <c r="Y15" s="524">
        <f>SUM(W15:X15)</f>
        <v>0</v>
      </c>
      <c r="Z15" s="292">
        <f>M15+V15+Y15</f>
        <v>9999155</v>
      </c>
    </row>
    <row r="16" spans="1:26" s="526" customFormat="1" ht="18.75" customHeight="1" x14ac:dyDescent="0.2">
      <c r="A16" s="587"/>
      <c r="B16" s="591" t="s">
        <v>242</v>
      </c>
      <c r="C16" s="591"/>
      <c r="D16" s="520" t="s">
        <v>315</v>
      </c>
      <c r="E16" s="302">
        <f t="shared" ref="E16:Y16" si="6">SUM(E12:E15)</f>
        <v>52929148</v>
      </c>
      <c r="F16" s="302">
        <f t="shared" si="6"/>
        <v>1762500</v>
      </c>
      <c r="G16" s="302">
        <f t="shared" si="6"/>
        <v>121276</v>
      </c>
      <c r="H16" s="302">
        <f t="shared" si="6"/>
        <v>-17086596</v>
      </c>
      <c r="I16" s="302">
        <f t="shared" si="6"/>
        <v>0</v>
      </c>
      <c r="J16" s="302">
        <f t="shared" ref="J16" si="7">SUM(J12:J15)</f>
        <v>0</v>
      </c>
      <c r="K16" s="302">
        <f t="shared" si="6"/>
        <v>0</v>
      </c>
      <c r="L16" s="302"/>
      <c r="M16" s="302">
        <f t="shared" si="6"/>
        <v>37726328</v>
      </c>
      <c r="N16" s="302">
        <f t="shared" si="6"/>
        <v>0</v>
      </c>
      <c r="O16" s="302"/>
      <c r="P16" s="302"/>
      <c r="Q16" s="302"/>
      <c r="R16" s="302">
        <f t="shared" si="6"/>
        <v>0</v>
      </c>
      <c r="S16" s="302"/>
      <c r="T16" s="302"/>
      <c r="U16" s="302"/>
      <c r="V16" s="302">
        <f t="shared" si="6"/>
        <v>0</v>
      </c>
      <c r="W16" s="302">
        <f t="shared" si="6"/>
        <v>0</v>
      </c>
      <c r="X16" s="302">
        <f t="shared" si="6"/>
        <v>0</v>
      </c>
      <c r="Y16" s="302">
        <f t="shared" si="6"/>
        <v>0</v>
      </c>
      <c r="Z16" s="302">
        <f>SUM(Z12:Z15)</f>
        <v>37726328</v>
      </c>
    </row>
    <row r="17" spans="1:26" s="528" customFormat="1" ht="22.5" customHeight="1" x14ac:dyDescent="0.2">
      <c r="A17" s="587"/>
      <c r="B17" s="592" t="s">
        <v>243</v>
      </c>
      <c r="C17" s="592"/>
      <c r="D17" s="527" t="s">
        <v>316</v>
      </c>
      <c r="E17" s="300">
        <f t="shared" ref="E17:Y17" si="8">E11+E16</f>
        <v>335922307</v>
      </c>
      <c r="F17" s="300">
        <f t="shared" si="8"/>
        <v>27148991</v>
      </c>
      <c r="G17" s="300">
        <f t="shared" si="8"/>
        <v>2394558</v>
      </c>
      <c r="H17" s="300">
        <f t="shared" si="8"/>
        <v>-11465648</v>
      </c>
      <c r="I17" s="300">
        <f t="shared" si="8"/>
        <v>0</v>
      </c>
      <c r="J17" s="300">
        <f t="shared" si="8"/>
        <v>0</v>
      </c>
      <c r="K17" s="300">
        <f t="shared" si="8"/>
        <v>0</v>
      </c>
      <c r="L17" s="300">
        <f t="shared" si="8"/>
        <v>0</v>
      </c>
      <c r="M17" s="300">
        <f>M11+M16</f>
        <v>354000208</v>
      </c>
      <c r="N17" s="300">
        <f t="shared" si="8"/>
        <v>0</v>
      </c>
      <c r="O17" s="300">
        <f t="shared" si="8"/>
        <v>0</v>
      </c>
      <c r="P17" s="300">
        <f t="shared" si="8"/>
        <v>0</v>
      </c>
      <c r="Q17" s="300"/>
      <c r="R17" s="300">
        <f t="shared" si="8"/>
        <v>0</v>
      </c>
      <c r="S17" s="300"/>
      <c r="T17" s="300"/>
      <c r="U17" s="300"/>
      <c r="V17" s="300">
        <f t="shared" si="8"/>
        <v>0</v>
      </c>
      <c r="W17" s="300">
        <f t="shared" si="8"/>
        <v>0</v>
      </c>
      <c r="X17" s="300">
        <f t="shared" si="8"/>
        <v>0</v>
      </c>
      <c r="Y17" s="300">
        <f t="shared" si="8"/>
        <v>0</v>
      </c>
      <c r="Z17" s="300">
        <f>Z11+Z16</f>
        <v>354000208</v>
      </c>
    </row>
    <row r="18" spans="1:26" s="528" customFormat="1" x14ac:dyDescent="0.2">
      <c r="A18" s="529"/>
      <c r="B18" s="591" t="s">
        <v>464</v>
      </c>
      <c r="C18" s="591"/>
      <c r="D18" s="520" t="s">
        <v>437</v>
      </c>
      <c r="E18" s="302"/>
      <c r="F18" s="302"/>
      <c r="G18" s="302"/>
      <c r="H18" s="302">
        <v>10591</v>
      </c>
      <c r="I18" s="302">
        <f>'1. Bevételek'!K17</f>
        <v>0</v>
      </c>
      <c r="J18" s="302">
        <f>'1. Bevételek'!L17</f>
        <v>0</v>
      </c>
      <c r="K18" s="302">
        <f>'1. Bevételek'!M17</f>
        <v>0</v>
      </c>
      <c r="L18" s="302">
        <f>'1. Bevételek'!N17</f>
        <v>0</v>
      </c>
      <c r="M18" s="302">
        <f>SUM(E18:L18)</f>
        <v>10591</v>
      </c>
      <c r="N18" s="538"/>
      <c r="O18" s="520"/>
      <c r="P18" s="302"/>
      <c r="Q18" s="302"/>
      <c r="R18" s="302"/>
      <c r="S18" s="302"/>
      <c r="T18" s="302"/>
      <c r="U18" s="302"/>
      <c r="V18" s="302"/>
      <c r="W18" s="302"/>
      <c r="X18" s="542"/>
      <c r="Y18" s="302"/>
      <c r="Z18" s="302">
        <f>M18+V18+Y18</f>
        <v>10591</v>
      </c>
    </row>
    <row r="19" spans="1:26" s="526" customFormat="1" x14ac:dyDescent="0.2">
      <c r="A19" s="587" t="s">
        <v>37</v>
      </c>
      <c r="B19" s="591" t="s">
        <v>226</v>
      </c>
      <c r="C19" s="591"/>
      <c r="D19" s="520" t="s">
        <v>317</v>
      </c>
      <c r="E19" s="302">
        <f>'1. Bevételek'!E18</f>
        <v>6400000</v>
      </c>
      <c r="F19" s="302">
        <v>0</v>
      </c>
      <c r="G19" s="302"/>
      <c r="H19" s="302">
        <v>814631</v>
      </c>
      <c r="I19" s="302">
        <f>'1. Bevételek'!K18</f>
        <v>0</v>
      </c>
      <c r="J19" s="302">
        <f>'1. Bevételek'!L18</f>
        <v>0</v>
      </c>
      <c r="K19" s="302">
        <f>'1. Bevételek'!M18</f>
        <v>0</v>
      </c>
      <c r="L19" s="302">
        <f>'1. Bevételek'!N18</f>
        <v>0</v>
      </c>
      <c r="M19" s="302">
        <f>SUM(E19:L19)</f>
        <v>7214631</v>
      </c>
      <c r="N19" s="530">
        <v>0</v>
      </c>
      <c r="O19" s="530"/>
      <c r="P19" s="530"/>
      <c r="Q19" s="530"/>
      <c r="R19" s="530">
        <v>0</v>
      </c>
      <c r="S19" s="530"/>
      <c r="T19" s="530"/>
      <c r="U19" s="530"/>
      <c r="V19" s="530">
        <f>SUM(N19:R19)</f>
        <v>0</v>
      </c>
      <c r="W19" s="530">
        <v>0</v>
      </c>
      <c r="X19" s="530">
        <v>0</v>
      </c>
      <c r="Y19" s="530">
        <f>SUM(W19:X19)</f>
        <v>0</v>
      </c>
      <c r="Z19" s="302">
        <f>M19+V19+Y19</f>
        <v>7214631</v>
      </c>
    </row>
    <row r="20" spans="1:26" s="515" customFormat="1" x14ac:dyDescent="0.2">
      <c r="A20" s="587"/>
      <c r="B20" s="518" t="s">
        <v>36</v>
      </c>
      <c r="C20" s="513" t="s">
        <v>218</v>
      </c>
      <c r="D20" s="513" t="s">
        <v>318</v>
      </c>
      <c r="E20" s="292">
        <f>'1. Bevételek'!E19</f>
        <v>161354000</v>
      </c>
      <c r="F20" s="292"/>
      <c r="G20" s="292"/>
      <c r="H20" s="292">
        <v>9568596</v>
      </c>
      <c r="I20" s="292">
        <f>'1. Bevételek'!K19</f>
        <v>0</v>
      </c>
      <c r="J20" s="292"/>
      <c r="K20" s="292"/>
      <c r="L20" s="292"/>
      <c r="M20" s="292">
        <f>SUM(E20:L20)</f>
        <v>170922596</v>
      </c>
      <c r="N20" s="519">
        <v>0</v>
      </c>
      <c r="O20" s="519"/>
      <c r="P20" s="519"/>
      <c r="Q20" s="519"/>
      <c r="R20" s="519">
        <v>0</v>
      </c>
      <c r="S20" s="519"/>
      <c r="T20" s="519"/>
      <c r="U20" s="519"/>
      <c r="V20" s="519">
        <f>SUM(N20:R20)</f>
        <v>0</v>
      </c>
      <c r="W20" s="519">
        <v>0</v>
      </c>
      <c r="X20" s="519">
        <v>0</v>
      </c>
      <c r="Y20" s="519">
        <f>SUM(W20:X20)</f>
        <v>0</v>
      </c>
      <c r="Z20" s="292">
        <f>M20+V20+Y20</f>
        <v>170922596</v>
      </c>
    </row>
    <row r="21" spans="1:26" s="515" customFormat="1" x14ac:dyDescent="0.2">
      <c r="A21" s="587"/>
      <c r="B21" s="518" t="s">
        <v>37</v>
      </c>
      <c r="C21" s="513" t="s">
        <v>227</v>
      </c>
      <c r="D21" s="513" t="s">
        <v>319</v>
      </c>
      <c r="E21" s="292">
        <f>'1. Bevételek'!E20</f>
        <v>12900000</v>
      </c>
      <c r="F21" s="292">
        <v>-12900000</v>
      </c>
      <c r="G21" s="292"/>
      <c r="H21" s="292">
        <v>0</v>
      </c>
      <c r="I21" s="292">
        <f>'1. Bevételek'!K20</f>
        <v>0</v>
      </c>
      <c r="J21" s="292"/>
      <c r="K21" s="292"/>
      <c r="L21" s="292"/>
      <c r="M21" s="292">
        <f t="shared" ref="M21:M22" si="9">SUM(E21:L21)</f>
        <v>0</v>
      </c>
      <c r="N21" s="519">
        <v>0</v>
      </c>
      <c r="O21" s="519"/>
      <c r="P21" s="519"/>
      <c r="Q21" s="519"/>
      <c r="R21" s="519">
        <v>0</v>
      </c>
      <c r="S21" s="519"/>
      <c r="T21" s="519"/>
      <c r="U21" s="519"/>
      <c r="V21" s="519">
        <f>SUM(N21:R21)</f>
        <v>0</v>
      </c>
      <c r="W21" s="519">
        <v>0</v>
      </c>
      <c r="X21" s="519">
        <v>0</v>
      </c>
      <c r="Y21" s="519">
        <f>SUM(W21:X21)</f>
        <v>0</v>
      </c>
      <c r="Z21" s="292">
        <f>M21+V21+Y21</f>
        <v>0</v>
      </c>
    </row>
    <row r="22" spans="1:26" s="515" customFormat="1" x14ac:dyDescent="0.2">
      <c r="A22" s="587"/>
      <c r="B22" s="518" t="s">
        <v>38</v>
      </c>
      <c r="C22" s="513" t="s">
        <v>219</v>
      </c>
      <c r="D22" s="513" t="s">
        <v>320</v>
      </c>
      <c r="E22" s="292">
        <f>'1. Bevételek'!E21</f>
        <v>400000</v>
      </c>
      <c r="F22" s="292"/>
      <c r="G22" s="292"/>
      <c r="H22" s="292">
        <v>-395000</v>
      </c>
      <c r="I22" s="292">
        <f>'1. Bevételek'!K21</f>
        <v>0</v>
      </c>
      <c r="J22" s="292"/>
      <c r="K22" s="292"/>
      <c r="L22" s="292"/>
      <c r="M22" s="292">
        <f t="shared" si="9"/>
        <v>5000</v>
      </c>
      <c r="N22" s="519">
        <v>0</v>
      </c>
      <c r="O22" s="519"/>
      <c r="P22" s="519"/>
      <c r="Q22" s="519"/>
      <c r="R22" s="519">
        <v>0</v>
      </c>
      <c r="S22" s="519"/>
      <c r="T22" s="519"/>
      <c r="U22" s="519"/>
      <c r="V22" s="519">
        <f>SUM(N22:R22)</f>
        <v>0</v>
      </c>
      <c r="W22" s="519">
        <v>0</v>
      </c>
      <c r="X22" s="519">
        <v>0</v>
      </c>
      <c r="Y22" s="519">
        <f>SUM(W22:X22)</f>
        <v>0</v>
      </c>
      <c r="Z22" s="292">
        <f>M22+V22+Y22</f>
        <v>5000</v>
      </c>
    </row>
    <row r="23" spans="1:26" s="515" customFormat="1" ht="17.25" customHeight="1" x14ac:dyDescent="0.2">
      <c r="A23" s="587"/>
      <c r="B23" s="591" t="s">
        <v>273</v>
      </c>
      <c r="C23" s="591"/>
      <c r="D23" s="520" t="s">
        <v>321</v>
      </c>
      <c r="E23" s="302">
        <f t="shared" ref="E23:Y23" si="10">SUM(E20:E22)</f>
        <v>174654000</v>
      </c>
      <c r="F23" s="302">
        <f t="shared" si="10"/>
        <v>-12900000</v>
      </c>
      <c r="G23" s="302"/>
      <c r="H23" s="302">
        <v>9173596</v>
      </c>
      <c r="I23" s="302">
        <f t="shared" si="10"/>
        <v>0</v>
      </c>
      <c r="J23" s="302">
        <f t="shared" si="10"/>
        <v>0</v>
      </c>
      <c r="K23" s="302">
        <f t="shared" si="10"/>
        <v>0</v>
      </c>
      <c r="L23" s="302">
        <f t="shared" si="10"/>
        <v>0</v>
      </c>
      <c r="M23" s="302">
        <f t="shared" si="10"/>
        <v>170927596</v>
      </c>
      <c r="N23" s="302">
        <f t="shared" si="10"/>
        <v>0</v>
      </c>
      <c r="O23" s="302"/>
      <c r="P23" s="302"/>
      <c r="Q23" s="302"/>
      <c r="R23" s="302">
        <f t="shared" si="10"/>
        <v>0</v>
      </c>
      <c r="S23" s="302"/>
      <c r="T23" s="302"/>
      <c r="U23" s="302"/>
      <c r="V23" s="302">
        <f t="shared" si="10"/>
        <v>0</v>
      </c>
      <c r="W23" s="302">
        <f t="shared" si="10"/>
        <v>0</v>
      </c>
      <c r="X23" s="302">
        <f t="shared" si="10"/>
        <v>0</v>
      </c>
      <c r="Y23" s="302">
        <f t="shared" si="10"/>
        <v>0</v>
      </c>
      <c r="Z23" s="302">
        <f>SUM(Z20:Z22)</f>
        <v>170927596</v>
      </c>
    </row>
    <row r="24" spans="1:26" s="526" customFormat="1" ht="18.75" customHeight="1" x14ac:dyDescent="0.2">
      <c r="A24" s="587"/>
      <c r="B24" s="591" t="s">
        <v>220</v>
      </c>
      <c r="C24" s="591"/>
      <c r="D24" s="520" t="s">
        <v>322</v>
      </c>
      <c r="E24" s="302">
        <f>'1. Bevételek'!E23</f>
        <v>50000</v>
      </c>
      <c r="F24" s="302">
        <v>25995</v>
      </c>
      <c r="G24" s="302">
        <v>179701</v>
      </c>
      <c r="H24" s="302">
        <v>1421130</v>
      </c>
      <c r="I24" s="302">
        <f>'1. Bevételek'!K23</f>
        <v>0</v>
      </c>
      <c r="J24" s="302">
        <f>'1. Bevételek'!L23</f>
        <v>0</v>
      </c>
      <c r="K24" s="302">
        <f>'1. Bevételek'!M23</f>
        <v>0</v>
      </c>
      <c r="L24" s="302">
        <f>'1. Bevételek'!N23</f>
        <v>0</v>
      </c>
      <c r="M24" s="302">
        <f>SUM(E24:I24)</f>
        <v>1676826</v>
      </c>
      <c r="N24" s="530">
        <v>0</v>
      </c>
      <c r="O24" s="530"/>
      <c r="P24" s="530"/>
      <c r="Q24" s="530"/>
      <c r="R24" s="530">
        <v>0</v>
      </c>
      <c r="S24" s="530"/>
      <c r="T24" s="530"/>
      <c r="U24" s="530"/>
      <c r="V24" s="530">
        <f>SUM(N24:R24)</f>
        <v>0</v>
      </c>
      <c r="W24" s="530">
        <v>0</v>
      </c>
      <c r="X24" s="530">
        <v>0</v>
      </c>
      <c r="Y24" s="530">
        <f>SUM(W24:X24)</f>
        <v>0</v>
      </c>
      <c r="Z24" s="302">
        <f>M24+V24+Y24</f>
        <v>1676826</v>
      </c>
    </row>
    <row r="25" spans="1:26" s="528" customFormat="1" ht="18" customHeight="1" x14ac:dyDescent="0.2">
      <c r="A25" s="587"/>
      <c r="B25" s="592" t="s">
        <v>228</v>
      </c>
      <c r="C25" s="592"/>
      <c r="D25" s="527" t="s">
        <v>323</v>
      </c>
      <c r="E25" s="300">
        <f>E19+E23+E24+E18</f>
        <v>181104000</v>
      </c>
      <c r="F25" s="300">
        <f t="shared" ref="F25:G25" si="11">F19+F23+F24+F18</f>
        <v>-12874005</v>
      </c>
      <c r="G25" s="300">
        <f t="shared" si="11"/>
        <v>179701</v>
      </c>
      <c r="H25" s="300">
        <f>H19+H23+H24+H18</f>
        <v>11419948</v>
      </c>
      <c r="I25" s="300">
        <f t="shared" ref="I25:Y25" si="12">I19+I23+I24</f>
        <v>0</v>
      </c>
      <c r="J25" s="300">
        <f t="shared" si="12"/>
        <v>0</v>
      </c>
      <c r="K25" s="300">
        <f t="shared" si="12"/>
        <v>0</v>
      </c>
      <c r="L25" s="300">
        <f t="shared" si="12"/>
        <v>0</v>
      </c>
      <c r="M25" s="300">
        <f>M19+M23+M24+M18</f>
        <v>179829644</v>
      </c>
      <c r="N25" s="300">
        <f t="shared" si="12"/>
        <v>0</v>
      </c>
      <c r="O25" s="300">
        <f t="shared" si="12"/>
        <v>0</v>
      </c>
      <c r="P25" s="300">
        <f t="shared" si="12"/>
        <v>0</v>
      </c>
      <c r="Q25" s="300"/>
      <c r="R25" s="300">
        <f t="shared" si="12"/>
        <v>0</v>
      </c>
      <c r="S25" s="300"/>
      <c r="T25" s="300"/>
      <c r="U25" s="300"/>
      <c r="V25" s="300">
        <f t="shared" si="12"/>
        <v>0</v>
      </c>
      <c r="W25" s="300">
        <f t="shared" si="12"/>
        <v>0</v>
      </c>
      <c r="X25" s="300">
        <f t="shared" si="12"/>
        <v>0</v>
      </c>
      <c r="Y25" s="300">
        <f t="shared" si="12"/>
        <v>0</v>
      </c>
      <c r="Z25" s="300">
        <f>Z19+Z23+Z24+Z18</f>
        <v>179829644</v>
      </c>
    </row>
    <row r="26" spans="1:26" s="515" customFormat="1" x14ac:dyDescent="0.2">
      <c r="A26" s="587" t="s">
        <v>38</v>
      </c>
      <c r="B26" s="531"/>
      <c r="C26" s="513" t="s">
        <v>230</v>
      </c>
      <c r="D26" s="513" t="s">
        <v>324</v>
      </c>
      <c r="E26" s="292">
        <f>'1. Bevételek'!E25-3000000-15462</f>
        <v>174000</v>
      </c>
      <c r="F26" s="292">
        <v>319144</v>
      </c>
      <c r="G26" s="292">
        <v>0</v>
      </c>
      <c r="H26" s="292">
        <v>0</v>
      </c>
      <c r="I26" s="292">
        <f>'1. Bevételek'!K25</f>
        <v>0</v>
      </c>
      <c r="J26" s="292">
        <v>0</v>
      </c>
      <c r="K26" s="292">
        <v>0</v>
      </c>
      <c r="L26" s="292">
        <v>0</v>
      </c>
      <c r="M26" s="292">
        <f t="shared" ref="M26:M33" si="13">SUM(E26:L26)</f>
        <v>493144</v>
      </c>
      <c r="N26" s="292">
        <f>3000000+15462</f>
        <v>3015462</v>
      </c>
      <c r="O26" s="292">
        <v>0</v>
      </c>
      <c r="P26" s="292">
        <v>627120</v>
      </c>
      <c r="Q26" s="292">
        <v>728740</v>
      </c>
      <c r="R26" s="292">
        <v>0</v>
      </c>
      <c r="S26" s="292"/>
      <c r="T26" s="292"/>
      <c r="U26" s="292"/>
      <c r="V26" s="292">
        <f>SUM(N26:T26)</f>
        <v>4371322</v>
      </c>
      <c r="W26" s="292">
        <v>0</v>
      </c>
      <c r="X26" s="292">
        <v>0</v>
      </c>
      <c r="Y26" s="519">
        <f>SUM(W26:X26)</f>
        <v>0</v>
      </c>
      <c r="Z26" s="292">
        <f>M26+V26+Y26</f>
        <v>4864466</v>
      </c>
    </row>
    <row r="27" spans="1:26" s="515" customFormat="1" x14ac:dyDescent="0.2">
      <c r="A27" s="587"/>
      <c r="B27" s="531"/>
      <c r="C27" s="513" t="s">
        <v>231</v>
      </c>
      <c r="D27" s="513" t="s">
        <v>325</v>
      </c>
      <c r="E27" s="292">
        <f>'1. Bevételek'!E26-114076</f>
        <v>0</v>
      </c>
      <c r="F27" s="292">
        <v>0</v>
      </c>
      <c r="G27" s="292">
        <v>0</v>
      </c>
      <c r="H27" s="292">
        <v>0</v>
      </c>
      <c r="I27" s="292">
        <f>'1. Bevételek'!K26-2000000</f>
        <v>0</v>
      </c>
      <c r="J27" s="292">
        <v>0</v>
      </c>
      <c r="K27" s="292">
        <v>0</v>
      </c>
      <c r="L27" s="292">
        <v>0</v>
      </c>
      <c r="M27" s="292">
        <f t="shared" si="13"/>
        <v>0</v>
      </c>
      <c r="N27" s="292">
        <v>114076</v>
      </c>
      <c r="O27" s="292">
        <v>942499</v>
      </c>
      <c r="P27" s="292">
        <v>27020</v>
      </c>
      <c r="Q27" s="292">
        <v>556623</v>
      </c>
      <c r="R27" s="292">
        <v>2000000</v>
      </c>
      <c r="S27" s="292">
        <v>407000</v>
      </c>
      <c r="T27" s="292">
        <v>0</v>
      </c>
      <c r="U27" s="292">
        <v>1890555</v>
      </c>
      <c r="V27" s="292">
        <f>SUM(N27:U27)</f>
        <v>5937773</v>
      </c>
      <c r="W27" s="519">
        <v>0</v>
      </c>
      <c r="X27" s="519">
        <v>0</v>
      </c>
      <c r="Y27" s="519">
        <f>SUM(W27:X27)</f>
        <v>0</v>
      </c>
      <c r="Z27" s="292">
        <f>M27+V27+Y27</f>
        <v>5937773</v>
      </c>
    </row>
    <row r="28" spans="1:26" s="515" customFormat="1" x14ac:dyDescent="0.2">
      <c r="A28" s="587"/>
      <c r="B28" s="531"/>
      <c r="C28" s="513" t="s">
        <v>232</v>
      </c>
      <c r="D28" s="513" t="s">
        <v>326</v>
      </c>
      <c r="E28" s="292">
        <f>'1. Bevételek'!E27-241672</f>
        <v>0</v>
      </c>
      <c r="F28" s="292">
        <v>0</v>
      </c>
      <c r="G28" s="292">
        <v>0</v>
      </c>
      <c r="H28" s="292">
        <v>0</v>
      </c>
      <c r="I28" s="292">
        <f>'1. Bevételek'!K27</f>
        <v>0</v>
      </c>
      <c r="J28" s="292">
        <v>0</v>
      </c>
      <c r="K28" s="292">
        <v>0</v>
      </c>
      <c r="L28" s="292">
        <v>0</v>
      </c>
      <c r="M28" s="292">
        <f t="shared" si="13"/>
        <v>0</v>
      </c>
      <c r="N28" s="292">
        <v>241672</v>
      </c>
      <c r="O28" s="519">
        <v>0</v>
      </c>
      <c r="P28" s="519">
        <v>0</v>
      </c>
      <c r="Q28" s="519">
        <v>0</v>
      </c>
      <c r="R28" s="519">
        <v>0</v>
      </c>
      <c r="S28" s="519"/>
      <c r="T28" s="519"/>
      <c r="U28" s="519"/>
      <c r="V28" s="292">
        <f t="shared" ref="V28:V33" si="14">SUM(N28:T28)</f>
        <v>241672</v>
      </c>
      <c r="W28" s="519">
        <v>0</v>
      </c>
      <c r="X28" s="519">
        <v>0</v>
      </c>
      <c r="Y28" s="519">
        <f>SUM(W28:X28)</f>
        <v>0</v>
      </c>
      <c r="Z28" s="292">
        <f>M28+V28+Y28</f>
        <v>241672</v>
      </c>
    </row>
    <row r="29" spans="1:26" x14ac:dyDescent="0.2">
      <c r="A29" s="587"/>
      <c r="B29" s="531"/>
      <c r="C29" s="513" t="s">
        <v>233</v>
      </c>
      <c r="D29" s="513" t="s">
        <v>327</v>
      </c>
      <c r="E29" s="292">
        <f>'1. Bevételek'!E28</f>
        <v>8478149</v>
      </c>
      <c r="F29" s="292">
        <v>0</v>
      </c>
      <c r="G29" s="292">
        <v>0</v>
      </c>
      <c r="H29" s="292">
        <v>-2744785</v>
      </c>
      <c r="I29" s="292">
        <f>'1. Bevételek'!K28</f>
        <v>0</v>
      </c>
      <c r="J29" s="292">
        <v>0</v>
      </c>
      <c r="K29" s="292">
        <v>0</v>
      </c>
      <c r="L29" s="292">
        <v>0</v>
      </c>
      <c r="M29" s="292">
        <f t="shared" si="13"/>
        <v>5733364</v>
      </c>
      <c r="N29" s="519">
        <v>0</v>
      </c>
      <c r="O29" s="519"/>
      <c r="P29" s="519"/>
      <c r="Q29" s="519"/>
      <c r="R29" s="519">
        <v>0</v>
      </c>
      <c r="S29" s="519"/>
      <c r="T29" s="519"/>
      <c r="U29" s="519"/>
      <c r="V29" s="292">
        <f t="shared" si="14"/>
        <v>0</v>
      </c>
      <c r="W29" s="519">
        <v>0</v>
      </c>
      <c r="X29" s="519">
        <v>0</v>
      </c>
      <c r="Y29" s="519">
        <f>SUM(W29:X29)</f>
        <v>0</v>
      </c>
      <c r="Z29" s="292">
        <f>M29+V29+Y29</f>
        <v>5733364</v>
      </c>
    </row>
    <row r="30" spans="1:26" x14ac:dyDescent="0.2">
      <c r="A30" s="587"/>
      <c r="B30" s="531"/>
      <c r="C30" s="513" t="s">
        <v>234</v>
      </c>
      <c r="D30" s="513" t="s">
        <v>328</v>
      </c>
      <c r="E30" s="292">
        <f>'1. Bevételek'!E29-4175</f>
        <v>2307059</v>
      </c>
      <c r="F30" s="292">
        <v>0</v>
      </c>
      <c r="G30" s="292">
        <v>0</v>
      </c>
      <c r="H30" s="292">
        <v>-417974</v>
      </c>
      <c r="I30" s="292">
        <f>'1. Bevételek'!K29</f>
        <v>0</v>
      </c>
      <c r="J30" s="292">
        <v>0</v>
      </c>
      <c r="K30" s="292">
        <v>0</v>
      </c>
      <c r="L30" s="292">
        <v>0</v>
      </c>
      <c r="M30" s="292">
        <f t="shared" si="13"/>
        <v>1889085</v>
      </c>
      <c r="N30" s="537">
        <v>4175</v>
      </c>
      <c r="O30" s="519"/>
      <c r="P30" s="519"/>
      <c r="Q30" s="519"/>
      <c r="R30" s="519">
        <v>0</v>
      </c>
      <c r="S30" s="519"/>
      <c r="T30" s="519"/>
      <c r="U30" s="519"/>
      <c r="V30" s="292">
        <f t="shared" si="14"/>
        <v>4175</v>
      </c>
      <c r="W30" s="519">
        <v>0</v>
      </c>
      <c r="X30" s="519">
        <v>0</v>
      </c>
      <c r="Y30" s="519">
        <f>SUM(W30:X30)</f>
        <v>0</v>
      </c>
      <c r="Z30" s="292">
        <f>M30+V30+Y30</f>
        <v>1893260</v>
      </c>
    </row>
    <row r="31" spans="1:26" x14ac:dyDescent="0.2">
      <c r="A31" s="587"/>
      <c r="B31" s="531"/>
      <c r="C31" s="513" t="s">
        <v>235</v>
      </c>
      <c r="D31" s="513" t="s">
        <v>329</v>
      </c>
      <c r="E31" s="292">
        <f>'1. Bevételek'!E30</f>
        <v>3435000</v>
      </c>
      <c r="F31" s="292">
        <v>0</v>
      </c>
      <c r="G31" s="292">
        <v>0</v>
      </c>
      <c r="H31" s="292">
        <v>-1806757</v>
      </c>
      <c r="I31" s="292">
        <f>'1. Bevételek'!K30</f>
        <v>0</v>
      </c>
      <c r="J31" s="292">
        <v>0</v>
      </c>
      <c r="K31" s="292">
        <v>0</v>
      </c>
      <c r="L31" s="292">
        <v>0</v>
      </c>
      <c r="M31" s="292">
        <f t="shared" si="13"/>
        <v>1628243</v>
      </c>
      <c r="N31" s="519">
        <v>0</v>
      </c>
      <c r="O31" s="519"/>
      <c r="P31" s="519"/>
      <c r="Q31" s="519"/>
      <c r="R31" s="519">
        <v>0</v>
      </c>
      <c r="S31" s="519"/>
      <c r="T31" s="519"/>
      <c r="U31" s="519"/>
      <c r="V31" s="292">
        <f t="shared" si="14"/>
        <v>0</v>
      </c>
      <c r="W31" s="519">
        <v>0</v>
      </c>
      <c r="X31" s="519">
        <v>0</v>
      </c>
      <c r="Y31" s="519">
        <f>SUM(W31:X31)</f>
        <v>0</v>
      </c>
      <c r="Z31" s="292">
        <f>M31+V31+Y31</f>
        <v>1628243</v>
      </c>
    </row>
    <row r="32" spans="1:26" x14ac:dyDescent="0.2">
      <c r="A32" s="587"/>
      <c r="B32" s="531"/>
      <c r="C32" s="513" t="s">
        <v>215</v>
      </c>
      <c r="D32" s="513" t="s">
        <v>330</v>
      </c>
      <c r="E32" s="292">
        <f>'1. Bevételek'!E31</f>
        <v>95000</v>
      </c>
      <c r="F32" s="292">
        <v>1533899</v>
      </c>
      <c r="G32" s="292">
        <v>1587288</v>
      </c>
      <c r="H32" s="292">
        <v>78153</v>
      </c>
      <c r="I32" s="292">
        <f>'1. Bevételek'!K31</f>
        <v>2000</v>
      </c>
      <c r="J32" s="292">
        <v>0</v>
      </c>
      <c r="K32" s="292">
        <v>0</v>
      </c>
      <c r="L32" s="292">
        <v>320</v>
      </c>
      <c r="M32" s="292">
        <f t="shared" si="13"/>
        <v>3296660</v>
      </c>
      <c r="N32" s="519">
        <v>0</v>
      </c>
      <c r="O32" s="519"/>
      <c r="P32" s="519"/>
      <c r="Q32" s="519"/>
      <c r="R32" s="519">
        <v>0</v>
      </c>
      <c r="S32" s="519"/>
      <c r="T32" s="519"/>
      <c r="U32" s="519"/>
      <c r="V32" s="292">
        <f t="shared" si="14"/>
        <v>0</v>
      </c>
      <c r="W32" s="519">
        <v>0</v>
      </c>
      <c r="X32" s="519">
        <v>0</v>
      </c>
      <c r="Y32" s="519">
        <f>SUM(W32:X32)</f>
        <v>0</v>
      </c>
      <c r="Z32" s="292">
        <f>M32+V32+Y32</f>
        <v>3296660</v>
      </c>
    </row>
    <row r="33" spans="1:26" x14ac:dyDescent="0.2">
      <c r="A33" s="587"/>
      <c r="B33" s="531"/>
      <c r="C33" s="513" t="s">
        <v>236</v>
      </c>
      <c r="D33" s="513" t="s">
        <v>331</v>
      </c>
      <c r="E33" s="292">
        <f>'1. Bevételek'!E32</f>
        <v>1010</v>
      </c>
      <c r="F33" s="292">
        <v>64318</v>
      </c>
      <c r="G33" s="292">
        <v>3583</v>
      </c>
      <c r="H33" s="292">
        <v>313808</v>
      </c>
      <c r="I33" s="292">
        <f>'1. Bevételek'!K32</f>
        <v>0</v>
      </c>
      <c r="J33" s="292">
        <v>0</v>
      </c>
      <c r="K33" s="292">
        <v>0</v>
      </c>
      <c r="L33" s="292">
        <v>16</v>
      </c>
      <c r="M33" s="292">
        <f t="shared" si="13"/>
        <v>382735</v>
      </c>
      <c r="N33" s="519">
        <v>0</v>
      </c>
      <c r="O33" s="519"/>
      <c r="P33" s="519"/>
      <c r="Q33" s="519"/>
      <c r="R33" s="519">
        <v>0</v>
      </c>
      <c r="S33" s="519"/>
      <c r="T33" s="519"/>
      <c r="U33" s="519"/>
      <c r="V33" s="292">
        <f t="shared" si="14"/>
        <v>0</v>
      </c>
      <c r="W33" s="519">
        <v>0</v>
      </c>
      <c r="X33" s="519">
        <v>0</v>
      </c>
      <c r="Y33" s="519">
        <f>SUM(W33:X33)</f>
        <v>0</v>
      </c>
      <c r="Z33" s="292">
        <f>M33+V33+Y33</f>
        <v>382735</v>
      </c>
    </row>
    <row r="34" spans="1:26" x14ac:dyDescent="0.2">
      <c r="A34" s="587"/>
      <c r="B34" s="588" t="s">
        <v>229</v>
      </c>
      <c r="C34" s="588"/>
      <c r="D34" s="533" t="s">
        <v>332</v>
      </c>
      <c r="E34" s="304">
        <f t="shared" ref="E34:Y34" si="15">SUM(E26:E33)</f>
        <v>14490218</v>
      </c>
      <c r="F34" s="304">
        <f t="shared" si="15"/>
        <v>1917361</v>
      </c>
      <c r="G34" s="304">
        <f t="shared" si="15"/>
        <v>1590871</v>
      </c>
      <c r="H34" s="304">
        <f t="shared" si="15"/>
        <v>-4577555</v>
      </c>
      <c r="I34" s="304">
        <f t="shared" si="15"/>
        <v>2000</v>
      </c>
      <c r="J34" s="304">
        <f t="shared" si="15"/>
        <v>0</v>
      </c>
      <c r="K34" s="304">
        <f t="shared" si="15"/>
        <v>0</v>
      </c>
      <c r="L34" s="304">
        <f t="shared" si="15"/>
        <v>336</v>
      </c>
      <c r="M34" s="304">
        <f t="shared" si="15"/>
        <v>13423231</v>
      </c>
      <c r="N34" s="304">
        <f t="shared" si="15"/>
        <v>3375385</v>
      </c>
      <c r="O34" s="304">
        <f t="shared" si="15"/>
        <v>942499</v>
      </c>
      <c r="P34" s="304">
        <f t="shared" si="15"/>
        <v>654140</v>
      </c>
      <c r="Q34" s="304">
        <f t="shared" si="15"/>
        <v>1285363</v>
      </c>
      <c r="R34" s="304">
        <f t="shared" si="15"/>
        <v>2000000</v>
      </c>
      <c r="S34" s="304">
        <f t="shared" ref="S34:U34" si="16">SUM(S26:S33)</f>
        <v>407000</v>
      </c>
      <c r="T34" s="304">
        <f t="shared" si="16"/>
        <v>0</v>
      </c>
      <c r="U34" s="304">
        <f t="shared" si="16"/>
        <v>1890555</v>
      </c>
      <c r="V34" s="304">
        <f t="shared" si="15"/>
        <v>10554942</v>
      </c>
      <c r="W34" s="304">
        <f t="shared" si="15"/>
        <v>0</v>
      </c>
      <c r="X34" s="304">
        <f t="shared" si="15"/>
        <v>0</v>
      </c>
      <c r="Y34" s="304">
        <f t="shared" si="15"/>
        <v>0</v>
      </c>
      <c r="Z34" s="304">
        <f>SUM(Z26:Z33)</f>
        <v>23978173</v>
      </c>
    </row>
    <row r="35" spans="1:26" ht="20.25" customHeight="1" x14ac:dyDescent="0.2">
      <c r="A35" s="587" t="s">
        <v>39</v>
      </c>
      <c r="B35" s="531"/>
      <c r="C35" s="513" t="s">
        <v>237</v>
      </c>
      <c r="D35" s="513" t="s">
        <v>416</v>
      </c>
      <c r="E35" s="292">
        <f>'1. Bevételek'!E34</f>
        <v>2372880</v>
      </c>
      <c r="F35" s="292">
        <v>0</v>
      </c>
      <c r="G35" s="292">
        <v>0</v>
      </c>
      <c r="H35" s="292">
        <v>0</v>
      </c>
      <c r="I35" s="292">
        <f>'1. Bevételek'!K34</f>
        <v>0</v>
      </c>
      <c r="J35" s="292">
        <v>0</v>
      </c>
      <c r="K35" s="292">
        <v>0</v>
      </c>
      <c r="L35" s="292">
        <v>0</v>
      </c>
      <c r="M35" s="292">
        <f>SUM(E35:L35)</f>
        <v>2372880</v>
      </c>
      <c r="N35" s="519">
        <v>0</v>
      </c>
      <c r="O35" s="519"/>
      <c r="P35" s="519"/>
      <c r="Q35" s="292">
        <v>2372580</v>
      </c>
      <c r="R35" s="519">
        <v>0</v>
      </c>
      <c r="S35" s="519"/>
      <c r="T35" s="519"/>
      <c r="U35" s="519"/>
      <c r="V35" s="292">
        <f>SUM(N35:R35)</f>
        <v>2372580</v>
      </c>
      <c r="W35" s="519">
        <v>0</v>
      </c>
      <c r="X35" s="519">
        <v>0</v>
      </c>
      <c r="Y35" s="519">
        <f>SUM(W35:X35)</f>
        <v>0</v>
      </c>
      <c r="Z35" s="292">
        <f>M35+V35+Y35</f>
        <v>4745460</v>
      </c>
    </row>
    <row r="36" spans="1:26" ht="16.5" customHeight="1" x14ac:dyDescent="0.2">
      <c r="A36" s="587"/>
      <c r="B36" s="588" t="s">
        <v>216</v>
      </c>
      <c r="C36" s="588"/>
      <c r="D36" s="533" t="s">
        <v>416</v>
      </c>
      <c r="E36" s="304">
        <f t="shared" ref="E36:Y36" si="17">SUM(E35)</f>
        <v>2372880</v>
      </c>
      <c r="F36" s="304">
        <f t="shared" si="17"/>
        <v>0</v>
      </c>
      <c r="G36" s="304">
        <f t="shared" si="17"/>
        <v>0</v>
      </c>
      <c r="H36" s="304">
        <f t="shared" si="17"/>
        <v>0</v>
      </c>
      <c r="I36" s="304">
        <f t="shared" si="17"/>
        <v>0</v>
      </c>
      <c r="J36" s="304">
        <f t="shared" si="17"/>
        <v>0</v>
      </c>
      <c r="K36" s="304">
        <f t="shared" si="17"/>
        <v>0</v>
      </c>
      <c r="L36" s="304">
        <f t="shared" si="17"/>
        <v>0</v>
      </c>
      <c r="M36" s="304">
        <f t="shared" si="17"/>
        <v>2372880</v>
      </c>
      <c r="N36" s="304">
        <f t="shared" si="17"/>
        <v>0</v>
      </c>
      <c r="O36" s="304">
        <f t="shared" si="17"/>
        <v>0</v>
      </c>
      <c r="P36" s="304">
        <f>SUM(P35)</f>
        <v>0</v>
      </c>
      <c r="Q36" s="304">
        <f>SUM(Q35)</f>
        <v>2372580</v>
      </c>
      <c r="R36" s="304">
        <f t="shared" si="17"/>
        <v>0</v>
      </c>
      <c r="S36" s="304">
        <f t="shared" ref="S36:U36" si="18">SUM(S35)</f>
        <v>0</v>
      </c>
      <c r="T36" s="304">
        <f t="shared" si="18"/>
        <v>0</v>
      </c>
      <c r="U36" s="304">
        <f t="shared" si="18"/>
        <v>0</v>
      </c>
      <c r="V36" s="304">
        <f t="shared" si="17"/>
        <v>2372580</v>
      </c>
      <c r="W36" s="304">
        <f t="shared" si="17"/>
        <v>0</v>
      </c>
      <c r="X36" s="304">
        <f t="shared" si="17"/>
        <v>0</v>
      </c>
      <c r="Y36" s="304">
        <f t="shared" si="17"/>
        <v>0</v>
      </c>
      <c r="Z36" s="304">
        <f>SUM(Z35)</f>
        <v>4745460</v>
      </c>
    </row>
    <row r="37" spans="1:26" ht="25.5" x14ac:dyDescent="0.2">
      <c r="A37" s="587" t="s">
        <v>40</v>
      </c>
      <c r="B37" s="531"/>
      <c r="C37" s="513" t="s">
        <v>238</v>
      </c>
      <c r="D37" s="513" t="s">
        <v>333</v>
      </c>
      <c r="E37" s="292">
        <f>'1. Bevételek'!E36</f>
        <v>707620</v>
      </c>
      <c r="F37" s="292"/>
      <c r="G37" s="292"/>
      <c r="H37" s="292">
        <v>606930</v>
      </c>
      <c r="I37" s="292">
        <f>'1. Bevételek'!K36</f>
        <v>0</v>
      </c>
      <c r="J37" s="292">
        <v>0</v>
      </c>
      <c r="K37" s="292">
        <v>0</v>
      </c>
      <c r="L37" s="292">
        <v>0</v>
      </c>
      <c r="M37" s="292">
        <f>SUM(E37:L37)</f>
        <v>1314550</v>
      </c>
      <c r="N37" s="519">
        <v>0</v>
      </c>
      <c r="O37" s="519"/>
      <c r="P37" s="519"/>
      <c r="Q37" s="519"/>
      <c r="R37" s="519">
        <v>0</v>
      </c>
      <c r="S37" s="519"/>
      <c r="T37" s="519"/>
      <c r="U37" s="519"/>
      <c r="V37" s="519">
        <f>SUM(N37:R37)</f>
        <v>0</v>
      </c>
      <c r="W37" s="519">
        <v>0</v>
      </c>
      <c r="X37" s="519">
        <v>0</v>
      </c>
      <c r="Y37" s="519">
        <f>SUM(W37:X37)</f>
        <v>0</v>
      </c>
      <c r="Z37" s="292">
        <f>M37+V37+Y37</f>
        <v>1314550</v>
      </c>
    </row>
    <row r="38" spans="1:26" ht="25.5" x14ac:dyDescent="0.2">
      <c r="A38" s="587"/>
      <c r="B38" s="531"/>
      <c r="C38" s="513" t="s">
        <v>368</v>
      </c>
      <c r="D38" s="513" t="s">
        <v>410</v>
      </c>
      <c r="E38" s="292">
        <f>'1. Bevételek'!E37</f>
        <v>110732349</v>
      </c>
      <c r="F38" s="292"/>
      <c r="G38" s="292">
        <v>15999989</v>
      </c>
      <c r="H38" s="292">
        <v>-82008900</v>
      </c>
      <c r="I38" s="292">
        <f>'1. Bevételek'!K37</f>
        <v>0</v>
      </c>
      <c r="J38" s="292">
        <v>0</v>
      </c>
      <c r="K38" s="292">
        <v>0</v>
      </c>
      <c r="L38" s="292">
        <v>0</v>
      </c>
      <c r="M38" s="292">
        <f>SUM(E38:L38)</f>
        <v>44723438</v>
      </c>
      <c r="N38" s="519">
        <v>0</v>
      </c>
      <c r="O38" s="519"/>
      <c r="P38" s="519"/>
      <c r="Q38" s="519"/>
      <c r="R38" s="519">
        <v>0</v>
      </c>
      <c r="S38" s="519"/>
      <c r="T38" s="519"/>
      <c r="U38" s="519"/>
      <c r="V38" s="519">
        <f>SUM(N38:R38)</f>
        <v>0</v>
      </c>
      <c r="W38" s="519">
        <v>0</v>
      </c>
      <c r="X38" s="519">
        <v>0</v>
      </c>
      <c r="Y38" s="519">
        <f>SUM(W38:X38)</f>
        <v>0</v>
      </c>
      <c r="Z38" s="292">
        <f>M38+V38+Y38</f>
        <v>44723438</v>
      </c>
    </row>
    <row r="39" spans="1:26" x14ac:dyDescent="0.2">
      <c r="A39" s="587"/>
      <c r="B39" s="531"/>
      <c r="C39" s="513" t="s">
        <v>422</v>
      </c>
      <c r="D39" s="513" t="s">
        <v>423</v>
      </c>
      <c r="E39" s="292"/>
      <c r="F39" s="292">
        <v>126128</v>
      </c>
      <c r="G39" s="292">
        <v>0</v>
      </c>
      <c r="H39" s="292">
        <v>2888483</v>
      </c>
      <c r="I39" s="292">
        <v>0</v>
      </c>
      <c r="J39" s="292">
        <v>0</v>
      </c>
      <c r="K39" s="292">
        <v>0</v>
      </c>
      <c r="L39" s="292">
        <v>0</v>
      </c>
      <c r="M39" s="292">
        <f>SUM(E39:L39)</f>
        <v>3014611</v>
      </c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519"/>
      <c r="Z39" s="292">
        <f>M39+V39+Y39</f>
        <v>3014611</v>
      </c>
    </row>
    <row r="40" spans="1:26" ht="12.75" customHeight="1" x14ac:dyDescent="0.2">
      <c r="A40" s="587"/>
      <c r="B40" s="588" t="s">
        <v>369</v>
      </c>
      <c r="C40" s="588"/>
      <c r="D40" s="533" t="s">
        <v>411</v>
      </c>
      <c r="E40" s="304">
        <f>SUM(E37:E39)</f>
        <v>111439969</v>
      </c>
      <c r="F40" s="304">
        <f t="shared" ref="F40:H40" si="19">SUM(F37:F39)</f>
        <v>126128</v>
      </c>
      <c r="G40" s="304">
        <f t="shared" si="19"/>
        <v>15999989</v>
      </c>
      <c r="H40" s="304">
        <f t="shared" si="19"/>
        <v>-78513487</v>
      </c>
      <c r="I40" s="304">
        <f t="shared" ref="I40:L40" si="20">SUM(I37:I39)</f>
        <v>0</v>
      </c>
      <c r="J40" s="304">
        <f t="shared" si="20"/>
        <v>0</v>
      </c>
      <c r="K40" s="304">
        <f t="shared" si="20"/>
        <v>0</v>
      </c>
      <c r="L40" s="304">
        <f t="shared" si="20"/>
        <v>0</v>
      </c>
      <c r="M40" s="304">
        <f>SUM(M37:M39)</f>
        <v>49052599</v>
      </c>
      <c r="N40" s="304">
        <f>SUM(N37:N38)</f>
        <v>0</v>
      </c>
      <c r="O40" s="304">
        <f t="shared" ref="O40:V40" si="21">SUM(O37:O38)</f>
        <v>0</v>
      </c>
      <c r="P40" s="304">
        <f t="shared" si="21"/>
        <v>0</v>
      </c>
      <c r="Q40" s="304">
        <f t="shared" si="21"/>
        <v>0</v>
      </c>
      <c r="R40" s="304">
        <f t="shared" si="21"/>
        <v>0</v>
      </c>
      <c r="S40" s="304">
        <f t="shared" si="21"/>
        <v>0</v>
      </c>
      <c r="T40" s="304">
        <f t="shared" si="21"/>
        <v>0</v>
      </c>
      <c r="U40" s="304">
        <f t="shared" si="21"/>
        <v>0</v>
      </c>
      <c r="V40" s="304">
        <f t="shared" si="21"/>
        <v>0</v>
      </c>
      <c r="W40" s="304">
        <f>SUM(W37:W38)</f>
        <v>0</v>
      </c>
      <c r="X40" s="304">
        <f>SUM(X37:X38)</f>
        <v>0</v>
      </c>
      <c r="Y40" s="304">
        <f>SUM(Y37:Y38)</f>
        <v>0</v>
      </c>
      <c r="Z40" s="304">
        <f>SUM(Z37:Z39)</f>
        <v>49052599</v>
      </c>
    </row>
    <row r="41" spans="1:26" s="352" customFormat="1" ht="24.75" customHeight="1" x14ac:dyDescent="0.2">
      <c r="A41" s="585" t="s">
        <v>217</v>
      </c>
      <c r="B41" s="585"/>
      <c r="C41" s="585"/>
      <c r="D41" s="534" t="s">
        <v>334</v>
      </c>
      <c r="E41" s="301">
        <f>E17+E25+E34+E36+E40</f>
        <v>645329374</v>
      </c>
      <c r="F41" s="301">
        <f t="shared" ref="F41:H41" si="22">F17+F25+F34+F36+F40</f>
        <v>16318475</v>
      </c>
      <c r="G41" s="301">
        <f t="shared" si="22"/>
        <v>20165119</v>
      </c>
      <c r="H41" s="301">
        <f t="shared" si="22"/>
        <v>-83136742</v>
      </c>
      <c r="I41" s="301">
        <f>I17+I25+I34+I36+I40</f>
        <v>2000</v>
      </c>
      <c r="J41" s="301">
        <f t="shared" ref="J41:L41" si="23">J17+J25+J34+J36+J40</f>
        <v>0</v>
      </c>
      <c r="K41" s="301">
        <f t="shared" si="23"/>
        <v>0</v>
      </c>
      <c r="L41" s="301">
        <f t="shared" si="23"/>
        <v>336</v>
      </c>
      <c r="M41" s="301">
        <f>M17+M25+M34+M36+M40</f>
        <v>598678562</v>
      </c>
      <c r="N41" s="301">
        <f>N17+N25+N34+N36+N40</f>
        <v>3375385</v>
      </c>
      <c r="O41" s="301">
        <f t="shared" ref="O41:R41" si="24">O17+O25+O34+O36+O40</f>
        <v>942499</v>
      </c>
      <c r="P41" s="301">
        <f>P17+P25+P34+P36+P40</f>
        <v>654140</v>
      </c>
      <c r="Q41" s="301">
        <f>Q17+Q25+Q34+Q36+Q40</f>
        <v>3657943</v>
      </c>
      <c r="R41" s="301">
        <f t="shared" si="24"/>
        <v>2000000</v>
      </c>
      <c r="S41" s="301">
        <f t="shared" ref="S41:U41" si="25">S17+S25+S34+S36+S40</f>
        <v>407000</v>
      </c>
      <c r="T41" s="301">
        <f t="shared" si="25"/>
        <v>0</v>
      </c>
      <c r="U41" s="301">
        <f t="shared" si="25"/>
        <v>1890555</v>
      </c>
      <c r="V41" s="301">
        <f>V17+V25+V34+V36+V40</f>
        <v>12927522</v>
      </c>
      <c r="W41" s="301">
        <f>W17+W25+W34+W36+W40</f>
        <v>0</v>
      </c>
      <c r="X41" s="301">
        <f>X17+X25+X34+X36+X40</f>
        <v>0</v>
      </c>
      <c r="Y41" s="301">
        <f>Y17+Y25+Y34+Y36+Y40</f>
        <v>0</v>
      </c>
      <c r="Z41" s="301">
        <f>Z17+Z25+Z34+Z36+Z40</f>
        <v>611606084</v>
      </c>
    </row>
    <row r="42" spans="1:26" ht="24" customHeight="1" x14ac:dyDescent="0.2">
      <c r="A42" s="535"/>
      <c r="B42" s="531"/>
      <c r="C42" s="513" t="s">
        <v>279</v>
      </c>
      <c r="D42" s="513" t="s">
        <v>335</v>
      </c>
      <c r="E42" s="292">
        <f>'1. Bevételek'!E41</f>
        <v>650000000</v>
      </c>
      <c r="F42" s="292"/>
      <c r="G42" s="292"/>
      <c r="H42" s="292">
        <v>-650000000</v>
      </c>
      <c r="I42" s="292">
        <f>'1. Bevételek'!K41</f>
        <v>0</v>
      </c>
      <c r="J42" s="292">
        <v>0</v>
      </c>
      <c r="K42" s="292">
        <v>0</v>
      </c>
      <c r="L42" s="292">
        <v>0</v>
      </c>
      <c r="M42" s="292">
        <f>SUM(E42:I42)</f>
        <v>0</v>
      </c>
      <c r="N42" s="519">
        <v>0</v>
      </c>
      <c r="O42" s="519"/>
      <c r="P42" s="519"/>
      <c r="Q42" s="519"/>
      <c r="R42" s="519">
        <v>0</v>
      </c>
      <c r="S42" s="519"/>
      <c r="T42" s="519"/>
      <c r="U42" s="519"/>
      <c r="V42" s="519">
        <f>SUM(N42:R42)</f>
        <v>0</v>
      </c>
      <c r="W42" s="519">
        <v>0</v>
      </c>
      <c r="X42" s="519">
        <v>0</v>
      </c>
      <c r="Y42" s="519">
        <f>SUM(W42:X42)</f>
        <v>0</v>
      </c>
      <c r="Z42" s="292">
        <f>M42+V42+Y42</f>
        <v>0</v>
      </c>
    </row>
    <row r="43" spans="1:26" ht="18.75" customHeight="1" x14ac:dyDescent="0.2">
      <c r="A43" s="535"/>
      <c r="B43" s="588" t="s">
        <v>280</v>
      </c>
      <c r="C43" s="588"/>
      <c r="D43" s="533" t="s">
        <v>336</v>
      </c>
      <c r="E43" s="304">
        <f t="shared" ref="E43:Y43" si="26">SUM(E42)</f>
        <v>650000000</v>
      </c>
      <c r="F43" s="304">
        <f t="shared" si="26"/>
        <v>0</v>
      </c>
      <c r="G43" s="304">
        <f t="shared" si="26"/>
        <v>0</v>
      </c>
      <c r="H43" s="304">
        <f t="shared" si="26"/>
        <v>-650000000</v>
      </c>
      <c r="I43" s="304">
        <f t="shared" si="26"/>
        <v>0</v>
      </c>
      <c r="J43" s="304">
        <f t="shared" si="26"/>
        <v>0</v>
      </c>
      <c r="K43" s="304">
        <f t="shared" si="26"/>
        <v>0</v>
      </c>
      <c r="L43" s="304">
        <f t="shared" si="26"/>
        <v>0</v>
      </c>
      <c r="M43" s="304">
        <f t="shared" si="26"/>
        <v>0</v>
      </c>
      <c r="N43" s="304">
        <f t="shared" si="26"/>
        <v>0</v>
      </c>
      <c r="O43" s="304"/>
      <c r="P43" s="304"/>
      <c r="Q43" s="304"/>
      <c r="R43" s="304">
        <f t="shared" si="26"/>
        <v>0</v>
      </c>
      <c r="S43" s="304"/>
      <c r="T43" s="304"/>
      <c r="U43" s="304"/>
      <c r="V43" s="304">
        <f t="shared" si="26"/>
        <v>0</v>
      </c>
      <c r="W43" s="304">
        <f t="shared" si="26"/>
        <v>0</v>
      </c>
      <c r="X43" s="304">
        <f t="shared" si="26"/>
        <v>0</v>
      </c>
      <c r="Y43" s="304">
        <f t="shared" si="26"/>
        <v>0</v>
      </c>
      <c r="Z43" s="304">
        <f>SUM(Z42)</f>
        <v>0</v>
      </c>
    </row>
    <row r="44" spans="1:26" ht="17.25" customHeight="1" x14ac:dyDescent="0.2">
      <c r="A44" s="587" t="s">
        <v>45</v>
      </c>
      <c r="B44" s="531"/>
      <c r="C44" s="513" t="s">
        <v>245</v>
      </c>
      <c r="D44" s="513" t="s">
        <v>337</v>
      </c>
      <c r="E44" s="292">
        <f>'1. Bevételek'!E43</f>
        <v>65000000</v>
      </c>
      <c r="F44" s="292"/>
      <c r="G44" s="292"/>
      <c r="H44" s="292">
        <v>-65000000</v>
      </c>
      <c r="I44" s="292">
        <f>'1. Bevételek'!K43</f>
        <v>0</v>
      </c>
      <c r="J44" s="292"/>
      <c r="K44" s="292"/>
      <c r="L44" s="292"/>
      <c r="M44" s="292">
        <f>SUM(E44:I44)</f>
        <v>0</v>
      </c>
      <c r="N44" s="519">
        <v>0</v>
      </c>
      <c r="O44" s="519"/>
      <c r="P44" s="519"/>
      <c r="Q44" s="519"/>
      <c r="R44" s="519">
        <v>0</v>
      </c>
      <c r="S44" s="519"/>
      <c r="T44" s="519"/>
      <c r="U44" s="519"/>
      <c r="V44" s="519">
        <f>SUM(N44:R44)</f>
        <v>0</v>
      </c>
      <c r="W44" s="519">
        <v>0</v>
      </c>
      <c r="X44" s="519">
        <v>0</v>
      </c>
      <c r="Y44" s="519">
        <f>SUM(W44:X44)</f>
        <v>0</v>
      </c>
      <c r="Z44" s="292">
        <f>M44+V44+Y44</f>
        <v>0</v>
      </c>
    </row>
    <row r="45" spans="1:26" ht="18.75" customHeight="1" x14ac:dyDescent="0.2">
      <c r="A45" s="587"/>
      <c r="B45" s="588" t="s">
        <v>244</v>
      </c>
      <c r="C45" s="588"/>
      <c r="D45" s="533" t="s">
        <v>337</v>
      </c>
      <c r="E45" s="304">
        <f t="shared" ref="E45:Y45" si="27">SUM(E44)</f>
        <v>65000000</v>
      </c>
      <c r="F45" s="304">
        <f t="shared" si="27"/>
        <v>0</v>
      </c>
      <c r="G45" s="304">
        <f t="shared" si="27"/>
        <v>0</v>
      </c>
      <c r="H45" s="304">
        <f t="shared" si="27"/>
        <v>-65000000</v>
      </c>
      <c r="I45" s="304">
        <f t="shared" si="27"/>
        <v>0</v>
      </c>
      <c r="J45" s="304">
        <f t="shared" si="27"/>
        <v>0</v>
      </c>
      <c r="K45" s="304">
        <f t="shared" si="27"/>
        <v>0</v>
      </c>
      <c r="L45" s="304">
        <f t="shared" si="27"/>
        <v>0</v>
      </c>
      <c r="M45" s="304">
        <f t="shared" si="27"/>
        <v>0</v>
      </c>
      <c r="N45" s="304">
        <f t="shared" si="27"/>
        <v>0</v>
      </c>
      <c r="O45" s="304"/>
      <c r="P45" s="304"/>
      <c r="Q45" s="304"/>
      <c r="R45" s="304">
        <f t="shared" si="27"/>
        <v>0</v>
      </c>
      <c r="S45" s="304"/>
      <c r="T45" s="304"/>
      <c r="U45" s="304"/>
      <c r="V45" s="304">
        <f t="shared" si="27"/>
        <v>0</v>
      </c>
      <c r="W45" s="304">
        <f t="shared" si="27"/>
        <v>0</v>
      </c>
      <c r="X45" s="304">
        <f t="shared" si="27"/>
        <v>0</v>
      </c>
      <c r="Y45" s="304">
        <f t="shared" si="27"/>
        <v>0</v>
      </c>
      <c r="Z45" s="304">
        <f>SUM(Z44)</f>
        <v>0</v>
      </c>
    </row>
    <row r="46" spans="1:26" ht="15" customHeight="1" x14ac:dyDescent="0.2">
      <c r="A46" s="587" t="s">
        <v>47</v>
      </c>
      <c r="B46" s="531"/>
      <c r="C46" s="513" t="s">
        <v>274</v>
      </c>
      <c r="D46" s="513" t="s">
        <v>412</v>
      </c>
      <c r="E46" s="292">
        <f>'1. Bevételek'!E45</f>
        <v>141599305</v>
      </c>
      <c r="F46" s="292"/>
      <c r="G46" s="292"/>
      <c r="H46" s="292">
        <v>-3795353</v>
      </c>
      <c r="I46" s="292">
        <f>'1. Bevételek'!K45</f>
        <v>941822</v>
      </c>
      <c r="J46" s="292"/>
      <c r="K46" s="292"/>
      <c r="L46" s="292"/>
      <c r="M46" s="292">
        <f>SUM(E46:I46)</f>
        <v>138745774</v>
      </c>
      <c r="N46" s="519">
        <v>0</v>
      </c>
      <c r="O46" s="519"/>
      <c r="P46" s="519"/>
      <c r="Q46" s="519"/>
      <c r="R46" s="519">
        <v>0</v>
      </c>
      <c r="S46" s="519"/>
      <c r="T46" s="519"/>
      <c r="U46" s="519"/>
      <c r="V46" s="519">
        <f>SUM(N46:R46)</f>
        <v>0</v>
      </c>
      <c r="W46" s="519">
        <v>0</v>
      </c>
      <c r="X46" s="519">
        <v>0</v>
      </c>
      <c r="Y46" s="519">
        <f>SUM(W46:X46)</f>
        <v>0</v>
      </c>
      <c r="Z46" s="292">
        <f>M46+V46+Y46</f>
        <v>138745774</v>
      </c>
    </row>
    <row r="47" spans="1:26" ht="17.25" customHeight="1" x14ac:dyDescent="0.2">
      <c r="A47" s="589"/>
      <c r="B47" s="773" t="s">
        <v>246</v>
      </c>
      <c r="C47" s="773"/>
      <c r="D47" s="774" t="s">
        <v>413</v>
      </c>
      <c r="E47" s="775">
        <f t="shared" ref="E47:Y47" si="28">SUM(E46)</f>
        <v>141599305</v>
      </c>
      <c r="F47" s="775">
        <f t="shared" si="28"/>
        <v>0</v>
      </c>
      <c r="G47" s="775">
        <f t="shared" si="28"/>
        <v>0</v>
      </c>
      <c r="H47" s="775">
        <f t="shared" si="28"/>
        <v>-3795353</v>
      </c>
      <c r="I47" s="775">
        <f t="shared" si="28"/>
        <v>941822</v>
      </c>
      <c r="J47" s="775">
        <f t="shared" si="28"/>
        <v>0</v>
      </c>
      <c r="K47" s="775">
        <f t="shared" si="28"/>
        <v>0</v>
      </c>
      <c r="L47" s="775">
        <f t="shared" si="28"/>
        <v>0</v>
      </c>
      <c r="M47" s="775">
        <f t="shared" si="28"/>
        <v>138745774</v>
      </c>
      <c r="N47" s="775">
        <f t="shared" si="28"/>
        <v>0</v>
      </c>
      <c r="O47" s="775"/>
      <c r="P47" s="775"/>
      <c r="Q47" s="775"/>
      <c r="R47" s="775">
        <f t="shared" si="28"/>
        <v>0</v>
      </c>
      <c r="S47" s="775"/>
      <c r="T47" s="775"/>
      <c r="U47" s="775"/>
      <c r="V47" s="775">
        <f t="shared" si="28"/>
        <v>0</v>
      </c>
      <c r="W47" s="775">
        <f t="shared" si="28"/>
        <v>0</v>
      </c>
      <c r="X47" s="775">
        <f t="shared" si="28"/>
        <v>0</v>
      </c>
      <c r="Y47" s="775">
        <f t="shared" si="28"/>
        <v>0</v>
      </c>
      <c r="Z47" s="775">
        <f>SUM(Z46)</f>
        <v>138745774</v>
      </c>
    </row>
    <row r="48" spans="1:26" s="539" customFormat="1" ht="17.25" customHeight="1" x14ac:dyDescent="0.2">
      <c r="A48" s="513"/>
      <c r="B48" s="513"/>
      <c r="C48" s="513" t="s">
        <v>467</v>
      </c>
      <c r="D48" s="513" t="s">
        <v>451</v>
      </c>
      <c r="E48" s="513"/>
      <c r="F48" s="513"/>
      <c r="G48" s="513"/>
      <c r="H48" s="292">
        <v>14451641</v>
      </c>
      <c r="I48" s="513"/>
      <c r="J48" s="513"/>
      <c r="K48" s="513"/>
      <c r="L48" s="513"/>
      <c r="M48" s="292">
        <f>SUM(E48:I48)</f>
        <v>14451641</v>
      </c>
      <c r="N48" s="513"/>
      <c r="O48" s="513"/>
      <c r="P48" s="513"/>
      <c r="Q48" s="513"/>
      <c r="R48" s="513"/>
      <c r="S48" s="513"/>
      <c r="T48" s="513"/>
      <c r="U48" s="513"/>
      <c r="V48" s="513"/>
      <c r="W48" s="513"/>
      <c r="X48" s="513"/>
      <c r="Y48" s="513"/>
      <c r="Z48" s="292">
        <f>M48+V48+Y48</f>
        <v>14451641</v>
      </c>
    </row>
    <row r="49" spans="1:26" ht="15.75" customHeight="1" x14ac:dyDescent="0.2">
      <c r="A49" s="630" t="s">
        <v>48</v>
      </c>
      <c r="B49" s="776"/>
      <c r="C49" s="777" t="s">
        <v>277</v>
      </c>
      <c r="D49" s="777" t="s">
        <v>338</v>
      </c>
      <c r="E49" s="778">
        <v>0</v>
      </c>
      <c r="F49" s="778"/>
      <c r="G49" s="778"/>
      <c r="H49" s="778"/>
      <c r="I49" s="779">
        <f>'1. Bevételek'!K48</f>
        <v>105524914</v>
      </c>
      <c r="J49" s="779"/>
      <c r="K49" s="779"/>
      <c r="L49" s="779">
        <v>-717191</v>
      </c>
      <c r="M49" s="779">
        <f>SUM(E49:L49)</f>
        <v>104807723</v>
      </c>
      <c r="N49" s="778">
        <v>0</v>
      </c>
      <c r="O49" s="778"/>
      <c r="P49" s="778"/>
      <c r="Q49" s="778"/>
      <c r="R49" s="778">
        <v>0</v>
      </c>
      <c r="S49" s="778"/>
      <c r="T49" s="778"/>
      <c r="U49" s="778"/>
      <c r="V49" s="778">
        <f>SUM(N49:R49)</f>
        <v>0</v>
      </c>
      <c r="W49" s="778">
        <v>0</v>
      </c>
      <c r="X49" s="778">
        <v>0</v>
      </c>
      <c r="Y49" s="778">
        <f>SUM(W49:X49)</f>
        <v>0</v>
      </c>
      <c r="Z49" s="779">
        <f>M49+V49+Y49</f>
        <v>104807723</v>
      </c>
    </row>
    <row r="50" spans="1:26" ht="18" customHeight="1" x14ac:dyDescent="0.2">
      <c r="A50" s="590"/>
      <c r="B50" s="588" t="s">
        <v>278</v>
      </c>
      <c r="C50" s="588"/>
      <c r="D50" s="533" t="s">
        <v>339</v>
      </c>
      <c r="E50" s="304">
        <f t="shared" ref="E50:L50" si="29">SUM(E48:E49)</f>
        <v>0</v>
      </c>
      <c r="F50" s="304">
        <f t="shared" si="29"/>
        <v>0</v>
      </c>
      <c r="G50" s="304">
        <f t="shared" si="29"/>
        <v>0</v>
      </c>
      <c r="H50" s="304">
        <f t="shared" si="29"/>
        <v>14451641</v>
      </c>
      <c r="I50" s="304">
        <f t="shared" si="29"/>
        <v>105524914</v>
      </c>
      <c r="J50" s="304">
        <f t="shared" si="29"/>
        <v>0</v>
      </c>
      <c r="K50" s="304">
        <f t="shared" si="29"/>
        <v>0</v>
      </c>
      <c r="L50" s="304">
        <f t="shared" si="29"/>
        <v>-717191</v>
      </c>
      <c r="M50" s="304">
        <f>SUM(M48:M49)</f>
        <v>119259364</v>
      </c>
      <c r="N50" s="304">
        <f t="shared" ref="N50:Y50" si="30">SUM(N49)</f>
        <v>0</v>
      </c>
      <c r="O50" s="304"/>
      <c r="P50" s="304"/>
      <c r="Q50" s="304"/>
      <c r="R50" s="304">
        <f t="shared" si="30"/>
        <v>0</v>
      </c>
      <c r="S50" s="304"/>
      <c r="T50" s="304"/>
      <c r="U50" s="304"/>
      <c r="V50" s="304">
        <f t="shared" si="30"/>
        <v>0</v>
      </c>
      <c r="W50" s="304">
        <f t="shared" si="30"/>
        <v>0</v>
      </c>
      <c r="X50" s="304">
        <f t="shared" si="30"/>
        <v>0</v>
      </c>
      <c r="Y50" s="304">
        <f t="shared" si="30"/>
        <v>0</v>
      </c>
      <c r="Z50" s="304">
        <f>SUM(Z48:Z49)</f>
        <v>119259364</v>
      </c>
    </row>
    <row r="51" spans="1:26" s="351" customFormat="1" ht="21.75" customHeight="1" x14ac:dyDescent="0.2">
      <c r="A51" s="585" t="s">
        <v>247</v>
      </c>
      <c r="B51" s="585"/>
      <c r="C51" s="585"/>
      <c r="D51" s="534" t="s">
        <v>340</v>
      </c>
      <c r="E51" s="301">
        <f>E45+E47+E50+E43</f>
        <v>856599305</v>
      </c>
      <c r="F51" s="301">
        <f t="shared" ref="F51:H51" si="31">F45+F47+F50+F43</f>
        <v>0</v>
      </c>
      <c r="G51" s="301">
        <f t="shared" si="31"/>
        <v>0</v>
      </c>
      <c r="H51" s="301">
        <f t="shared" si="31"/>
        <v>-704343712</v>
      </c>
      <c r="I51" s="301">
        <f t="shared" ref="I51:Q51" si="32">I45+I47+I50+I43</f>
        <v>106466736</v>
      </c>
      <c r="J51" s="301">
        <f t="shared" si="32"/>
        <v>0</v>
      </c>
      <c r="K51" s="301">
        <f t="shared" si="32"/>
        <v>0</v>
      </c>
      <c r="L51" s="301">
        <f t="shared" si="32"/>
        <v>-717191</v>
      </c>
      <c r="M51" s="301">
        <f>M45+M47+M50+M43</f>
        <v>258005138</v>
      </c>
      <c r="N51" s="301">
        <f t="shared" si="32"/>
        <v>0</v>
      </c>
      <c r="O51" s="301">
        <f t="shared" si="32"/>
        <v>0</v>
      </c>
      <c r="P51" s="301">
        <f t="shared" si="32"/>
        <v>0</v>
      </c>
      <c r="Q51" s="301">
        <f t="shared" si="32"/>
        <v>0</v>
      </c>
      <c r="R51" s="301">
        <f>R45+R47+R50+R43</f>
        <v>0</v>
      </c>
      <c r="S51" s="301">
        <f t="shared" ref="S51:V51" si="33">S45+S47+S50+S43</f>
        <v>0</v>
      </c>
      <c r="T51" s="301">
        <f t="shared" si="33"/>
        <v>0</v>
      </c>
      <c r="U51" s="301">
        <f t="shared" si="33"/>
        <v>0</v>
      </c>
      <c r="V51" s="301">
        <f t="shared" si="33"/>
        <v>0</v>
      </c>
      <c r="W51" s="301">
        <f>W45+W47+W50+W43</f>
        <v>0</v>
      </c>
      <c r="X51" s="301">
        <f>X45+X47+X50+X43</f>
        <v>0</v>
      </c>
      <c r="Y51" s="301">
        <f>Y45+Y47+Y50+Y43</f>
        <v>0</v>
      </c>
      <c r="Z51" s="301">
        <f>Z45+Z47+Z50+Z43</f>
        <v>258005138</v>
      </c>
    </row>
    <row r="52" spans="1:26" s="350" customFormat="1" ht="22.5" customHeight="1" x14ac:dyDescent="0.2">
      <c r="A52" s="586" t="s">
        <v>248</v>
      </c>
      <c r="B52" s="586"/>
      <c r="C52" s="586"/>
      <c r="D52" s="536"/>
      <c r="E52" s="532">
        <f t="shared" ref="E52:Q52" si="34">E41+E51</f>
        <v>1501928679</v>
      </c>
      <c r="F52" s="532">
        <f t="shared" si="34"/>
        <v>16318475</v>
      </c>
      <c r="G52" s="532">
        <f t="shared" si="34"/>
        <v>20165119</v>
      </c>
      <c r="H52" s="532">
        <f t="shared" si="34"/>
        <v>-787480454</v>
      </c>
      <c r="I52" s="532">
        <f t="shared" si="34"/>
        <v>106468736</v>
      </c>
      <c r="J52" s="532">
        <f t="shared" si="34"/>
        <v>0</v>
      </c>
      <c r="K52" s="532">
        <f t="shared" si="34"/>
        <v>0</v>
      </c>
      <c r="L52" s="532">
        <f t="shared" si="34"/>
        <v>-716855</v>
      </c>
      <c r="M52" s="532">
        <f t="shared" si="34"/>
        <v>856683700</v>
      </c>
      <c r="N52" s="532">
        <f t="shared" si="34"/>
        <v>3375385</v>
      </c>
      <c r="O52" s="532">
        <f t="shared" si="34"/>
        <v>942499</v>
      </c>
      <c r="P52" s="532">
        <f t="shared" si="34"/>
        <v>654140</v>
      </c>
      <c r="Q52" s="532">
        <f t="shared" si="34"/>
        <v>3657943</v>
      </c>
      <c r="R52" s="532">
        <f>R41+R51</f>
        <v>2000000</v>
      </c>
      <c r="S52" s="532">
        <f t="shared" ref="S52:V52" si="35">S41+S51</f>
        <v>407000</v>
      </c>
      <c r="T52" s="532">
        <f t="shared" si="35"/>
        <v>0</v>
      </c>
      <c r="U52" s="532">
        <f t="shared" si="35"/>
        <v>1890555</v>
      </c>
      <c r="V52" s="532">
        <f t="shared" si="35"/>
        <v>12927522</v>
      </c>
      <c r="W52" s="532">
        <f t="shared" ref="W52:Z52" si="36">W41+W51</f>
        <v>0</v>
      </c>
      <c r="X52" s="532">
        <f t="shared" si="36"/>
        <v>0</v>
      </c>
      <c r="Y52" s="532">
        <f t="shared" si="36"/>
        <v>0</v>
      </c>
      <c r="Z52" s="532">
        <f t="shared" si="36"/>
        <v>869611222</v>
      </c>
    </row>
    <row r="53" spans="1:26" x14ac:dyDescent="0.2">
      <c r="N53" s="515"/>
      <c r="O53" s="515"/>
      <c r="P53" s="515"/>
      <c r="Q53" s="515"/>
      <c r="R53" s="515"/>
    </row>
  </sheetData>
  <mergeCells count="38">
    <mergeCell ref="N4:U4"/>
    <mergeCell ref="E4:L4"/>
    <mergeCell ref="A1:Z1"/>
    <mergeCell ref="A3:C5"/>
    <mergeCell ref="D3:D5"/>
    <mergeCell ref="E3:Z3"/>
    <mergeCell ref="M4:M5"/>
    <mergeCell ref="V4:V5"/>
    <mergeCell ref="Y4:Y5"/>
    <mergeCell ref="Z4:Z5"/>
    <mergeCell ref="A2:Y2"/>
    <mergeCell ref="W4:X4"/>
    <mergeCell ref="A6:A17"/>
    <mergeCell ref="B11:C11"/>
    <mergeCell ref="B16:C16"/>
    <mergeCell ref="B17:C17"/>
    <mergeCell ref="B43:C43"/>
    <mergeCell ref="A19:A25"/>
    <mergeCell ref="B19:C19"/>
    <mergeCell ref="B23:C23"/>
    <mergeCell ref="B24:C24"/>
    <mergeCell ref="B25:C25"/>
    <mergeCell ref="A26:A34"/>
    <mergeCell ref="B34:C34"/>
    <mergeCell ref="A35:A36"/>
    <mergeCell ref="B36:C36"/>
    <mergeCell ref="A37:A40"/>
    <mergeCell ref="B40:C40"/>
    <mergeCell ref="A41:C41"/>
    <mergeCell ref="B18:C18"/>
    <mergeCell ref="A51:C51"/>
    <mergeCell ref="A52:C52"/>
    <mergeCell ref="A44:A45"/>
    <mergeCell ref="B45:C45"/>
    <mergeCell ref="A46:A47"/>
    <mergeCell ref="B47:C47"/>
    <mergeCell ref="A49:A50"/>
    <mergeCell ref="B50:C50"/>
  </mergeCells>
  <pageMargins left="0.25" right="0.25" top="0.75" bottom="0.75" header="0.3" footer="0.3"/>
  <pageSetup paperSize="9" scale="53" fitToHeight="0" orientation="landscape" r:id="rId1"/>
  <headerFooter>
    <oddHeader>&amp;R1.1. számú melléklet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>
    <tabColor indexed="11"/>
    <pageSetUpPr fitToPage="1"/>
  </sheetPr>
  <dimension ref="A1:V31"/>
  <sheetViews>
    <sheetView topLeftCell="E10" zoomScaleNormal="100" zoomScaleSheetLayoutView="100" workbookViewId="0">
      <selection activeCell="H31" sqref="H31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0" customWidth="1"/>
    <col min="5" max="5" width="12.5703125" style="162" customWidth="1"/>
    <col min="6" max="6" width="13.42578125" style="162" bestFit="1" customWidth="1"/>
    <col min="7" max="8" width="13.42578125" style="162" customWidth="1"/>
    <col min="9" max="10" width="12.5703125" style="162" customWidth="1"/>
    <col min="11" max="11" width="14.5703125" style="162" bestFit="1" customWidth="1"/>
    <col min="12" max="16" width="14.5703125" style="162" customWidth="1"/>
    <col min="17" max="22" width="14" customWidth="1"/>
  </cols>
  <sheetData>
    <row r="1" spans="1:22" ht="21.75" customHeight="1" x14ac:dyDescent="0.2">
      <c r="A1" s="556" t="s">
        <v>452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</row>
    <row r="2" spans="1:22" ht="28.5" customHeight="1" x14ac:dyDescent="0.2">
      <c r="A2" s="557" t="s">
        <v>101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237" t="s">
        <v>375</v>
      </c>
    </row>
    <row r="3" spans="1:22" ht="36.75" customHeight="1" x14ac:dyDescent="0.2">
      <c r="A3" s="565" t="s">
        <v>35</v>
      </c>
      <c r="B3" s="566"/>
      <c r="C3" s="567"/>
      <c r="D3" s="755" t="s">
        <v>307</v>
      </c>
      <c r="E3" s="571" t="s">
        <v>199</v>
      </c>
      <c r="F3" s="572"/>
      <c r="G3" s="572"/>
      <c r="H3" s="572"/>
      <c r="I3" s="572"/>
      <c r="J3" s="572"/>
      <c r="K3" s="737" t="s">
        <v>276</v>
      </c>
      <c r="L3" s="572"/>
      <c r="M3" s="572"/>
      <c r="N3" s="572"/>
      <c r="O3" s="572"/>
      <c r="P3" s="738"/>
      <c r="Q3" s="572" t="s">
        <v>198</v>
      </c>
      <c r="R3" s="572"/>
      <c r="S3" s="572"/>
      <c r="T3" s="572"/>
      <c r="U3" s="572"/>
      <c r="V3" s="573"/>
    </row>
    <row r="4" spans="1:22" ht="30" x14ac:dyDescent="0.2">
      <c r="A4" s="568"/>
      <c r="B4" s="569"/>
      <c r="C4" s="570"/>
      <c r="D4" s="756"/>
      <c r="E4" s="144" t="s">
        <v>469</v>
      </c>
      <c r="F4" s="144" t="s">
        <v>419</v>
      </c>
      <c r="G4" s="144" t="s">
        <v>433</v>
      </c>
      <c r="H4" s="144" t="s">
        <v>449</v>
      </c>
      <c r="I4" s="144" t="s">
        <v>420</v>
      </c>
      <c r="J4" s="540" t="s">
        <v>421</v>
      </c>
      <c r="K4" s="739" t="s">
        <v>469</v>
      </c>
      <c r="L4" s="144" t="s">
        <v>419</v>
      </c>
      <c r="M4" s="144" t="s">
        <v>439</v>
      </c>
      <c r="N4" s="144" t="s">
        <v>449</v>
      </c>
      <c r="O4" s="144" t="s">
        <v>420</v>
      </c>
      <c r="P4" s="740" t="s">
        <v>421</v>
      </c>
      <c r="Q4" s="541" t="s">
        <v>429</v>
      </c>
      <c r="R4" s="144" t="s">
        <v>425</v>
      </c>
      <c r="S4" s="144" t="s">
        <v>433</v>
      </c>
      <c r="T4" s="144" t="s">
        <v>449</v>
      </c>
      <c r="U4" s="144" t="s">
        <v>424</v>
      </c>
      <c r="V4" s="144" t="s">
        <v>421</v>
      </c>
    </row>
    <row r="5" spans="1:22" s="132" customFormat="1" ht="16.5" customHeight="1" x14ac:dyDescent="0.2">
      <c r="A5" s="618" t="s">
        <v>36</v>
      </c>
      <c r="B5" s="136"/>
      <c r="C5" s="137" t="s">
        <v>250</v>
      </c>
      <c r="D5" s="137" t="str">
        <f>'2.1.Kiadások (KÖT, ÖNV, Áll.i)'!D6</f>
        <v>K11</v>
      </c>
      <c r="E5" s="138">
        <v>32734051</v>
      </c>
      <c r="F5" s="138">
        <v>1808201</v>
      </c>
      <c r="G5" s="138">
        <v>332500</v>
      </c>
      <c r="H5" s="138">
        <f>I5-G5-F5-E5</f>
        <v>-4131813</v>
      </c>
      <c r="I5" s="138">
        <v>30742939</v>
      </c>
      <c r="J5" s="728">
        <v>30742939</v>
      </c>
      <c r="K5" s="741">
        <v>81710304</v>
      </c>
      <c r="L5" s="138">
        <v>299601</v>
      </c>
      <c r="M5" s="138">
        <v>-500000</v>
      </c>
      <c r="N5" s="138">
        <f>O5-M5-L5-K5</f>
        <v>1459501</v>
      </c>
      <c r="O5" s="138">
        <v>82969406</v>
      </c>
      <c r="P5" s="742">
        <v>82969406</v>
      </c>
      <c r="Q5" s="732">
        <f>E5+K5</f>
        <v>114444355</v>
      </c>
      <c r="R5" s="138">
        <v>2107802</v>
      </c>
      <c r="S5" s="138">
        <v>-167500</v>
      </c>
      <c r="T5" s="138">
        <f>H5+N5</f>
        <v>-2672312</v>
      </c>
      <c r="U5" s="138">
        <f>I5+O5</f>
        <v>113712345</v>
      </c>
      <c r="V5" s="138">
        <f>J5+P5</f>
        <v>113712345</v>
      </c>
    </row>
    <row r="6" spans="1:22" s="132" customFormat="1" ht="16.5" customHeight="1" x14ac:dyDescent="0.2">
      <c r="A6" s="618"/>
      <c r="B6" s="136"/>
      <c r="C6" s="137" t="s">
        <v>251</v>
      </c>
      <c r="D6" s="137" t="str">
        <f>'2.1.Kiadások (KÖT, ÖNV, Áll.i)'!D7</f>
        <v>K12</v>
      </c>
      <c r="E6" s="138">
        <v>18853081</v>
      </c>
      <c r="F6" s="138">
        <v>-63830</v>
      </c>
      <c r="G6" s="138">
        <v>-677256</v>
      </c>
      <c r="H6" s="138">
        <f t="shared" ref="H6:H31" si="0">I6-G6-F6-E6</f>
        <v>-2852033</v>
      </c>
      <c r="I6" s="138">
        <v>15259962</v>
      </c>
      <c r="J6" s="728">
        <v>15259962</v>
      </c>
      <c r="K6" s="741">
        <v>1100000</v>
      </c>
      <c r="L6" s="138">
        <v>0</v>
      </c>
      <c r="M6" s="138">
        <v>0</v>
      </c>
      <c r="N6" s="138">
        <f t="shared" ref="N6:N31" si="1">O6-M6-L6-K6</f>
        <v>-1017360</v>
      </c>
      <c r="O6" s="138">
        <v>82640</v>
      </c>
      <c r="P6" s="742">
        <v>82640</v>
      </c>
      <c r="Q6" s="732">
        <f>E6+K6</f>
        <v>19953081</v>
      </c>
      <c r="R6" s="138">
        <v>-63830</v>
      </c>
      <c r="S6" s="138">
        <v>-677256</v>
      </c>
      <c r="T6" s="138">
        <f t="shared" ref="T6:T31" si="2">H6+N6</f>
        <v>-3869393</v>
      </c>
      <c r="U6" s="138">
        <f>I6+O6</f>
        <v>15342602</v>
      </c>
      <c r="V6" s="138">
        <f t="shared" ref="V6:V26" si="3">J6+P6</f>
        <v>15342602</v>
      </c>
    </row>
    <row r="7" spans="1:22" s="135" customFormat="1" ht="21.75" customHeight="1" x14ac:dyDescent="0.2">
      <c r="A7" s="618"/>
      <c r="B7" s="617" t="s">
        <v>249</v>
      </c>
      <c r="C7" s="617"/>
      <c r="D7" s="247" t="str">
        <f>'2.1.Kiadások (KÖT, ÖNV, Áll.i)'!D8</f>
        <v>K1</v>
      </c>
      <c r="E7" s="158">
        <f t="shared" ref="E7:P7" si="4">SUM(E5:E6)</f>
        <v>51587132</v>
      </c>
      <c r="F7" s="158">
        <v>1744371</v>
      </c>
      <c r="G7" s="158">
        <v>-344756</v>
      </c>
      <c r="H7" s="158">
        <f t="shared" si="0"/>
        <v>-6983846</v>
      </c>
      <c r="I7" s="158">
        <f t="shared" si="4"/>
        <v>46002901</v>
      </c>
      <c r="J7" s="757">
        <f t="shared" si="4"/>
        <v>46002901</v>
      </c>
      <c r="K7" s="745">
        <f t="shared" si="4"/>
        <v>82810304</v>
      </c>
      <c r="L7" s="158">
        <v>299601</v>
      </c>
      <c r="M7" s="158">
        <v>-500000</v>
      </c>
      <c r="N7" s="158">
        <f t="shared" si="1"/>
        <v>442141</v>
      </c>
      <c r="O7" s="158">
        <f t="shared" si="4"/>
        <v>83052046</v>
      </c>
      <c r="P7" s="746">
        <f t="shared" si="4"/>
        <v>83052046</v>
      </c>
      <c r="Q7" s="761">
        <f>E7+K7</f>
        <v>134397436</v>
      </c>
      <c r="R7" s="145">
        <v>2043972</v>
      </c>
      <c r="S7" s="145">
        <v>-844756</v>
      </c>
      <c r="T7" s="145">
        <f t="shared" si="2"/>
        <v>-6541705</v>
      </c>
      <c r="U7" s="158">
        <f t="shared" ref="U7:U26" si="5">I7+O7</f>
        <v>129054947</v>
      </c>
      <c r="V7" s="158">
        <f t="shared" si="3"/>
        <v>129054947</v>
      </c>
    </row>
    <row r="8" spans="1:22" s="135" customFormat="1" ht="22.5" customHeight="1" x14ac:dyDescent="0.2">
      <c r="A8" s="149" t="s">
        <v>37</v>
      </c>
      <c r="B8" s="617" t="s">
        <v>252</v>
      </c>
      <c r="C8" s="617"/>
      <c r="D8" s="247" t="str">
        <f>'2.1.Kiadások (KÖT, ÖNV, Áll.i)'!D9</f>
        <v>K2</v>
      </c>
      <c r="E8" s="158">
        <v>8843520</v>
      </c>
      <c r="F8" s="158">
        <v>-38571</v>
      </c>
      <c r="G8" s="158">
        <v>243032</v>
      </c>
      <c r="H8" s="158">
        <f t="shared" si="0"/>
        <v>-1927452</v>
      </c>
      <c r="I8" s="158">
        <v>7120529</v>
      </c>
      <c r="J8" s="757">
        <v>7120529</v>
      </c>
      <c r="K8" s="745">
        <v>14696450</v>
      </c>
      <c r="L8" s="158">
        <v>-299601</v>
      </c>
      <c r="M8" s="158">
        <v>0</v>
      </c>
      <c r="N8" s="158">
        <f t="shared" si="1"/>
        <v>-958555</v>
      </c>
      <c r="O8" s="158">
        <v>13438294</v>
      </c>
      <c r="P8" s="746">
        <v>13438294</v>
      </c>
      <c r="Q8" s="761">
        <f>E8+K8</f>
        <v>23539970</v>
      </c>
      <c r="R8" s="145">
        <v>-338172</v>
      </c>
      <c r="S8" s="145">
        <v>243032</v>
      </c>
      <c r="T8" s="145">
        <f t="shared" si="2"/>
        <v>-2886007</v>
      </c>
      <c r="U8" s="158">
        <f t="shared" si="5"/>
        <v>20558823</v>
      </c>
      <c r="V8" s="158">
        <f>J8+P8</f>
        <v>20558823</v>
      </c>
    </row>
    <row r="9" spans="1:22" s="132" customFormat="1" ht="13.5" customHeight="1" x14ac:dyDescent="0.2">
      <c r="A9" s="564" t="s">
        <v>38</v>
      </c>
      <c r="B9" s="136"/>
      <c r="C9" s="137" t="s">
        <v>253</v>
      </c>
      <c r="D9" s="281" t="str">
        <f>'2.1.Kiadások (KÖT, ÖNV, Áll.i)'!D10</f>
        <v>K31</v>
      </c>
      <c r="E9" s="138">
        <v>5717990</v>
      </c>
      <c r="F9" s="138">
        <v>0</v>
      </c>
      <c r="G9" s="138">
        <v>0</v>
      </c>
      <c r="H9" s="138">
        <f t="shared" si="0"/>
        <v>226140</v>
      </c>
      <c r="I9" s="138">
        <v>5944130</v>
      </c>
      <c r="J9" s="728">
        <v>5944130</v>
      </c>
      <c r="K9" s="741">
        <v>2307880</v>
      </c>
      <c r="L9" s="138">
        <v>0</v>
      </c>
      <c r="M9" s="138">
        <v>207672</v>
      </c>
      <c r="N9" s="138">
        <f t="shared" si="1"/>
        <v>-14889</v>
      </c>
      <c r="O9" s="138">
        <v>2500663</v>
      </c>
      <c r="P9" s="742">
        <v>2500663</v>
      </c>
      <c r="Q9" s="732">
        <f>E9+K9</f>
        <v>8025870</v>
      </c>
      <c r="R9" s="138">
        <v>0</v>
      </c>
      <c r="S9" s="138">
        <v>207672</v>
      </c>
      <c r="T9" s="138">
        <f t="shared" si="2"/>
        <v>211251</v>
      </c>
      <c r="U9" s="138">
        <f t="shared" si="5"/>
        <v>8444793</v>
      </c>
      <c r="V9" s="138">
        <f t="shared" si="3"/>
        <v>8444793</v>
      </c>
    </row>
    <row r="10" spans="1:22" s="132" customFormat="1" ht="13.5" customHeight="1" x14ac:dyDescent="0.2">
      <c r="A10" s="564"/>
      <c r="B10" s="136"/>
      <c r="C10" s="137" t="s">
        <v>254</v>
      </c>
      <c r="D10" s="137" t="str">
        <f>'2.1.Kiadások (KÖT, ÖNV, Áll.i)'!D11</f>
        <v>K32</v>
      </c>
      <c r="E10" s="138">
        <v>2709418</v>
      </c>
      <c r="F10" s="138">
        <v>0</v>
      </c>
      <c r="G10" s="138">
        <v>0</v>
      </c>
      <c r="H10" s="138">
        <f t="shared" si="0"/>
        <v>-1076055</v>
      </c>
      <c r="I10" s="138">
        <v>1633363</v>
      </c>
      <c r="J10" s="728">
        <v>1633363</v>
      </c>
      <c r="K10" s="741">
        <v>282840</v>
      </c>
      <c r="L10" s="138">
        <v>0</v>
      </c>
      <c r="M10" s="138">
        <v>59600</v>
      </c>
      <c r="N10" s="138">
        <f t="shared" si="1"/>
        <v>-58019</v>
      </c>
      <c r="O10" s="138">
        <v>284421</v>
      </c>
      <c r="P10" s="742">
        <v>284421</v>
      </c>
      <c r="Q10" s="732">
        <f t="shared" ref="Q10:Q13" si="6">E10+K10</f>
        <v>2992258</v>
      </c>
      <c r="R10" s="138">
        <v>0</v>
      </c>
      <c r="S10" s="138">
        <v>59600</v>
      </c>
      <c r="T10" s="138">
        <f t="shared" si="2"/>
        <v>-1134074</v>
      </c>
      <c r="U10" s="138">
        <f t="shared" si="5"/>
        <v>1917784</v>
      </c>
      <c r="V10" s="138">
        <f t="shared" si="3"/>
        <v>1917784</v>
      </c>
    </row>
    <row r="11" spans="1:22" s="132" customFormat="1" ht="13.5" customHeight="1" x14ac:dyDescent="0.2">
      <c r="A11" s="564"/>
      <c r="B11" s="136"/>
      <c r="C11" s="137" t="s">
        <v>255</v>
      </c>
      <c r="D11" s="137" t="str">
        <f>'2.1.Kiadások (KÖT, ÖNV, Áll.i)'!D12</f>
        <v>K33</v>
      </c>
      <c r="E11" s="138">
        <v>58734253</v>
      </c>
      <c r="F11" s="138">
        <v>1121993</v>
      </c>
      <c r="G11" s="138">
        <v>100000</v>
      </c>
      <c r="H11" s="138">
        <f t="shared" si="0"/>
        <v>-14679484</v>
      </c>
      <c r="I11" s="138">
        <v>45276762</v>
      </c>
      <c r="J11" s="728">
        <v>45276762</v>
      </c>
      <c r="K11" s="741">
        <v>4928100</v>
      </c>
      <c r="L11" s="138">
        <v>407000</v>
      </c>
      <c r="M11" s="138">
        <v>550000</v>
      </c>
      <c r="N11" s="138">
        <f t="shared" si="1"/>
        <v>1895462</v>
      </c>
      <c r="O11" s="138">
        <v>7780562</v>
      </c>
      <c r="P11" s="742">
        <v>7618201</v>
      </c>
      <c r="Q11" s="732">
        <f t="shared" si="6"/>
        <v>63662353</v>
      </c>
      <c r="R11" s="138">
        <v>1528993</v>
      </c>
      <c r="S11" s="138">
        <v>650000</v>
      </c>
      <c r="T11" s="138">
        <f t="shared" si="2"/>
        <v>-12784022</v>
      </c>
      <c r="U11" s="138">
        <f t="shared" si="5"/>
        <v>53057324</v>
      </c>
      <c r="V11" s="138">
        <f t="shared" si="3"/>
        <v>52894963</v>
      </c>
    </row>
    <row r="12" spans="1:22" s="132" customFormat="1" ht="13.5" customHeight="1" x14ac:dyDescent="0.2">
      <c r="A12" s="564"/>
      <c r="B12" s="136"/>
      <c r="C12" s="137" t="s">
        <v>256</v>
      </c>
      <c r="D12" s="137" t="str">
        <f>'2.1.Kiadások (KÖT, ÖNV, Áll.i)'!D14</f>
        <v>K34</v>
      </c>
      <c r="E12" s="138">
        <v>507000</v>
      </c>
      <c r="F12" s="138">
        <v>0</v>
      </c>
      <c r="G12" s="138">
        <v>0</v>
      </c>
      <c r="H12" s="138">
        <f t="shared" si="0"/>
        <v>-347235</v>
      </c>
      <c r="I12" s="138">
        <v>159765</v>
      </c>
      <c r="J12" s="728">
        <v>159765</v>
      </c>
      <c r="K12" s="741">
        <v>1330000</v>
      </c>
      <c r="L12" s="138">
        <v>0</v>
      </c>
      <c r="M12" s="138">
        <v>0</v>
      </c>
      <c r="N12" s="138">
        <f t="shared" si="1"/>
        <v>-132440</v>
      </c>
      <c r="O12" s="138">
        <v>1197560</v>
      </c>
      <c r="P12" s="742">
        <v>1163884</v>
      </c>
      <c r="Q12" s="732">
        <f t="shared" si="6"/>
        <v>1837000</v>
      </c>
      <c r="R12" s="138">
        <v>0</v>
      </c>
      <c r="S12" s="138">
        <v>0</v>
      </c>
      <c r="T12" s="138">
        <f t="shared" si="2"/>
        <v>-479675</v>
      </c>
      <c r="U12" s="138">
        <f t="shared" si="5"/>
        <v>1357325</v>
      </c>
      <c r="V12" s="138">
        <f t="shared" si="3"/>
        <v>1323649</v>
      </c>
    </row>
    <row r="13" spans="1:22" s="132" customFormat="1" ht="13.5" customHeight="1" x14ac:dyDescent="0.2">
      <c r="A13" s="564"/>
      <c r="B13" s="136"/>
      <c r="C13" s="137" t="s">
        <v>257</v>
      </c>
      <c r="D13" s="137" t="str">
        <f>'2.1.Kiadások (KÖT, ÖNV, Áll.i)'!D15</f>
        <v>K35</v>
      </c>
      <c r="E13" s="138">
        <f>22891939+14396417</f>
        <v>37288356</v>
      </c>
      <c r="F13" s="138">
        <v>0</v>
      </c>
      <c r="G13" s="138">
        <v>0</v>
      </c>
      <c r="H13" s="138">
        <f t="shared" si="0"/>
        <v>-24683135</v>
      </c>
      <c r="I13" s="138">
        <v>12605221</v>
      </c>
      <c r="J13" s="728">
        <v>12605221</v>
      </c>
      <c r="K13" s="741">
        <v>1171340</v>
      </c>
      <c r="L13" s="138">
        <v>0</v>
      </c>
      <c r="M13" s="138">
        <v>-317272</v>
      </c>
      <c r="N13" s="138">
        <f t="shared" si="1"/>
        <v>0</v>
      </c>
      <c r="O13" s="138">
        <v>854068</v>
      </c>
      <c r="P13" s="742">
        <v>730105</v>
      </c>
      <c r="Q13" s="732">
        <f t="shared" si="6"/>
        <v>38459696</v>
      </c>
      <c r="R13" s="138">
        <v>0</v>
      </c>
      <c r="S13" s="138">
        <v>-317272</v>
      </c>
      <c r="T13" s="138">
        <f t="shared" si="2"/>
        <v>-24683135</v>
      </c>
      <c r="U13" s="138">
        <f t="shared" si="5"/>
        <v>13459289</v>
      </c>
      <c r="V13" s="138">
        <f t="shared" si="3"/>
        <v>13335326</v>
      </c>
    </row>
    <row r="14" spans="1:22" s="135" customFormat="1" ht="19.5" customHeight="1" x14ac:dyDescent="0.2">
      <c r="A14" s="564"/>
      <c r="B14" s="617" t="s">
        <v>258</v>
      </c>
      <c r="C14" s="617"/>
      <c r="D14" s="247" t="str">
        <f>'2.1.Kiadások (KÖT, ÖNV, Áll.i)'!D16</f>
        <v>K3</v>
      </c>
      <c r="E14" s="158">
        <f t="shared" ref="E14:P14" si="7">SUM(E9:E13)</f>
        <v>104957017</v>
      </c>
      <c r="F14" s="158">
        <v>1121993</v>
      </c>
      <c r="G14" s="158">
        <v>100000</v>
      </c>
      <c r="H14" s="158">
        <f t="shared" si="0"/>
        <v>-40559769</v>
      </c>
      <c r="I14" s="158">
        <f t="shared" si="7"/>
        <v>65619241</v>
      </c>
      <c r="J14" s="757">
        <f t="shared" si="7"/>
        <v>65619241</v>
      </c>
      <c r="K14" s="745">
        <f t="shared" si="7"/>
        <v>10020160</v>
      </c>
      <c r="L14" s="158">
        <v>407000</v>
      </c>
      <c r="M14" s="158">
        <v>500000</v>
      </c>
      <c r="N14" s="158">
        <f t="shared" si="1"/>
        <v>1690114</v>
      </c>
      <c r="O14" s="158">
        <f t="shared" si="7"/>
        <v>12617274</v>
      </c>
      <c r="P14" s="746">
        <f t="shared" si="7"/>
        <v>12297274</v>
      </c>
      <c r="Q14" s="761">
        <f>E14+K14</f>
        <v>114977177</v>
      </c>
      <c r="R14" s="145">
        <v>1528993</v>
      </c>
      <c r="S14" s="145">
        <v>600000</v>
      </c>
      <c r="T14" s="145">
        <f t="shared" si="2"/>
        <v>-38869655</v>
      </c>
      <c r="U14" s="158">
        <f t="shared" si="5"/>
        <v>78236515</v>
      </c>
      <c r="V14" s="158">
        <f t="shared" si="3"/>
        <v>77916515</v>
      </c>
    </row>
    <row r="15" spans="1:22" s="135" customFormat="1" ht="25.5" customHeight="1" x14ac:dyDescent="0.2">
      <c r="A15" s="139" t="s">
        <v>39</v>
      </c>
      <c r="B15" s="617" t="s">
        <v>104</v>
      </c>
      <c r="C15" s="617"/>
      <c r="D15" s="247" t="str">
        <f>'2.1.Kiadások (KÖT, ÖNV, Áll.i)'!D17</f>
        <v>K4</v>
      </c>
      <c r="E15" s="158">
        <v>1400000</v>
      </c>
      <c r="F15" s="158">
        <v>0</v>
      </c>
      <c r="G15" s="158">
        <v>0</v>
      </c>
      <c r="H15" s="158">
        <f t="shared" si="0"/>
        <v>-573805</v>
      </c>
      <c r="I15" s="158">
        <v>826195</v>
      </c>
      <c r="J15" s="757">
        <v>826195</v>
      </c>
      <c r="K15" s="745">
        <v>0</v>
      </c>
      <c r="L15" s="158">
        <v>0</v>
      </c>
      <c r="M15" s="158">
        <v>0</v>
      </c>
      <c r="N15" s="158">
        <f t="shared" si="1"/>
        <v>0</v>
      </c>
      <c r="O15" s="158">
        <v>0</v>
      </c>
      <c r="P15" s="746">
        <v>0</v>
      </c>
      <c r="Q15" s="734">
        <f t="shared" ref="Q15:Q30" si="8">E15+K15</f>
        <v>1400000</v>
      </c>
      <c r="R15" s="158">
        <v>0</v>
      </c>
      <c r="S15" s="158">
        <v>0</v>
      </c>
      <c r="T15" s="158">
        <f t="shared" si="2"/>
        <v>-573805</v>
      </c>
      <c r="U15" s="158">
        <f t="shared" si="5"/>
        <v>826195</v>
      </c>
      <c r="V15" s="158">
        <f t="shared" si="3"/>
        <v>826195</v>
      </c>
    </row>
    <row r="16" spans="1:22" s="135" customFormat="1" ht="25.5" customHeight="1" x14ac:dyDescent="0.2">
      <c r="A16" s="139" t="s">
        <v>40</v>
      </c>
      <c r="B16" s="617" t="s">
        <v>259</v>
      </c>
      <c r="C16" s="617"/>
      <c r="D16" s="247" t="str">
        <f>'2.1.Kiadások (KÖT, ÖNV, Áll.i)'!D18</f>
        <v>K502</v>
      </c>
      <c r="E16" s="158">
        <v>5744100</v>
      </c>
      <c r="F16" s="158">
        <v>4350819</v>
      </c>
      <c r="G16" s="158">
        <v>0</v>
      </c>
      <c r="H16" s="158">
        <f t="shared" si="0"/>
        <v>0</v>
      </c>
      <c r="I16" s="158">
        <v>10094919</v>
      </c>
      <c r="J16" s="757">
        <v>10094919</v>
      </c>
      <c r="K16" s="745">
        <v>0</v>
      </c>
      <c r="L16" s="158">
        <v>0</v>
      </c>
      <c r="M16" s="158">
        <v>0</v>
      </c>
      <c r="N16" s="158">
        <f t="shared" si="1"/>
        <v>0</v>
      </c>
      <c r="O16" s="158">
        <v>0</v>
      </c>
      <c r="P16" s="746">
        <v>0</v>
      </c>
      <c r="Q16" s="761">
        <f t="shared" si="8"/>
        <v>5744100</v>
      </c>
      <c r="R16" s="145">
        <v>4350819</v>
      </c>
      <c r="S16" s="145">
        <v>0</v>
      </c>
      <c r="T16" s="145">
        <f t="shared" si="2"/>
        <v>0</v>
      </c>
      <c r="U16" s="158">
        <f t="shared" si="5"/>
        <v>10094919</v>
      </c>
      <c r="V16" s="158">
        <f t="shared" si="3"/>
        <v>10094919</v>
      </c>
    </row>
    <row r="17" spans="1:22" x14ac:dyDescent="0.2">
      <c r="A17" s="584" t="s">
        <v>45</v>
      </c>
      <c r="B17" s="136"/>
      <c r="C17" s="137" t="s">
        <v>260</v>
      </c>
      <c r="D17" s="137" t="str">
        <f>'2.1.Kiadások (KÖT, ÖNV, Áll.i)'!D19</f>
        <v>K506</v>
      </c>
      <c r="E17" s="138">
        <v>247363673</v>
      </c>
      <c r="F17" s="138">
        <v>0</v>
      </c>
      <c r="G17" s="138">
        <v>15000</v>
      </c>
      <c r="H17" s="138">
        <f t="shared" si="0"/>
        <v>-23324564</v>
      </c>
      <c r="I17" s="138">
        <v>224054109</v>
      </c>
      <c r="J17" s="728">
        <v>224054109</v>
      </c>
      <c r="K17" s="741">
        <v>941822</v>
      </c>
      <c r="L17" s="138">
        <v>0</v>
      </c>
      <c r="M17" s="138">
        <v>0</v>
      </c>
      <c r="N17" s="138">
        <f t="shared" si="1"/>
        <v>0</v>
      </c>
      <c r="O17" s="138">
        <v>941822</v>
      </c>
      <c r="P17" s="742">
        <v>941822</v>
      </c>
      <c r="Q17" s="732">
        <f t="shared" si="8"/>
        <v>248305495</v>
      </c>
      <c r="R17" s="138">
        <v>0</v>
      </c>
      <c r="S17" s="138">
        <v>15000</v>
      </c>
      <c r="T17" s="138">
        <f t="shared" si="2"/>
        <v>-23324564</v>
      </c>
      <c r="U17" s="138">
        <f t="shared" si="5"/>
        <v>224995931</v>
      </c>
      <c r="V17" s="138">
        <f t="shared" si="3"/>
        <v>224995931</v>
      </c>
    </row>
    <row r="18" spans="1:22" x14ac:dyDescent="0.2">
      <c r="A18" s="619"/>
      <c r="B18" s="136"/>
      <c r="C18" s="137" t="s">
        <v>261</v>
      </c>
      <c r="D18" s="137" t="str">
        <f>'2.1.Kiadások (KÖT, ÖNV, Áll.i)'!D20</f>
        <v>K512</v>
      </c>
      <c r="E18" s="138">
        <v>33629305</v>
      </c>
      <c r="F18" s="138">
        <v>75000</v>
      </c>
      <c r="G18" s="138">
        <v>240000</v>
      </c>
      <c r="H18" s="138">
        <f t="shared" si="0"/>
        <v>265895</v>
      </c>
      <c r="I18" s="138">
        <v>34210200</v>
      </c>
      <c r="J18" s="728">
        <v>34210200</v>
      </c>
      <c r="K18" s="741">
        <v>0</v>
      </c>
      <c r="L18" s="138">
        <v>0</v>
      </c>
      <c r="M18" s="138">
        <v>0</v>
      </c>
      <c r="N18" s="138">
        <f t="shared" si="1"/>
        <v>0</v>
      </c>
      <c r="O18" s="298"/>
      <c r="P18" s="763"/>
      <c r="Q18" s="732">
        <f t="shared" si="8"/>
        <v>33629305</v>
      </c>
      <c r="R18" s="138">
        <v>75000</v>
      </c>
      <c r="S18" s="138">
        <v>240000</v>
      </c>
      <c r="T18" s="138">
        <f t="shared" si="2"/>
        <v>265895</v>
      </c>
      <c r="U18" s="138">
        <f t="shared" si="5"/>
        <v>34210200</v>
      </c>
      <c r="V18" s="138">
        <f t="shared" si="3"/>
        <v>34210200</v>
      </c>
    </row>
    <row r="19" spans="1:22" ht="25.5" customHeight="1" x14ac:dyDescent="0.2">
      <c r="A19" s="583"/>
      <c r="B19" s="617" t="s">
        <v>262</v>
      </c>
      <c r="C19" s="617"/>
      <c r="D19" s="250" t="s">
        <v>414</v>
      </c>
      <c r="E19" s="158">
        <f>SUM(E17:E18)</f>
        <v>280992978</v>
      </c>
      <c r="F19" s="158">
        <v>75000</v>
      </c>
      <c r="G19" s="158">
        <v>255000</v>
      </c>
      <c r="H19" s="158">
        <f t="shared" si="0"/>
        <v>-23058669</v>
      </c>
      <c r="I19" s="158">
        <f>SUM(I17:I18)</f>
        <v>258264309</v>
      </c>
      <c r="J19" s="757">
        <f>SUM(J17:J18)</f>
        <v>258264309</v>
      </c>
      <c r="K19" s="745">
        <f t="shared" ref="K19:P19" si="9">SUM(K17:K18)</f>
        <v>941822</v>
      </c>
      <c r="L19" s="158">
        <v>0</v>
      </c>
      <c r="M19" s="158">
        <v>0</v>
      </c>
      <c r="N19" s="158">
        <f t="shared" si="1"/>
        <v>0</v>
      </c>
      <c r="O19" s="158">
        <f>SUM(O17:O18)</f>
        <v>941822</v>
      </c>
      <c r="P19" s="746">
        <f t="shared" si="9"/>
        <v>941822</v>
      </c>
      <c r="Q19" s="761">
        <f t="shared" si="8"/>
        <v>281934800</v>
      </c>
      <c r="R19" s="145">
        <v>75000</v>
      </c>
      <c r="S19" s="145">
        <v>255000</v>
      </c>
      <c r="T19" s="145">
        <f t="shared" si="2"/>
        <v>-23058669</v>
      </c>
      <c r="U19" s="158">
        <f t="shared" si="5"/>
        <v>259206131</v>
      </c>
      <c r="V19" s="158">
        <f t="shared" si="3"/>
        <v>259206131</v>
      </c>
    </row>
    <row r="20" spans="1:22" s="133" customFormat="1" ht="25.5" customHeight="1" x14ac:dyDescent="0.2">
      <c r="A20" s="139" t="s">
        <v>47</v>
      </c>
      <c r="B20" s="615" t="s">
        <v>470</v>
      </c>
      <c r="C20" s="616"/>
      <c r="D20" s="254" t="str">
        <f>'2.1.Kiadások (KÖT, ÖNV, Áll.i)'!D22</f>
        <v>K513</v>
      </c>
      <c r="E20" s="167">
        <f>5540754-494000+241672</f>
        <v>5288426</v>
      </c>
      <c r="F20" s="167">
        <v>8518220</v>
      </c>
      <c r="G20" s="167">
        <v>11341663</v>
      </c>
      <c r="H20" s="167">
        <f t="shared" si="0"/>
        <v>136444788</v>
      </c>
      <c r="I20" s="167">
        <v>161593097</v>
      </c>
      <c r="J20" s="758"/>
      <c r="K20" s="764">
        <v>0</v>
      </c>
      <c r="L20" s="168">
        <v>0</v>
      </c>
      <c r="M20" s="168">
        <v>0</v>
      </c>
      <c r="N20" s="168">
        <f t="shared" si="1"/>
        <v>0</v>
      </c>
      <c r="O20" s="306"/>
      <c r="P20" s="765"/>
      <c r="Q20" s="761">
        <f t="shared" si="8"/>
        <v>5288426</v>
      </c>
      <c r="R20" s="145">
        <v>8518220</v>
      </c>
      <c r="S20" s="145">
        <v>11341663</v>
      </c>
      <c r="T20" s="145">
        <f t="shared" si="2"/>
        <v>136444788</v>
      </c>
      <c r="U20" s="158">
        <f t="shared" si="5"/>
        <v>161593097</v>
      </c>
      <c r="V20" s="158">
        <f t="shared" si="3"/>
        <v>0</v>
      </c>
    </row>
    <row r="21" spans="1:22" s="150" customFormat="1" ht="19.5" customHeight="1" x14ac:dyDescent="0.2">
      <c r="A21" s="166" t="s">
        <v>48</v>
      </c>
      <c r="B21" s="617" t="s">
        <v>263</v>
      </c>
      <c r="C21" s="617"/>
      <c r="D21" s="247" t="str">
        <f>'2.1.Kiadások (KÖT, ÖNV, Áll.i)'!D23</f>
        <v>K6</v>
      </c>
      <c r="E21" s="158">
        <f>569009062+250000000-14396417+1</f>
        <v>804612646</v>
      </c>
      <c r="F21" s="158">
        <v>274610</v>
      </c>
      <c r="G21" s="158">
        <v>16025107</v>
      </c>
      <c r="H21" s="158">
        <f t="shared" si="0"/>
        <v>-751569559</v>
      </c>
      <c r="I21" s="158">
        <v>69342804</v>
      </c>
      <c r="J21" s="757">
        <v>65382309</v>
      </c>
      <c r="K21" s="745">
        <v>0</v>
      </c>
      <c r="L21" s="168">
        <v>0</v>
      </c>
      <c r="M21" s="168">
        <v>0</v>
      </c>
      <c r="N21" s="168">
        <f t="shared" si="1"/>
        <v>0</v>
      </c>
      <c r="O21" s="299"/>
      <c r="P21" s="766"/>
      <c r="Q21" s="761">
        <f t="shared" si="8"/>
        <v>804612646</v>
      </c>
      <c r="R21" s="145">
        <v>274610</v>
      </c>
      <c r="S21" s="145">
        <v>16025107</v>
      </c>
      <c r="T21" s="145">
        <f t="shared" si="2"/>
        <v>-751569559</v>
      </c>
      <c r="U21" s="158">
        <f t="shared" si="5"/>
        <v>69342804</v>
      </c>
      <c r="V21" s="158">
        <f t="shared" si="3"/>
        <v>65382309</v>
      </c>
    </row>
    <row r="22" spans="1:22" s="150" customFormat="1" ht="18.75" customHeight="1" x14ac:dyDescent="0.2">
      <c r="A22" s="166" t="s">
        <v>49</v>
      </c>
      <c r="B22" s="617" t="s">
        <v>149</v>
      </c>
      <c r="C22" s="617"/>
      <c r="D22" s="247" t="str">
        <f>'2.1.Kiadások (KÖT, ÖNV, Áll.i)'!D24</f>
        <v>K7</v>
      </c>
      <c r="E22" s="158">
        <f>123033605-1</f>
        <v>123033604</v>
      </c>
      <c r="F22" s="158">
        <v>0</v>
      </c>
      <c r="G22" s="158">
        <v>-6800787</v>
      </c>
      <c r="H22" s="158">
        <f t="shared" si="0"/>
        <v>-103877008</v>
      </c>
      <c r="I22" s="158">
        <v>12355809</v>
      </c>
      <c r="J22" s="757">
        <v>12355809</v>
      </c>
      <c r="K22" s="745">
        <v>0</v>
      </c>
      <c r="L22" s="168">
        <v>0</v>
      </c>
      <c r="M22" s="168">
        <v>0</v>
      </c>
      <c r="N22" s="168">
        <f t="shared" si="1"/>
        <v>0</v>
      </c>
      <c r="O22" s="299"/>
      <c r="P22" s="766"/>
      <c r="Q22" s="761">
        <f t="shared" si="8"/>
        <v>123033604</v>
      </c>
      <c r="R22" s="145">
        <v>0</v>
      </c>
      <c r="S22" s="145">
        <v>-6800787</v>
      </c>
      <c r="T22" s="145">
        <f t="shared" si="2"/>
        <v>-103877008</v>
      </c>
      <c r="U22" s="158">
        <f t="shared" si="5"/>
        <v>12355809</v>
      </c>
      <c r="V22" s="158">
        <f t="shared" si="3"/>
        <v>12355809</v>
      </c>
    </row>
    <row r="23" spans="1:22" ht="25.5" x14ac:dyDescent="0.2">
      <c r="A23" s="584" t="s">
        <v>50</v>
      </c>
      <c r="B23" s="136"/>
      <c r="C23" s="137" t="s">
        <v>264</v>
      </c>
      <c r="D23" s="137" t="str">
        <f>'2.1.Kiadások (KÖT, ÖNV, Áll.i)'!D25</f>
        <v>K84</v>
      </c>
      <c r="E23" s="138">
        <v>0</v>
      </c>
      <c r="F23" s="138">
        <v>1214532</v>
      </c>
      <c r="G23" s="138">
        <v>0</v>
      </c>
      <c r="H23" s="138">
        <f t="shared" si="0"/>
        <v>0</v>
      </c>
      <c r="I23" s="138">
        <v>1214532</v>
      </c>
      <c r="J23" s="728">
        <v>1214532</v>
      </c>
      <c r="K23" s="741">
        <v>0</v>
      </c>
      <c r="L23" s="138">
        <v>0</v>
      </c>
      <c r="M23" s="138">
        <v>0</v>
      </c>
      <c r="N23" s="138">
        <f t="shared" si="1"/>
        <v>0</v>
      </c>
      <c r="O23" s="298"/>
      <c r="P23" s="763"/>
      <c r="Q23" s="732">
        <f t="shared" si="8"/>
        <v>0</v>
      </c>
      <c r="R23" s="138">
        <v>1214532</v>
      </c>
      <c r="S23" s="138">
        <v>0</v>
      </c>
      <c r="T23" s="138">
        <f t="shared" si="2"/>
        <v>0</v>
      </c>
      <c r="U23" s="138">
        <f t="shared" si="5"/>
        <v>1214532</v>
      </c>
      <c r="V23" s="138">
        <f t="shared" si="3"/>
        <v>1214532</v>
      </c>
    </row>
    <row r="24" spans="1:22" ht="25.5" x14ac:dyDescent="0.2">
      <c r="A24" s="621"/>
      <c r="B24" s="136"/>
      <c r="C24" s="137" t="s">
        <v>265</v>
      </c>
      <c r="D24" s="137" t="str">
        <f>'2.1.Kiadások (KÖT, ÖNV, Áll.i)'!D26</f>
        <v>K86</v>
      </c>
      <c r="E24" s="138">
        <v>2000000</v>
      </c>
      <c r="F24" s="138">
        <v>0</v>
      </c>
      <c r="G24" s="138">
        <v>0</v>
      </c>
      <c r="H24" s="138">
        <f t="shared" si="0"/>
        <v>-2000000</v>
      </c>
      <c r="I24" s="138">
        <v>0</v>
      </c>
      <c r="J24" s="728"/>
      <c r="K24" s="741">
        <v>0</v>
      </c>
      <c r="L24" s="138">
        <v>0</v>
      </c>
      <c r="M24" s="138">
        <v>0</v>
      </c>
      <c r="N24" s="138">
        <f t="shared" si="1"/>
        <v>0</v>
      </c>
      <c r="O24" s="298"/>
      <c r="P24" s="763"/>
      <c r="Q24" s="732">
        <f t="shared" si="8"/>
        <v>2000000</v>
      </c>
      <c r="R24" s="138">
        <v>0</v>
      </c>
      <c r="S24" s="138">
        <v>0</v>
      </c>
      <c r="T24" s="138">
        <f t="shared" si="2"/>
        <v>-2000000</v>
      </c>
      <c r="U24" s="138">
        <f t="shared" si="5"/>
        <v>0</v>
      </c>
      <c r="V24" s="138">
        <f t="shared" si="3"/>
        <v>0</v>
      </c>
    </row>
    <row r="25" spans="1:22" x14ac:dyDescent="0.2">
      <c r="A25" s="621"/>
      <c r="B25" s="136"/>
      <c r="C25" s="137" t="s">
        <v>266</v>
      </c>
      <c r="D25" s="137" t="str">
        <f>'2.1.Kiadások (KÖT, ÖNV, Áll.i)'!D27</f>
        <v>K89</v>
      </c>
      <c r="E25" s="138">
        <v>0</v>
      </c>
      <c r="F25" s="138">
        <v>0</v>
      </c>
      <c r="G25" s="138">
        <v>0</v>
      </c>
      <c r="H25" s="138">
        <f t="shared" si="0"/>
        <v>11000000</v>
      </c>
      <c r="I25" s="138">
        <v>11000000</v>
      </c>
      <c r="J25" s="728">
        <v>11000000</v>
      </c>
      <c r="K25" s="741">
        <v>0</v>
      </c>
      <c r="L25" s="138">
        <v>0</v>
      </c>
      <c r="M25" s="138">
        <v>0</v>
      </c>
      <c r="N25" s="138">
        <f t="shared" si="1"/>
        <v>0</v>
      </c>
      <c r="O25" s="298"/>
      <c r="P25" s="763"/>
      <c r="Q25" s="732">
        <f t="shared" si="8"/>
        <v>0</v>
      </c>
      <c r="R25" s="138">
        <v>0</v>
      </c>
      <c r="S25" s="138">
        <v>0</v>
      </c>
      <c r="T25" s="138">
        <f t="shared" si="2"/>
        <v>11000000</v>
      </c>
      <c r="U25" s="138">
        <f t="shared" si="5"/>
        <v>11000000</v>
      </c>
      <c r="V25" s="138">
        <f t="shared" si="3"/>
        <v>11000000</v>
      </c>
    </row>
    <row r="26" spans="1:22" s="135" customFormat="1" ht="25.5" customHeight="1" x14ac:dyDescent="0.2">
      <c r="A26" s="622"/>
      <c r="B26" s="617" t="s">
        <v>267</v>
      </c>
      <c r="C26" s="617"/>
      <c r="D26" s="247" t="str">
        <f>'2.1.Kiadások (KÖT, ÖNV, Áll.i)'!D28</f>
        <v>K8</v>
      </c>
      <c r="E26" s="158">
        <f t="shared" ref="E26:K26" si="10">SUM(E23:E25)</f>
        <v>2000000</v>
      </c>
      <c r="F26" s="158">
        <v>1214532</v>
      </c>
      <c r="G26" s="158">
        <v>0</v>
      </c>
      <c r="H26" s="158">
        <f t="shared" si="0"/>
        <v>9000000</v>
      </c>
      <c r="I26" s="158">
        <f t="shared" si="10"/>
        <v>12214532</v>
      </c>
      <c r="J26" s="757">
        <f t="shared" si="10"/>
        <v>12214532</v>
      </c>
      <c r="K26" s="745">
        <f t="shared" si="10"/>
        <v>0</v>
      </c>
      <c r="L26" s="158">
        <v>0</v>
      </c>
      <c r="M26" s="158">
        <v>0</v>
      </c>
      <c r="N26" s="158">
        <f t="shared" si="1"/>
        <v>0</v>
      </c>
      <c r="O26" s="299"/>
      <c r="P26" s="766"/>
      <c r="Q26" s="761">
        <f t="shared" si="8"/>
        <v>2000000</v>
      </c>
      <c r="R26" s="145">
        <v>1214532</v>
      </c>
      <c r="S26" s="145">
        <v>0</v>
      </c>
      <c r="T26" s="145">
        <f t="shared" si="2"/>
        <v>9000000</v>
      </c>
      <c r="U26" s="158">
        <f t="shared" si="5"/>
        <v>12214532</v>
      </c>
      <c r="V26" s="158">
        <f t="shared" si="3"/>
        <v>12214532</v>
      </c>
    </row>
    <row r="27" spans="1:22" s="135" customFormat="1" ht="25.5" customHeight="1" x14ac:dyDescent="0.2">
      <c r="A27" s="626" t="s">
        <v>268</v>
      </c>
      <c r="B27" s="626"/>
      <c r="C27" s="626"/>
      <c r="D27" s="246" t="str">
        <f>'2.1.Kiadások (KÖT, ÖNV, Áll.i)'!D29</f>
        <v>K1-K8</v>
      </c>
      <c r="E27" s="160">
        <f t="shared" ref="E27:V27" si="11">E7+E8+E14+E15+E16+E19+E21+E22+E26+E20</f>
        <v>1388459423</v>
      </c>
      <c r="F27" s="160">
        <v>17260974</v>
      </c>
      <c r="G27" s="160">
        <v>20819259</v>
      </c>
      <c r="H27" s="160">
        <f t="shared" si="0"/>
        <v>-783105320</v>
      </c>
      <c r="I27" s="160">
        <f t="shared" si="11"/>
        <v>643434336</v>
      </c>
      <c r="J27" s="759">
        <f t="shared" si="11"/>
        <v>477880744</v>
      </c>
      <c r="K27" s="749">
        <f t="shared" si="11"/>
        <v>108468736</v>
      </c>
      <c r="L27" s="160">
        <v>407000</v>
      </c>
      <c r="M27" s="301">
        <v>0</v>
      </c>
      <c r="N27" s="301">
        <f t="shared" si="1"/>
        <v>1173700</v>
      </c>
      <c r="O27" s="160">
        <f t="shared" si="11"/>
        <v>110049436</v>
      </c>
      <c r="P27" s="750">
        <f t="shared" si="11"/>
        <v>109729436</v>
      </c>
      <c r="Q27" s="771">
        <f t="shared" si="11"/>
        <v>1496928159</v>
      </c>
      <c r="R27" s="772">
        <v>17667974</v>
      </c>
      <c r="S27" s="772">
        <v>20819259</v>
      </c>
      <c r="T27" s="772">
        <f t="shared" si="2"/>
        <v>-781931620</v>
      </c>
      <c r="U27" s="770">
        <f t="shared" si="11"/>
        <v>753483772</v>
      </c>
      <c r="V27" s="770">
        <f t="shared" si="11"/>
        <v>587610180</v>
      </c>
    </row>
    <row r="28" spans="1:22" x14ac:dyDescent="0.2">
      <c r="A28" s="584" t="s">
        <v>23</v>
      </c>
      <c r="B28" s="136"/>
      <c r="C28" s="137" t="s">
        <v>271</v>
      </c>
      <c r="D28" s="137" t="str">
        <f>'2.1.Kiadások (KÖT, ÖNV, Áll.i)'!D30</f>
        <v>K914</v>
      </c>
      <c r="E28" s="138">
        <v>11319727</v>
      </c>
      <c r="F28" s="138">
        <v>0</v>
      </c>
      <c r="G28" s="138">
        <v>0</v>
      </c>
      <c r="H28" s="138">
        <f t="shared" si="0"/>
        <v>0</v>
      </c>
      <c r="I28" s="138">
        <v>11319727</v>
      </c>
      <c r="J28" s="728">
        <v>11319727</v>
      </c>
      <c r="K28" s="741">
        <v>0</v>
      </c>
      <c r="L28" s="138">
        <v>0</v>
      </c>
      <c r="M28" s="138">
        <v>0</v>
      </c>
      <c r="N28" s="138">
        <f t="shared" si="1"/>
        <v>0</v>
      </c>
      <c r="O28" s="298"/>
      <c r="P28" s="763"/>
      <c r="Q28" s="732">
        <f t="shared" si="8"/>
        <v>11319727</v>
      </c>
      <c r="R28" s="138">
        <v>0</v>
      </c>
      <c r="S28" s="138">
        <v>0</v>
      </c>
      <c r="T28" s="138">
        <f t="shared" si="2"/>
        <v>0</v>
      </c>
      <c r="U28" s="138">
        <f>I28+O28</f>
        <v>11319727</v>
      </c>
      <c r="V28" s="138">
        <f>J28+P28</f>
        <v>11319727</v>
      </c>
    </row>
    <row r="29" spans="1:22" x14ac:dyDescent="0.2">
      <c r="A29" s="583"/>
      <c r="B29" s="136"/>
      <c r="C29" s="137" t="s">
        <v>272</v>
      </c>
      <c r="D29" s="137" t="str">
        <f>'2.1.Kiadások (KÖT, ÖNV, Áll.i)'!D31</f>
        <v>K915</v>
      </c>
      <c r="E29" s="138">
        <v>105524914</v>
      </c>
      <c r="F29" s="138">
        <v>0</v>
      </c>
      <c r="G29" s="138">
        <v>0</v>
      </c>
      <c r="H29" s="138">
        <f t="shared" si="0"/>
        <v>-717191</v>
      </c>
      <c r="I29" s="138">
        <v>104807723</v>
      </c>
      <c r="J29" s="728">
        <v>104807723</v>
      </c>
      <c r="K29" s="741">
        <v>0</v>
      </c>
      <c r="L29" s="138">
        <v>0</v>
      </c>
      <c r="M29" s="138">
        <v>0</v>
      </c>
      <c r="N29" s="138">
        <f t="shared" si="1"/>
        <v>0</v>
      </c>
      <c r="O29" s="298"/>
      <c r="P29" s="763"/>
      <c r="Q29" s="732">
        <f t="shared" si="8"/>
        <v>105524914</v>
      </c>
      <c r="R29" s="138">
        <v>0</v>
      </c>
      <c r="S29" s="138">
        <v>0</v>
      </c>
      <c r="T29" s="138">
        <f t="shared" si="2"/>
        <v>-717191</v>
      </c>
      <c r="U29" s="138">
        <f>I29+O29</f>
        <v>104807723</v>
      </c>
      <c r="V29" s="138">
        <f>J29+P29</f>
        <v>104807723</v>
      </c>
    </row>
    <row r="30" spans="1:22" s="135" customFormat="1" ht="22.5" customHeight="1" x14ac:dyDescent="0.2">
      <c r="A30" s="623" t="s">
        <v>269</v>
      </c>
      <c r="B30" s="624"/>
      <c r="C30" s="625"/>
      <c r="D30" s="253" t="str">
        <f>'2.1.Kiadások (KÖT, ÖNV, Áll.i)'!D32</f>
        <v>K9</v>
      </c>
      <c r="E30" s="160">
        <f t="shared" ref="E30:P30" si="12">SUM(E28:E29)</f>
        <v>116844641</v>
      </c>
      <c r="F30" s="160">
        <v>0</v>
      </c>
      <c r="G30" s="160">
        <v>0</v>
      </c>
      <c r="H30" s="160">
        <f t="shared" si="0"/>
        <v>-717191</v>
      </c>
      <c r="I30" s="160">
        <f t="shared" si="12"/>
        <v>116127450</v>
      </c>
      <c r="J30" s="759">
        <f t="shared" si="12"/>
        <v>116127450</v>
      </c>
      <c r="K30" s="749">
        <f t="shared" si="12"/>
        <v>0</v>
      </c>
      <c r="L30" s="160">
        <v>0</v>
      </c>
      <c r="M30" s="160">
        <v>0</v>
      </c>
      <c r="N30" s="160">
        <f t="shared" si="1"/>
        <v>0</v>
      </c>
      <c r="O30" s="160">
        <f t="shared" si="12"/>
        <v>0</v>
      </c>
      <c r="P30" s="750">
        <f t="shared" si="12"/>
        <v>0</v>
      </c>
      <c r="Q30" s="771">
        <f t="shared" si="8"/>
        <v>116844641</v>
      </c>
      <c r="R30" s="772">
        <v>0</v>
      </c>
      <c r="S30" s="772">
        <v>0</v>
      </c>
      <c r="T30" s="772">
        <f t="shared" si="2"/>
        <v>-717191</v>
      </c>
      <c r="U30" s="770">
        <f t="shared" ref="U30" si="13">I30+O30</f>
        <v>116127450</v>
      </c>
      <c r="V30" s="770">
        <f>J30+P30</f>
        <v>116127450</v>
      </c>
    </row>
    <row r="31" spans="1:22" s="131" customFormat="1" ht="22.5" customHeight="1" x14ac:dyDescent="0.2">
      <c r="A31" s="620" t="s">
        <v>270</v>
      </c>
      <c r="B31" s="620"/>
      <c r="C31" s="620"/>
      <c r="D31" s="252"/>
      <c r="E31" s="146">
        <f t="shared" ref="E31:V31" si="14">E27+E30</f>
        <v>1505304064</v>
      </c>
      <c r="F31" s="146">
        <v>17260974</v>
      </c>
      <c r="G31" s="146">
        <v>20819259</v>
      </c>
      <c r="H31" s="146">
        <f t="shared" si="0"/>
        <v>-783822511</v>
      </c>
      <c r="I31" s="146">
        <f t="shared" si="14"/>
        <v>759561786</v>
      </c>
      <c r="J31" s="760">
        <f t="shared" si="14"/>
        <v>594008194</v>
      </c>
      <c r="K31" s="767">
        <f t="shared" si="14"/>
        <v>108468736</v>
      </c>
      <c r="L31" s="146">
        <v>407000</v>
      </c>
      <c r="M31" s="146">
        <v>0</v>
      </c>
      <c r="N31" s="146">
        <f t="shared" si="1"/>
        <v>1173700</v>
      </c>
      <c r="O31" s="146">
        <f t="shared" si="14"/>
        <v>110049436</v>
      </c>
      <c r="P31" s="768">
        <f t="shared" si="14"/>
        <v>109729436</v>
      </c>
      <c r="Q31" s="762">
        <f t="shared" si="14"/>
        <v>1613772800</v>
      </c>
      <c r="R31" s="146">
        <v>17667974</v>
      </c>
      <c r="S31" s="146">
        <v>20819259</v>
      </c>
      <c r="T31" s="146">
        <f t="shared" si="2"/>
        <v>-782648811</v>
      </c>
      <c r="U31" s="146">
        <f t="shared" si="14"/>
        <v>869611222</v>
      </c>
      <c r="V31" s="146">
        <f t="shared" si="14"/>
        <v>703737630</v>
      </c>
    </row>
  </sheetData>
  <mergeCells count="25">
    <mergeCell ref="K3:P3"/>
    <mergeCell ref="Q3:V3"/>
    <mergeCell ref="A1:V1"/>
    <mergeCell ref="A2:U2"/>
    <mergeCell ref="A31:C31"/>
    <mergeCell ref="B26:C26"/>
    <mergeCell ref="B21:C21"/>
    <mergeCell ref="B22:C22"/>
    <mergeCell ref="A23:A26"/>
    <mergeCell ref="A28:A29"/>
    <mergeCell ref="A30:C30"/>
    <mergeCell ref="A27:C27"/>
    <mergeCell ref="B20:C20"/>
    <mergeCell ref="A3:C4"/>
    <mergeCell ref="B7:C7"/>
    <mergeCell ref="B8:C8"/>
    <mergeCell ref="A5:A7"/>
    <mergeCell ref="B19:C19"/>
    <mergeCell ref="A17:A19"/>
    <mergeCell ref="B14:C14"/>
    <mergeCell ref="A9:A14"/>
    <mergeCell ref="B15:C15"/>
    <mergeCell ref="B16:C16"/>
    <mergeCell ref="D3:D4"/>
    <mergeCell ref="E3:J3"/>
  </mergeCells>
  <phoneticPr fontId="0" type="noConversion"/>
  <printOptions horizontalCentered="1"/>
  <pageMargins left="0.7" right="0.7" top="0.75" bottom="0.75" header="0.3" footer="0.3"/>
  <pageSetup paperSize="9" scale="41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F431-DE55-4F33-9B6C-CF11EECC6960}">
  <sheetPr>
    <pageSetUpPr fitToPage="1"/>
  </sheetPr>
  <dimension ref="A1:Z39"/>
  <sheetViews>
    <sheetView topLeftCell="A10" zoomScaleNormal="100" workbookViewId="0">
      <selection activeCell="AB13" sqref="AB13"/>
    </sheetView>
  </sheetViews>
  <sheetFormatPr defaultRowHeight="12.75" x14ac:dyDescent="0.2"/>
  <cols>
    <col min="1" max="1" width="3.5703125" style="515" bestFit="1" customWidth="1"/>
    <col min="2" max="2" width="2.85546875" style="515" customWidth="1"/>
    <col min="3" max="3" width="51.140625" style="515" bestFit="1" customWidth="1"/>
    <col min="4" max="4" width="6.140625" style="515" bestFit="1" customWidth="1"/>
    <col min="5" max="5" width="12.7109375" style="515" bestFit="1" customWidth="1"/>
    <col min="6" max="7" width="10.140625" style="515" bestFit="1" customWidth="1"/>
    <col min="8" max="8" width="11.7109375" style="515" bestFit="1" customWidth="1"/>
    <col min="9" max="9" width="12" style="515" bestFit="1" customWidth="1"/>
    <col min="10" max="11" width="8.140625" style="515" bestFit="1" customWidth="1"/>
    <col min="12" max="12" width="9.7109375" style="515" bestFit="1" customWidth="1"/>
    <col min="13" max="13" width="11.7109375" style="515" bestFit="1" customWidth="1"/>
    <col min="14" max="14" width="10.140625" style="515" bestFit="1" customWidth="1"/>
    <col min="15" max="15" width="9.7109375" style="515" bestFit="1" customWidth="1"/>
    <col min="16" max="16" width="8.5703125" style="515" bestFit="1" customWidth="1"/>
    <col min="17" max="17" width="9.7109375" style="515" bestFit="1" customWidth="1"/>
    <col min="18" max="18" width="10" style="515" customWidth="1"/>
    <col min="19" max="19" width="7.5703125" style="515" bestFit="1" customWidth="1"/>
    <col min="20" max="20" width="8" style="515" bestFit="1" customWidth="1"/>
    <col min="21" max="21" width="9.140625" style="515" bestFit="1" customWidth="1"/>
    <col min="22" max="22" width="10.140625" style="515" bestFit="1" customWidth="1"/>
    <col min="23" max="23" width="7" style="515" customWidth="1"/>
    <col min="24" max="24" width="9.42578125" style="515" customWidth="1"/>
    <col min="25" max="25" width="9.42578125" style="515" bestFit="1" customWidth="1"/>
    <col min="26" max="26" width="13.140625" style="515" bestFit="1" customWidth="1"/>
    <col min="27" max="16384" width="9.140625" style="515"/>
  </cols>
  <sheetData>
    <row r="1" spans="1:26" ht="21.75" customHeight="1" x14ac:dyDescent="0.2">
      <c r="A1" s="596" t="s">
        <v>452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</row>
    <row r="2" spans="1:26" ht="21" customHeight="1" x14ac:dyDescent="0.2">
      <c r="A2" s="614" t="s">
        <v>101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514" t="s">
        <v>375</v>
      </c>
    </row>
    <row r="3" spans="1:26" ht="28.5" customHeight="1" x14ac:dyDescent="0.2">
      <c r="A3" s="597" t="s">
        <v>35</v>
      </c>
      <c r="B3" s="598"/>
      <c r="C3" s="599"/>
      <c r="D3" s="606" t="s">
        <v>307</v>
      </c>
      <c r="E3" s="609" t="s">
        <v>366</v>
      </c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</row>
    <row r="4" spans="1:26" ht="20.25" customHeight="1" x14ac:dyDescent="0.2">
      <c r="A4" s="600"/>
      <c r="B4" s="601"/>
      <c r="C4" s="602"/>
      <c r="D4" s="607"/>
      <c r="E4" s="593" t="s">
        <v>308</v>
      </c>
      <c r="F4" s="594"/>
      <c r="G4" s="594"/>
      <c r="H4" s="594"/>
      <c r="I4" s="594"/>
      <c r="J4" s="594"/>
      <c r="K4" s="594"/>
      <c r="L4" s="595"/>
      <c r="M4" s="606" t="s">
        <v>198</v>
      </c>
      <c r="N4" s="593" t="s">
        <v>309</v>
      </c>
      <c r="O4" s="594"/>
      <c r="P4" s="594"/>
      <c r="Q4" s="594"/>
      <c r="R4" s="594"/>
      <c r="S4" s="594"/>
      <c r="T4" s="594"/>
      <c r="U4" s="595"/>
      <c r="V4" s="606" t="s">
        <v>198</v>
      </c>
      <c r="W4" s="593" t="s">
        <v>471</v>
      </c>
      <c r="X4" s="594"/>
      <c r="Y4" s="606" t="s">
        <v>198</v>
      </c>
      <c r="Z4" s="612" t="s">
        <v>98</v>
      </c>
    </row>
    <row r="5" spans="1:26" ht="21.75" customHeight="1" x14ac:dyDescent="0.2">
      <c r="A5" s="603"/>
      <c r="B5" s="604"/>
      <c r="C5" s="605"/>
      <c r="D5" s="608"/>
      <c r="E5" s="516" t="s">
        <v>199</v>
      </c>
      <c r="F5" s="516" t="s">
        <v>430</v>
      </c>
      <c r="G5" s="516" t="s">
        <v>446</v>
      </c>
      <c r="H5" s="516" t="s">
        <v>463</v>
      </c>
      <c r="I5" s="516" t="s">
        <v>276</v>
      </c>
      <c r="J5" s="516" t="s">
        <v>430</v>
      </c>
      <c r="K5" s="516" t="s">
        <v>446</v>
      </c>
      <c r="L5" s="516" t="s">
        <v>468</v>
      </c>
      <c r="M5" s="608"/>
      <c r="N5" s="516" t="s">
        <v>199</v>
      </c>
      <c r="O5" s="516" t="s">
        <v>430</v>
      </c>
      <c r="P5" s="516" t="s">
        <v>447</v>
      </c>
      <c r="Q5" s="516" t="s">
        <v>463</v>
      </c>
      <c r="R5" s="516" t="s">
        <v>276</v>
      </c>
      <c r="S5" s="516" t="s">
        <v>430</v>
      </c>
      <c r="T5" s="516" t="s">
        <v>446</v>
      </c>
      <c r="U5" s="516" t="s">
        <v>468</v>
      </c>
      <c r="V5" s="608"/>
      <c r="W5" s="516" t="s">
        <v>199</v>
      </c>
      <c r="X5" s="516" t="s">
        <v>276</v>
      </c>
      <c r="Y5" s="608"/>
      <c r="Z5" s="613"/>
    </row>
    <row r="6" spans="1:26" ht="16.5" customHeight="1" x14ac:dyDescent="0.2">
      <c r="A6" s="587" t="s">
        <v>36</v>
      </c>
      <c r="B6" s="521"/>
      <c r="C6" s="513" t="s">
        <v>250</v>
      </c>
      <c r="D6" s="513" t="s">
        <v>341</v>
      </c>
      <c r="E6" s="292">
        <f>'2. Kiadások'!E5</f>
        <v>32734051</v>
      </c>
      <c r="F6" s="292">
        <v>1808201</v>
      </c>
      <c r="G6" s="292">
        <v>332500</v>
      </c>
      <c r="H6" s="292">
        <v>-4131813</v>
      </c>
      <c r="I6" s="292">
        <f>'2. Kiadások'!K5</f>
        <v>81710304</v>
      </c>
      <c r="J6" s="292">
        <v>299601</v>
      </c>
      <c r="K6" s="292">
        <v>-500000</v>
      </c>
      <c r="L6" s="292">
        <v>1459501</v>
      </c>
      <c r="M6" s="292">
        <f>SUM(E6:L6)</f>
        <v>113712345</v>
      </c>
      <c r="N6" s="519">
        <v>0</v>
      </c>
      <c r="O6" s="519">
        <v>0</v>
      </c>
      <c r="P6" s="519">
        <v>0</v>
      </c>
      <c r="Q6" s="519">
        <v>0</v>
      </c>
      <c r="R6" s="519">
        <v>0</v>
      </c>
      <c r="S6" s="519">
        <v>0</v>
      </c>
      <c r="T6" s="519">
        <v>0</v>
      </c>
      <c r="U6" s="519">
        <v>0</v>
      </c>
      <c r="V6" s="292">
        <f>SUM(N6:R6)</f>
        <v>0</v>
      </c>
      <c r="W6" s="519">
        <v>0</v>
      </c>
      <c r="X6" s="519">
        <v>0</v>
      </c>
      <c r="Y6" s="292">
        <f>SUM(W6:X6)</f>
        <v>0</v>
      </c>
      <c r="Z6" s="292">
        <f>M6+V6+Y6</f>
        <v>113712345</v>
      </c>
    </row>
    <row r="7" spans="1:26" ht="16.5" customHeight="1" x14ac:dyDescent="0.2">
      <c r="A7" s="587"/>
      <c r="B7" s="521"/>
      <c r="C7" s="513" t="s">
        <v>251</v>
      </c>
      <c r="D7" s="513" t="s">
        <v>342</v>
      </c>
      <c r="E7" s="292">
        <f>'2. Kiadások'!E6</f>
        <v>18853081</v>
      </c>
      <c r="F7" s="292">
        <v>-63830</v>
      </c>
      <c r="G7" s="292">
        <v>-677256</v>
      </c>
      <c r="H7" s="292">
        <v>-2852033</v>
      </c>
      <c r="I7" s="292">
        <f>'2. Kiadások'!K6</f>
        <v>1100000</v>
      </c>
      <c r="J7" s="292">
        <v>0</v>
      </c>
      <c r="K7" s="292">
        <v>0</v>
      </c>
      <c r="L7" s="292">
        <v>-1017360</v>
      </c>
      <c r="M7" s="292">
        <f>SUM(E7:L7)</f>
        <v>15342602</v>
      </c>
      <c r="N7" s="519">
        <v>0</v>
      </c>
      <c r="O7" s="519">
        <v>0</v>
      </c>
      <c r="P7" s="519">
        <v>0</v>
      </c>
      <c r="Q7" s="519">
        <v>0</v>
      </c>
      <c r="R7" s="519">
        <v>0</v>
      </c>
      <c r="S7" s="519">
        <v>0</v>
      </c>
      <c r="T7" s="519">
        <v>0</v>
      </c>
      <c r="U7" s="519">
        <v>0</v>
      </c>
      <c r="V7" s="292">
        <f>SUM(N7:R7)</f>
        <v>0</v>
      </c>
      <c r="W7" s="519">
        <v>0</v>
      </c>
      <c r="X7" s="519">
        <v>0</v>
      </c>
      <c r="Y7" s="292">
        <f>SUM(W7:X7)</f>
        <v>0</v>
      </c>
      <c r="Z7" s="292">
        <f>M7+V7+Y7</f>
        <v>15342602</v>
      </c>
    </row>
    <row r="8" spans="1:26" s="528" customFormat="1" ht="21.75" customHeight="1" x14ac:dyDescent="0.2">
      <c r="A8" s="587"/>
      <c r="B8" s="592" t="s">
        <v>249</v>
      </c>
      <c r="C8" s="592"/>
      <c r="D8" s="527" t="s">
        <v>343</v>
      </c>
      <c r="E8" s="300">
        <f t="shared" ref="E8:L8" si="0">SUM(E6:E7)</f>
        <v>51587132</v>
      </c>
      <c r="F8" s="300">
        <f t="shared" si="0"/>
        <v>1744371</v>
      </c>
      <c r="G8" s="300">
        <f t="shared" si="0"/>
        <v>-344756</v>
      </c>
      <c r="H8" s="300">
        <v>-6983846</v>
      </c>
      <c r="I8" s="300">
        <f t="shared" si="0"/>
        <v>82810304</v>
      </c>
      <c r="J8" s="300">
        <f t="shared" si="0"/>
        <v>299601</v>
      </c>
      <c r="K8" s="300">
        <f t="shared" si="0"/>
        <v>-500000</v>
      </c>
      <c r="L8" s="300">
        <f t="shared" si="0"/>
        <v>442141</v>
      </c>
      <c r="M8" s="300">
        <f>SUM(M6:M7)</f>
        <v>129054947</v>
      </c>
      <c r="N8" s="300">
        <f t="shared" ref="N8:Z8" si="1">SUM(N6:N7)</f>
        <v>0</v>
      </c>
      <c r="O8" s="300">
        <v>0</v>
      </c>
      <c r="P8" s="300">
        <v>0</v>
      </c>
      <c r="Q8" s="300">
        <v>0</v>
      </c>
      <c r="R8" s="300">
        <f t="shared" si="1"/>
        <v>0</v>
      </c>
      <c r="S8" s="300">
        <f t="shared" ref="S8:U8" si="2">SUM(S6:S7)</f>
        <v>0</v>
      </c>
      <c r="T8" s="300">
        <f t="shared" si="2"/>
        <v>0</v>
      </c>
      <c r="U8" s="300">
        <f t="shared" si="2"/>
        <v>0</v>
      </c>
      <c r="V8" s="300">
        <f>SUM(V6:V7)</f>
        <v>0</v>
      </c>
      <c r="W8" s="300">
        <f t="shared" si="1"/>
        <v>0</v>
      </c>
      <c r="X8" s="300">
        <f t="shared" si="1"/>
        <v>0</v>
      </c>
      <c r="Y8" s="300">
        <f>SUM(Y6:Y7)</f>
        <v>0</v>
      </c>
      <c r="Z8" s="300">
        <f t="shared" si="1"/>
        <v>129054947</v>
      </c>
    </row>
    <row r="9" spans="1:26" s="528" customFormat="1" ht="22.5" customHeight="1" x14ac:dyDescent="0.2">
      <c r="A9" s="545" t="s">
        <v>37</v>
      </c>
      <c r="B9" s="592" t="s">
        <v>252</v>
      </c>
      <c r="C9" s="592"/>
      <c r="D9" s="527" t="s">
        <v>344</v>
      </c>
      <c r="E9" s="300">
        <f>'2. Kiadások'!E8</f>
        <v>8843520</v>
      </c>
      <c r="F9" s="300">
        <v>-38571</v>
      </c>
      <c r="G9" s="300">
        <v>243032</v>
      </c>
      <c r="H9" s="300">
        <v>-1927452</v>
      </c>
      <c r="I9" s="300">
        <f>'2. Kiadások'!K8</f>
        <v>14696450</v>
      </c>
      <c r="J9" s="300">
        <v>-299601</v>
      </c>
      <c r="K9" s="300">
        <v>0</v>
      </c>
      <c r="L9" s="300">
        <v>-958555</v>
      </c>
      <c r="M9" s="300">
        <f>SUM(E9:L9)</f>
        <v>20558823</v>
      </c>
      <c r="N9" s="300">
        <v>0</v>
      </c>
      <c r="O9" s="300">
        <v>0</v>
      </c>
      <c r="P9" s="300">
        <v>0</v>
      </c>
      <c r="Q9" s="300">
        <v>0</v>
      </c>
      <c r="R9" s="300">
        <v>0</v>
      </c>
      <c r="S9" s="300">
        <v>0</v>
      </c>
      <c r="T9" s="300">
        <v>0</v>
      </c>
      <c r="U9" s="300">
        <v>0</v>
      </c>
      <c r="V9" s="300">
        <f t="shared" ref="V9:V11" si="3">SUM(N9:R9)</f>
        <v>0</v>
      </c>
      <c r="W9" s="300">
        <v>0</v>
      </c>
      <c r="X9" s="300">
        <v>0</v>
      </c>
      <c r="Y9" s="300">
        <f>SUM(W9:X9)</f>
        <v>0</v>
      </c>
      <c r="Z9" s="300">
        <f>M9+V9+Y9</f>
        <v>20558823</v>
      </c>
    </row>
    <row r="10" spans="1:26" ht="13.5" customHeight="1" x14ac:dyDescent="0.2">
      <c r="A10" s="587" t="s">
        <v>38</v>
      </c>
      <c r="B10" s="521"/>
      <c r="C10" s="513" t="s">
        <v>253</v>
      </c>
      <c r="D10" s="513" t="s">
        <v>345</v>
      </c>
      <c r="E10" s="292">
        <f>'2. Kiadások'!E9</f>
        <v>5717990</v>
      </c>
      <c r="F10" s="292">
        <v>0</v>
      </c>
      <c r="G10" s="292">
        <v>0</v>
      </c>
      <c r="H10" s="292">
        <v>226140</v>
      </c>
      <c r="I10" s="292">
        <f>'2. Kiadások'!K9</f>
        <v>2307880</v>
      </c>
      <c r="J10" s="292">
        <v>0</v>
      </c>
      <c r="K10" s="292">
        <v>207672</v>
      </c>
      <c r="L10" s="292">
        <v>-14889</v>
      </c>
      <c r="M10" s="292">
        <f>SUM(E10:L10)</f>
        <v>8444793</v>
      </c>
      <c r="N10" s="519">
        <v>0</v>
      </c>
      <c r="O10" s="519">
        <v>0</v>
      </c>
      <c r="P10" s="519">
        <v>0</v>
      </c>
      <c r="Q10" s="519">
        <v>0</v>
      </c>
      <c r="R10" s="519">
        <v>0</v>
      </c>
      <c r="S10" s="519">
        <v>0</v>
      </c>
      <c r="T10" s="519">
        <v>0</v>
      </c>
      <c r="U10" s="519">
        <v>0</v>
      </c>
      <c r="V10" s="292">
        <f t="shared" si="3"/>
        <v>0</v>
      </c>
      <c r="W10" s="519">
        <v>0</v>
      </c>
      <c r="X10" s="519">
        <v>0</v>
      </c>
      <c r="Y10" s="292">
        <f>SUM(W10:X10)</f>
        <v>0</v>
      </c>
      <c r="Z10" s="292">
        <f>M10+V10+Y10</f>
        <v>8444793</v>
      </c>
    </row>
    <row r="11" spans="1:26" ht="13.5" customHeight="1" x14ac:dyDescent="0.2">
      <c r="A11" s="587"/>
      <c r="B11" s="521"/>
      <c r="C11" s="513" t="s">
        <v>254</v>
      </c>
      <c r="D11" s="513" t="s">
        <v>346</v>
      </c>
      <c r="E11" s="292">
        <f>'2. Kiadások'!E10</f>
        <v>2709418</v>
      </c>
      <c r="F11" s="292">
        <v>0</v>
      </c>
      <c r="G11" s="292">
        <v>0</v>
      </c>
      <c r="H11" s="292">
        <v>-1076055</v>
      </c>
      <c r="I11" s="292">
        <f>'2. Kiadások'!K10</f>
        <v>282840</v>
      </c>
      <c r="J11" s="292">
        <v>0</v>
      </c>
      <c r="K11" s="292">
        <v>59600</v>
      </c>
      <c r="L11" s="292">
        <v>-58019</v>
      </c>
      <c r="M11" s="292">
        <f>SUM(E11:L11)</f>
        <v>1917784</v>
      </c>
      <c r="N11" s="519">
        <v>0</v>
      </c>
      <c r="O11" s="519">
        <v>0</v>
      </c>
      <c r="P11" s="519">
        <v>0</v>
      </c>
      <c r="Q11" s="519">
        <v>0</v>
      </c>
      <c r="R11" s="519">
        <v>0</v>
      </c>
      <c r="S11" s="519">
        <v>0</v>
      </c>
      <c r="T11" s="519">
        <v>0</v>
      </c>
      <c r="U11" s="519">
        <v>0</v>
      </c>
      <c r="V11" s="292">
        <f t="shared" si="3"/>
        <v>0</v>
      </c>
      <c r="W11" s="519">
        <v>0</v>
      </c>
      <c r="X11" s="519">
        <v>0</v>
      </c>
      <c r="Y11" s="292">
        <f>SUM(W11:X11)</f>
        <v>0</v>
      </c>
      <c r="Z11" s="292">
        <f>M11+V11+Y11</f>
        <v>1917784</v>
      </c>
    </row>
    <row r="12" spans="1:26" ht="13.5" customHeight="1" x14ac:dyDescent="0.2">
      <c r="A12" s="587"/>
      <c r="B12" s="521"/>
      <c r="C12" s="513" t="s">
        <v>255</v>
      </c>
      <c r="D12" s="513" t="s">
        <v>347</v>
      </c>
      <c r="E12" s="554">
        <f>'2. Kiadások'!E11-114076</f>
        <v>58620177</v>
      </c>
      <c r="F12" s="554">
        <v>0</v>
      </c>
      <c r="G12" s="554">
        <v>0</v>
      </c>
      <c r="H12" s="554">
        <f>-14679484+123663</f>
        <v>-14555821</v>
      </c>
      <c r="I12" s="554">
        <f>'2. Kiadások'!K11-1700000</f>
        <v>3228100</v>
      </c>
      <c r="J12" s="554">
        <v>0</v>
      </c>
      <c r="K12" s="554">
        <v>0</v>
      </c>
      <c r="L12" s="554">
        <v>0</v>
      </c>
      <c r="M12" s="554">
        <f>SUM(E12:L12)</f>
        <v>47292456</v>
      </c>
      <c r="N12" s="555">
        <v>0</v>
      </c>
      <c r="O12" s="555">
        <v>0</v>
      </c>
      <c r="P12" s="555">
        <v>0</v>
      </c>
      <c r="Q12" s="555">
        <v>0</v>
      </c>
      <c r="R12" s="515">
        <v>0</v>
      </c>
      <c r="S12" s="515">
        <v>0</v>
      </c>
      <c r="T12" s="515">
        <v>0</v>
      </c>
      <c r="U12" s="515">
        <v>0</v>
      </c>
      <c r="V12" s="292">
        <f>SUM(N12:U12)</f>
        <v>0</v>
      </c>
      <c r="W12" s="519">
        <v>0</v>
      </c>
      <c r="X12" s="519">
        <v>0</v>
      </c>
      <c r="Y12" s="292">
        <f>SUM(W12:X12)</f>
        <v>0</v>
      </c>
      <c r="Z12" s="292">
        <f>M12+V12+Y12</f>
        <v>47292456</v>
      </c>
    </row>
    <row r="13" spans="1:26" ht="13.5" customHeight="1" x14ac:dyDescent="0.2">
      <c r="A13" s="587"/>
      <c r="B13" s="521"/>
      <c r="C13" s="513" t="s">
        <v>348</v>
      </c>
      <c r="D13" s="513" t="s">
        <v>349</v>
      </c>
      <c r="E13" s="554">
        <v>0</v>
      </c>
      <c r="F13" s="554">
        <v>0</v>
      </c>
      <c r="G13" s="554">
        <v>0</v>
      </c>
      <c r="H13" s="554">
        <v>0</v>
      </c>
      <c r="I13" s="554">
        <v>0</v>
      </c>
      <c r="J13" s="554">
        <v>0</v>
      </c>
      <c r="K13" s="554">
        <v>0</v>
      </c>
      <c r="L13" s="554">
        <v>0</v>
      </c>
      <c r="M13" s="554">
        <f>SUM(E13:L13)</f>
        <v>0</v>
      </c>
      <c r="N13" s="554">
        <v>114076</v>
      </c>
      <c r="O13" s="554">
        <v>1121993</v>
      </c>
      <c r="P13" s="554">
        <v>100000</v>
      </c>
      <c r="Q13" s="554">
        <v>-123663</v>
      </c>
      <c r="R13" s="292">
        <v>1700000</v>
      </c>
      <c r="S13" s="292">
        <v>407000</v>
      </c>
      <c r="T13" s="292">
        <v>550000</v>
      </c>
      <c r="U13" s="292">
        <v>1895462</v>
      </c>
      <c r="V13" s="292">
        <f>SUM(N13:U13)</f>
        <v>5764868</v>
      </c>
      <c r="W13" s="519">
        <v>0</v>
      </c>
      <c r="X13" s="519">
        <v>0</v>
      </c>
      <c r="Y13" s="292">
        <f>SUM(W13:X13)</f>
        <v>0</v>
      </c>
      <c r="Z13" s="292">
        <f>M13+V13+Y13</f>
        <v>5764868</v>
      </c>
    </row>
    <row r="14" spans="1:26" ht="13.5" customHeight="1" x14ac:dyDescent="0.2">
      <c r="A14" s="587"/>
      <c r="B14" s="521"/>
      <c r="C14" s="513" t="s">
        <v>256</v>
      </c>
      <c r="D14" s="513" t="s">
        <v>350</v>
      </c>
      <c r="E14" s="554">
        <f>'2. Kiadások'!E12</f>
        <v>507000</v>
      </c>
      <c r="F14" s="554">
        <v>0</v>
      </c>
      <c r="G14" s="554">
        <v>0</v>
      </c>
      <c r="H14" s="554">
        <v>-347235</v>
      </c>
      <c r="I14" s="554">
        <f>'2. Kiadások'!K12</f>
        <v>1330000</v>
      </c>
      <c r="J14" s="554">
        <v>0</v>
      </c>
      <c r="K14" s="554">
        <v>0</v>
      </c>
      <c r="L14" s="554">
        <v>-132440</v>
      </c>
      <c r="M14" s="554">
        <f>SUM(E14:L14)</f>
        <v>1357325</v>
      </c>
      <c r="N14" s="555">
        <v>0</v>
      </c>
      <c r="O14" s="555">
        <v>0</v>
      </c>
      <c r="P14" s="555">
        <v>0</v>
      </c>
      <c r="Q14" s="555">
        <v>0</v>
      </c>
      <c r="R14" s="519">
        <v>0</v>
      </c>
      <c r="S14" s="519">
        <v>0</v>
      </c>
      <c r="T14" s="519">
        <v>0</v>
      </c>
      <c r="U14" s="519">
        <v>0</v>
      </c>
      <c r="V14" s="292">
        <f t="shared" ref="V14:V15" si="4">SUM(N14:T14)</f>
        <v>0</v>
      </c>
      <c r="W14" s="519">
        <v>0</v>
      </c>
      <c r="X14" s="519">
        <v>0</v>
      </c>
      <c r="Y14" s="292">
        <f>SUM(W14:X14)</f>
        <v>0</v>
      </c>
      <c r="Z14" s="292">
        <f>M14+V14+Y14</f>
        <v>1357325</v>
      </c>
    </row>
    <row r="15" spans="1:26" ht="13.5" customHeight="1" x14ac:dyDescent="0.2">
      <c r="A15" s="587"/>
      <c r="B15" s="521"/>
      <c r="C15" s="513" t="s">
        <v>257</v>
      </c>
      <c r="D15" s="513" t="s">
        <v>351</v>
      </c>
      <c r="E15" s="554">
        <f>'2. Kiadások'!E13</f>
        <v>37288356</v>
      </c>
      <c r="F15" s="554">
        <v>0</v>
      </c>
      <c r="G15" s="554">
        <v>0</v>
      </c>
      <c r="H15" s="554">
        <v>-24683135</v>
      </c>
      <c r="I15" s="554">
        <f>'2. Kiadások'!K13</f>
        <v>1171340</v>
      </c>
      <c r="J15" s="554">
        <v>0</v>
      </c>
      <c r="K15" s="554">
        <v>-317272</v>
      </c>
      <c r="L15" s="554">
        <v>0</v>
      </c>
      <c r="M15" s="554">
        <f>SUM(E15:L15)</f>
        <v>13459289</v>
      </c>
      <c r="N15" s="555">
        <v>0</v>
      </c>
      <c r="O15" s="555">
        <v>0</v>
      </c>
      <c r="P15" s="555">
        <v>0</v>
      </c>
      <c r="Q15" s="555">
        <v>0</v>
      </c>
      <c r="R15" s="519">
        <v>0</v>
      </c>
      <c r="S15" s="519">
        <v>0</v>
      </c>
      <c r="T15" s="519">
        <v>0</v>
      </c>
      <c r="U15" s="519">
        <v>0</v>
      </c>
      <c r="V15" s="292">
        <f t="shared" si="4"/>
        <v>0</v>
      </c>
      <c r="W15" s="519">
        <v>0</v>
      </c>
      <c r="X15" s="519">
        <v>0</v>
      </c>
      <c r="Y15" s="292">
        <f>SUM(W15:X15)</f>
        <v>0</v>
      </c>
      <c r="Z15" s="292">
        <f>M15+V15+Y15</f>
        <v>13459289</v>
      </c>
    </row>
    <row r="16" spans="1:26" s="528" customFormat="1" ht="19.5" customHeight="1" x14ac:dyDescent="0.2">
      <c r="A16" s="587"/>
      <c r="B16" s="592" t="s">
        <v>258</v>
      </c>
      <c r="C16" s="592"/>
      <c r="D16" s="527" t="s">
        <v>352</v>
      </c>
      <c r="E16" s="300">
        <f>SUM(E10:E15)</f>
        <v>104842941</v>
      </c>
      <c r="F16" s="300">
        <f t="shared" ref="F16:H16" si="5">SUM(F10:F15)</f>
        <v>0</v>
      </c>
      <c r="G16" s="300">
        <f t="shared" si="5"/>
        <v>0</v>
      </c>
      <c r="H16" s="300">
        <f t="shared" si="5"/>
        <v>-40436106</v>
      </c>
      <c r="I16" s="300">
        <f>SUM(I10:I15)</f>
        <v>8320160</v>
      </c>
      <c r="J16" s="300">
        <f>SUM(J10:J15)</f>
        <v>0</v>
      </c>
      <c r="K16" s="300">
        <f>SUM(K10:K15)</f>
        <v>-50000</v>
      </c>
      <c r="L16" s="300">
        <f>SUM(L10:L15)</f>
        <v>-205348</v>
      </c>
      <c r="M16" s="300">
        <f>SUM(M10:M15)</f>
        <v>72471647</v>
      </c>
      <c r="N16" s="300">
        <f t="shared" ref="N16:Z16" si="6">SUM(N10:N15)</f>
        <v>114076</v>
      </c>
      <c r="O16" s="300">
        <f t="shared" si="6"/>
        <v>1121993</v>
      </c>
      <c r="P16" s="300">
        <f>SUM(P10:P15)</f>
        <v>100000</v>
      </c>
      <c r="Q16" s="300">
        <f>SUM(Q10:Q15)</f>
        <v>-123663</v>
      </c>
      <c r="R16" s="300">
        <f t="shared" si="6"/>
        <v>1700000</v>
      </c>
      <c r="S16" s="300">
        <f t="shared" ref="S16" si="7">SUM(S10:S15)</f>
        <v>407000</v>
      </c>
      <c r="T16" s="300">
        <f>SUM(T10:T15)</f>
        <v>550000</v>
      </c>
      <c r="U16" s="300">
        <f>SUM(U10:U15)</f>
        <v>1895462</v>
      </c>
      <c r="V16" s="300">
        <f>SUM(V10:V15)</f>
        <v>5764868</v>
      </c>
      <c r="W16" s="300">
        <f t="shared" si="6"/>
        <v>0</v>
      </c>
      <c r="X16" s="300">
        <f t="shared" si="6"/>
        <v>0</v>
      </c>
      <c r="Y16" s="300">
        <f>SUM(Y10:Y15)</f>
        <v>0</v>
      </c>
      <c r="Z16" s="300">
        <f t="shared" si="6"/>
        <v>78236515</v>
      </c>
    </row>
    <row r="17" spans="1:26" s="528" customFormat="1" ht="25.5" customHeight="1" x14ac:dyDescent="0.2">
      <c r="A17" s="545" t="s">
        <v>39</v>
      </c>
      <c r="B17" s="592" t="s">
        <v>104</v>
      </c>
      <c r="C17" s="592"/>
      <c r="D17" s="527" t="s">
        <v>353</v>
      </c>
      <c r="E17" s="300">
        <f>'2. Kiadások'!E15</f>
        <v>1400000</v>
      </c>
      <c r="F17" s="300">
        <v>0</v>
      </c>
      <c r="G17" s="300">
        <v>0</v>
      </c>
      <c r="H17" s="300">
        <v>-573805</v>
      </c>
      <c r="I17" s="300">
        <f>'2. Kiadások'!K15</f>
        <v>0</v>
      </c>
      <c r="J17" s="300">
        <v>0</v>
      </c>
      <c r="K17" s="300">
        <v>0</v>
      </c>
      <c r="L17" s="300">
        <v>0</v>
      </c>
      <c r="M17" s="300">
        <f>SUM(E17:L17)</f>
        <v>826195</v>
      </c>
      <c r="N17" s="546">
        <v>0</v>
      </c>
      <c r="O17" s="546">
        <v>0</v>
      </c>
      <c r="P17" s="546">
        <v>0</v>
      </c>
      <c r="Q17" s="546">
        <v>0</v>
      </c>
      <c r="R17" s="546">
        <v>0</v>
      </c>
      <c r="S17" s="546">
        <v>0</v>
      </c>
      <c r="T17" s="546">
        <v>0</v>
      </c>
      <c r="U17" s="546">
        <v>0</v>
      </c>
      <c r="V17" s="300">
        <f>SUM(N17:T17)</f>
        <v>0</v>
      </c>
      <c r="W17" s="546">
        <v>0</v>
      </c>
      <c r="X17" s="546">
        <v>0</v>
      </c>
      <c r="Y17" s="300">
        <f>SUM(W17:X17)</f>
        <v>0</v>
      </c>
      <c r="Z17" s="300">
        <f>M17+V17+Y17</f>
        <v>826195</v>
      </c>
    </row>
    <row r="18" spans="1:26" s="528" customFormat="1" ht="25.5" customHeight="1" x14ac:dyDescent="0.2">
      <c r="A18" s="545" t="s">
        <v>40</v>
      </c>
      <c r="B18" s="592" t="s">
        <v>259</v>
      </c>
      <c r="C18" s="592"/>
      <c r="D18" s="527" t="s">
        <v>354</v>
      </c>
      <c r="E18" s="300">
        <f>'2. Kiadások'!E16</f>
        <v>5744100</v>
      </c>
      <c r="F18" s="300">
        <v>4350819</v>
      </c>
      <c r="G18" s="300">
        <v>0</v>
      </c>
      <c r="H18" s="300">
        <v>0</v>
      </c>
      <c r="I18" s="300">
        <f>'2. Kiadások'!K16</f>
        <v>0</v>
      </c>
      <c r="J18" s="300">
        <v>0</v>
      </c>
      <c r="K18" s="300">
        <v>0</v>
      </c>
      <c r="L18" s="300">
        <v>0</v>
      </c>
      <c r="M18" s="300">
        <f>SUM(E18:L18)</f>
        <v>10094919</v>
      </c>
      <c r="N18" s="546">
        <v>0</v>
      </c>
      <c r="O18" s="546">
        <v>0</v>
      </c>
      <c r="P18" s="546">
        <v>0</v>
      </c>
      <c r="Q18" s="546">
        <v>0</v>
      </c>
      <c r="R18" s="546">
        <v>0</v>
      </c>
      <c r="S18" s="546">
        <v>0</v>
      </c>
      <c r="T18" s="546">
        <v>0</v>
      </c>
      <c r="U18" s="546">
        <v>0</v>
      </c>
      <c r="V18" s="300">
        <f>SUM(N18:T18)</f>
        <v>0</v>
      </c>
      <c r="W18" s="546">
        <v>0</v>
      </c>
      <c r="X18" s="546">
        <v>0</v>
      </c>
      <c r="Y18" s="300">
        <f>SUM(W18:X18)</f>
        <v>0</v>
      </c>
      <c r="Z18" s="300">
        <f>M18+V18+Y18</f>
        <v>10094919</v>
      </c>
    </row>
    <row r="19" spans="1:26" ht="25.5" x14ac:dyDescent="0.2">
      <c r="A19" s="589" t="s">
        <v>45</v>
      </c>
      <c r="B19" s="521"/>
      <c r="C19" s="513" t="s">
        <v>260</v>
      </c>
      <c r="D19" s="513" t="s">
        <v>355</v>
      </c>
      <c r="E19" s="292">
        <f>'2. Kiadások'!E17</f>
        <v>247363673</v>
      </c>
      <c r="F19" s="292"/>
      <c r="G19" s="292">
        <v>15000</v>
      </c>
      <c r="H19" s="292">
        <v>-23324564</v>
      </c>
      <c r="I19" s="292">
        <f>'2. Kiadások'!K17</f>
        <v>941822</v>
      </c>
      <c r="J19" s="292">
        <v>0</v>
      </c>
      <c r="K19" s="292">
        <v>0</v>
      </c>
      <c r="L19" s="292">
        <v>0</v>
      </c>
      <c r="M19" s="292">
        <f>SUM(E19:L19)</f>
        <v>224995931</v>
      </c>
      <c r="N19" s="519">
        <v>0</v>
      </c>
      <c r="O19" s="519">
        <v>0</v>
      </c>
      <c r="P19" s="519">
        <v>0</v>
      </c>
      <c r="Q19" s="519">
        <v>0</v>
      </c>
      <c r="R19" s="519">
        <v>0</v>
      </c>
      <c r="S19" s="519">
        <v>0</v>
      </c>
      <c r="T19" s="519">
        <v>0</v>
      </c>
      <c r="U19" s="519">
        <v>0</v>
      </c>
      <c r="V19" s="292">
        <f>SUM(N19:T19)</f>
        <v>0</v>
      </c>
      <c r="W19" s="519">
        <v>0</v>
      </c>
      <c r="X19" s="519">
        <v>0</v>
      </c>
      <c r="Y19" s="292">
        <f>SUM(W19:X19)</f>
        <v>0</v>
      </c>
      <c r="Z19" s="292">
        <f>M19+V19+Y19</f>
        <v>224995931</v>
      </c>
    </row>
    <row r="20" spans="1:26" ht="25.5" x14ac:dyDescent="0.2">
      <c r="A20" s="630"/>
      <c r="B20" s="521"/>
      <c r="C20" s="513" t="s">
        <v>261</v>
      </c>
      <c r="D20" s="513" t="s">
        <v>356</v>
      </c>
      <c r="E20" s="292">
        <f>'2. Kiadások'!E18-33629305</f>
        <v>0</v>
      </c>
      <c r="F20" s="292">
        <v>0</v>
      </c>
      <c r="G20" s="292">
        <v>0</v>
      </c>
      <c r="H20" s="292"/>
      <c r="I20" s="292">
        <f>'2. Kiadások'!K18</f>
        <v>0</v>
      </c>
      <c r="J20" s="292">
        <v>0</v>
      </c>
      <c r="K20" s="292">
        <v>0</v>
      </c>
      <c r="L20" s="292">
        <v>0</v>
      </c>
      <c r="M20" s="292">
        <f>SUM(E20:L20)</f>
        <v>0</v>
      </c>
      <c r="N20" s="292">
        <v>33629305</v>
      </c>
      <c r="O20" s="292">
        <v>75000</v>
      </c>
      <c r="P20" s="292">
        <v>240000</v>
      </c>
      <c r="Q20" s="292">
        <v>265895</v>
      </c>
      <c r="R20" s="292">
        <v>0</v>
      </c>
      <c r="S20" s="292">
        <v>0</v>
      </c>
      <c r="T20" s="292">
        <v>0</v>
      </c>
      <c r="U20" s="292">
        <v>0</v>
      </c>
      <c r="V20" s="292">
        <f>SUM(N20:T20)</f>
        <v>34210200</v>
      </c>
      <c r="W20" s="519">
        <v>0</v>
      </c>
      <c r="X20" s="519">
        <v>0</v>
      </c>
      <c r="Y20" s="519">
        <v>0</v>
      </c>
      <c r="Z20" s="292">
        <f>M20+V20+Y20</f>
        <v>34210200</v>
      </c>
    </row>
    <row r="21" spans="1:26" ht="25.5" customHeight="1" x14ac:dyDescent="0.2">
      <c r="A21" s="590"/>
      <c r="B21" s="592" t="s">
        <v>262</v>
      </c>
      <c r="C21" s="592"/>
      <c r="D21" s="527" t="s">
        <v>414</v>
      </c>
      <c r="E21" s="300">
        <f>SUM(E19:E20)</f>
        <v>247363673</v>
      </c>
      <c r="F21" s="300">
        <f t="shared" ref="F21:Q21" si="8">SUM(F19:F20)</f>
        <v>0</v>
      </c>
      <c r="G21" s="300">
        <f t="shared" si="8"/>
        <v>15000</v>
      </c>
      <c r="H21" s="300">
        <f t="shared" si="8"/>
        <v>-23324564</v>
      </c>
      <c r="I21" s="300">
        <f t="shared" si="8"/>
        <v>941822</v>
      </c>
      <c r="J21" s="300">
        <f t="shared" ref="J21" si="9">SUM(J19:J20)</f>
        <v>0</v>
      </c>
      <c r="K21" s="300">
        <f t="shared" ref="K21" si="10">SUM(K19:K20)</f>
        <v>0</v>
      </c>
      <c r="L21" s="300">
        <f t="shared" ref="L21" si="11">SUM(L19:L20)</f>
        <v>0</v>
      </c>
      <c r="M21" s="300">
        <f t="shared" si="8"/>
        <v>224995931</v>
      </c>
      <c r="N21" s="300">
        <f t="shared" si="8"/>
        <v>33629305</v>
      </c>
      <c r="O21" s="300">
        <f t="shared" si="8"/>
        <v>75000</v>
      </c>
      <c r="P21" s="300">
        <f t="shared" si="8"/>
        <v>240000</v>
      </c>
      <c r="Q21" s="300">
        <f t="shared" si="8"/>
        <v>265895</v>
      </c>
      <c r="R21" s="300">
        <f t="shared" ref="R21:Z21" si="12">SUM(R19:R20)</f>
        <v>0</v>
      </c>
      <c r="S21" s="300">
        <f t="shared" ref="S21" si="13">SUM(S19:S20)</f>
        <v>0</v>
      </c>
      <c r="T21" s="300">
        <f t="shared" si="12"/>
        <v>0</v>
      </c>
      <c r="U21" s="300">
        <f t="shared" si="12"/>
        <v>0</v>
      </c>
      <c r="V21" s="300">
        <f t="shared" si="12"/>
        <v>34210200</v>
      </c>
      <c r="W21" s="300">
        <f t="shared" si="12"/>
        <v>0</v>
      </c>
      <c r="X21" s="300">
        <f t="shared" si="12"/>
        <v>0</v>
      </c>
      <c r="Y21" s="300">
        <f>SUM(W21:X21)</f>
        <v>0</v>
      </c>
      <c r="Z21" s="300">
        <f t="shared" si="12"/>
        <v>259206131</v>
      </c>
    </row>
    <row r="22" spans="1:26" s="551" customFormat="1" ht="25.5" customHeight="1" x14ac:dyDescent="0.2">
      <c r="A22" s="545" t="s">
        <v>47</v>
      </c>
      <c r="B22" s="631" t="s">
        <v>470</v>
      </c>
      <c r="C22" s="632"/>
      <c r="D22" s="547" t="s">
        <v>357</v>
      </c>
      <c r="E22" s="548">
        <f>'2. Kiadások'!E20</f>
        <v>5288426</v>
      </c>
      <c r="F22" s="548">
        <v>8518220</v>
      </c>
      <c r="G22" s="548">
        <v>11341663</v>
      </c>
      <c r="H22" s="548">
        <v>136444788</v>
      </c>
      <c r="I22" s="549">
        <f>'2. Kiadások'!K20</f>
        <v>0</v>
      </c>
      <c r="J22" s="549">
        <f>'2. Kiadások'!L20</f>
        <v>0</v>
      </c>
      <c r="K22" s="549">
        <f>'2. Kiadások'!M20</f>
        <v>0</v>
      </c>
      <c r="L22" s="549">
        <f>'2. Kiadások'!N20</f>
        <v>0</v>
      </c>
      <c r="M22" s="549">
        <f>SUM(E22:K22)</f>
        <v>161593097</v>
      </c>
      <c r="N22" s="550">
        <v>0</v>
      </c>
      <c r="O22" s="550">
        <v>0</v>
      </c>
      <c r="P22" s="550">
        <v>0</v>
      </c>
      <c r="Q22" s="550">
        <v>0</v>
      </c>
      <c r="R22" s="550">
        <v>0</v>
      </c>
      <c r="S22" s="550">
        <v>0</v>
      </c>
      <c r="T22" s="550">
        <v>0</v>
      </c>
      <c r="U22" s="550">
        <v>0</v>
      </c>
      <c r="V22" s="549">
        <f t="shared" ref="V21:V27" si="14">SUM(N22:R22)</f>
        <v>0</v>
      </c>
      <c r="W22" s="550">
        <v>0</v>
      </c>
      <c r="X22" s="550">
        <v>0</v>
      </c>
      <c r="Y22" s="549">
        <f>SUM(W22:X22)</f>
        <v>0</v>
      </c>
      <c r="Z22" s="300">
        <f>M22+V22+Y22</f>
        <v>161593097</v>
      </c>
    </row>
    <row r="23" spans="1:26" s="552" customFormat="1" ht="19.5" customHeight="1" x14ac:dyDescent="0.2">
      <c r="A23" s="529" t="s">
        <v>48</v>
      </c>
      <c r="B23" s="592" t="s">
        <v>263</v>
      </c>
      <c r="C23" s="592"/>
      <c r="D23" s="527" t="s">
        <v>358</v>
      </c>
      <c r="E23" s="300">
        <f>'2. Kiadások'!E21</f>
        <v>804612646</v>
      </c>
      <c r="F23" s="300">
        <v>274610</v>
      </c>
      <c r="G23" s="300">
        <v>16025107</v>
      </c>
      <c r="H23" s="300">
        <v>-751569559</v>
      </c>
      <c r="I23" s="300">
        <f>'2. Kiadások'!K21</f>
        <v>0</v>
      </c>
      <c r="J23" s="300">
        <f>'2. Kiadások'!L21</f>
        <v>0</v>
      </c>
      <c r="K23" s="300">
        <f>'2. Kiadások'!M21</f>
        <v>0</v>
      </c>
      <c r="L23" s="300">
        <f>'2. Kiadások'!N21</f>
        <v>0</v>
      </c>
      <c r="M23" s="300">
        <f>SUM(E23:K23)</f>
        <v>69342804</v>
      </c>
      <c r="N23" s="546">
        <v>0</v>
      </c>
      <c r="O23" s="546">
        <v>0</v>
      </c>
      <c r="P23" s="546">
        <v>0</v>
      </c>
      <c r="Q23" s="546">
        <v>0</v>
      </c>
      <c r="R23" s="546">
        <v>0</v>
      </c>
      <c r="S23" s="546">
        <v>0</v>
      </c>
      <c r="T23" s="546">
        <v>0</v>
      </c>
      <c r="U23" s="546">
        <v>0</v>
      </c>
      <c r="V23" s="300">
        <f t="shared" si="14"/>
        <v>0</v>
      </c>
      <c r="W23" s="546">
        <v>0</v>
      </c>
      <c r="X23" s="546">
        <v>0</v>
      </c>
      <c r="Y23" s="300">
        <f>SUM(W23:X23)</f>
        <v>0</v>
      </c>
      <c r="Z23" s="300">
        <f>M23+V23+Y23</f>
        <v>69342804</v>
      </c>
    </row>
    <row r="24" spans="1:26" s="552" customFormat="1" ht="18.75" customHeight="1" x14ac:dyDescent="0.2">
      <c r="A24" s="529" t="s">
        <v>49</v>
      </c>
      <c r="B24" s="592" t="s">
        <v>149</v>
      </c>
      <c r="C24" s="592"/>
      <c r="D24" s="527" t="s">
        <v>359</v>
      </c>
      <c r="E24" s="300">
        <f>'2. Kiadások'!E22</f>
        <v>123033604</v>
      </c>
      <c r="F24" s="300">
        <v>0</v>
      </c>
      <c r="G24" s="300">
        <v>-6800787</v>
      </c>
      <c r="H24" s="300">
        <v>-103877008</v>
      </c>
      <c r="I24" s="300">
        <f>'2. Kiadások'!K22</f>
        <v>0</v>
      </c>
      <c r="J24" s="300">
        <f>'2. Kiadások'!L22</f>
        <v>0</v>
      </c>
      <c r="K24" s="300">
        <f>'2. Kiadások'!M22</f>
        <v>0</v>
      </c>
      <c r="L24" s="300">
        <f>'2. Kiadások'!N22</f>
        <v>0</v>
      </c>
      <c r="M24" s="300">
        <f>SUM(E24:K24)</f>
        <v>12355809</v>
      </c>
      <c r="N24" s="546">
        <v>0</v>
      </c>
      <c r="O24" s="546">
        <v>0</v>
      </c>
      <c r="P24" s="546">
        <v>0</v>
      </c>
      <c r="Q24" s="546">
        <v>0</v>
      </c>
      <c r="R24" s="546">
        <v>0</v>
      </c>
      <c r="S24" s="546">
        <v>0</v>
      </c>
      <c r="T24" s="546">
        <v>0</v>
      </c>
      <c r="U24" s="546">
        <v>0</v>
      </c>
      <c r="V24" s="300">
        <f t="shared" si="14"/>
        <v>0</v>
      </c>
      <c r="W24" s="546">
        <v>0</v>
      </c>
      <c r="X24" s="546">
        <v>0</v>
      </c>
      <c r="Y24" s="300">
        <f>SUM(W24:X24)</f>
        <v>0</v>
      </c>
      <c r="Z24" s="300">
        <f>M24+V24+Y24</f>
        <v>12355809</v>
      </c>
    </row>
    <row r="25" spans="1:26" ht="25.5" x14ac:dyDescent="0.2">
      <c r="A25" s="589" t="s">
        <v>50</v>
      </c>
      <c r="B25" s="521"/>
      <c r="C25" s="513" t="s">
        <v>264</v>
      </c>
      <c r="D25" s="513" t="s">
        <v>74</v>
      </c>
      <c r="E25" s="292">
        <f>'2. Kiadások'!E23</f>
        <v>0</v>
      </c>
      <c r="F25" s="292">
        <v>1214532</v>
      </c>
      <c r="G25" s="292">
        <v>0</v>
      </c>
      <c r="H25" s="292">
        <v>0</v>
      </c>
      <c r="I25" s="292">
        <f>'2. Kiadások'!K23</f>
        <v>0</v>
      </c>
      <c r="J25" s="292">
        <v>0</v>
      </c>
      <c r="K25" s="292">
        <v>0</v>
      </c>
      <c r="L25" s="292">
        <v>0</v>
      </c>
      <c r="M25" s="292">
        <f>SUM(E25:L25)</f>
        <v>1214532</v>
      </c>
      <c r="N25" s="519">
        <v>0</v>
      </c>
      <c r="O25" s="519">
        <v>0</v>
      </c>
      <c r="P25" s="519">
        <v>0</v>
      </c>
      <c r="Q25" s="519">
        <v>0</v>
      </c>
      <c r="R25" s="519">
        <v>0</v>
      </c>
      <c r="S25" s="519">
        <v>0</v>
      </c>
      <c r="T25" s="519">
        <v>0</v>
      </c>
      <c r="U25" s="519">
        <v>0</v>
      </c>
      <c r="V25" s="292">
        <f t="shared" si="14"/>
        <v>0</v>
      </c>
      <c r="W25" s="519">
        <v>0</v>
      </c>
      <c r="X25" s="519">
        <v>0</v>
      </c>
      <c r="Y25" s="292">
        <f>SUM(W25:X25)</f>
        <v>0</v>
      </c>
      <c r="Z25" s="292">
        <f>M25+V25+Y25</f>
        <v>1214532</v>
      </c>
    </row>
    <row r="26" spans="1:26" ht="25.5" x14ac:dyDescent="0.2">
      <c r="A26" s="630"/>
      <c r="B26" s="521"/>
      <c r="C26" s="513" t="s">
        <v>265</v>
      </c>
      <c r="D26" s="513" t="s">
        <v>75</v>
      </c>
      <c r="E26" s="292">
        <f>'2. Kiadások'!E24-2000000</f>
        <v>0</v>
      </c>
      <c r="F26" s="292"/>
      <c r="G26" s="292"/>
      <c r="H26" s="292"/>
      <c r="I26" s="292">
        <f>'2. Kiadások'!K24</f>
        <v>0</v>
      </c>
      <c r="J26" s="292">
        <v>0</v>
      </c>
      <c r="K26" s="292">
        <v>0</v>
      </c>
      <c r="L26" s="292">
        <v>0</v>
      </c>
      <c r="M26" s="292">
        <f t="shared" ref="M26" si="15">SUM(E26:K26)</f>
        <v>0</v>
      </c>
      <c r="N26" s="292">
        <v>2000000</v>
      </c>
      <c r="O26" s="292">
        <v>0</v>
      </c>
      <c r="P26" s="292">
        <v>0</v>
      </c>
      <c r="Q26" s="292">
        <v>-2000000</v>
      </c>
      <c r="R26" s="292">
        <v>0</v>
      </c>
      <c r="S26" s="519">
        <v>0</v>
      </c>
      <c r="T26" s="519">
        <v>0</v>
      </c>
      <c r="U26" s="519">
        <v>0</v>
      </c>
      <c r="V26" s="292">
        <f t="shared" si="14"/>
        <v>0</v>
      </c>
      <c r="W26" s="519">
        <v>0</v>
      </c>
      <c r="X26" s="519">
        <v>0</v>
      </c>
      <c r="Y26" s="519">
        <v>0</v>
      </c>
      <c r="Z26" s="292">
        <f>M26+V26+Y26</f>
        <v>0</v>
      </c>
    </row>
    <row r="27" spans="1:26" ht="25.5" x14ac:dyDescent="0.2">
      <c r="A27" s="630"/>
      <c r="B27" s="521"/>
      <c r="C27" s="513" t="s">
        <v>266</v>
      </c>
      <c r="D27" s="513" t="s">
        <v>417</v>
      </c>
      <c r="E27" s="292">
        <f>'2. Kiadások'!E25</f>
        <v>0</v>
      </c>
      <c r="F27" s="292">
        <v>0</v>
      </c>
      <c r="G27" s="292">
        <v>0</v>
      </c>
      <c r="H27" s="292">
        <v>11000000</v>
      </c>
      <c r="I27" s="292">
        <f>'2. Kiadások'!K25</f>
        <v>0</v>
      </c>
      <c r="J27" s="292">
        <v>0</v>
      </c>
      <c r="K27" s="292">
        <v>0</v>
      </c>
      <c r="L27" s="292">
        <v>0</v>
      </c>
      <c r="M27" s="292">
        <f>SUM(E27:L27)</f>
        <v>11000000</v>
      </c>
      <c r="N27" s="519">
        <v>0</v>
      </c>
      <c r="O27" s="519">
        <v>0</v>
      </c>
      <c r="P27" s="519">
        <v>0</v>
      </c>
      <c r="Q27" s="519">
        <v>0</v>
      </c>
      <c r="R27" s="519">
        <v>0</v>
      </c>
      <c r="S27" s="519">
        <v>0</v>
      </c>
      <c r="T27" s="519">
        <v>0</v>
      </c>
      <c r="U27" s="519">
        <v>0</v>
      </c>
      <c r="V27" s="292">
        <f t="shared" si="14"/>
        <v>0</v>
      </c>
      <c r="W27" s="519">
        <v>0</v>
      </c>
      <c r="X27" s="519">
        <v>0</v>
      </c>
      <c r="Y27" s="292">
        <f>SUM(W27:X27)</f>
        <v>0</v>
      </c>
      <c r="Z27" s="292">
        <f>M27+V27+Y27</f>
        <v>11000000</v>
      </c>
    </row>
    <row r="28" spans="1:26" s="528" customFormat="1" ht="25.5" customHeight="1" x14ac:dyDescent="0.2">
      <c r="A28" s="590"/>
      <c r="B28" s="592" t="s">
        <v>267</v>
      </c>
      <c r="C28" s="592"/>
      <c r="D28" s="527" t="s">
        <v>360</v>
      </c>
      <c r="E28" s="300">
        <f t="shared" ref="E28:M28" si="16">SUM(E25:E27)</f>
        <v>0</v>
      </c>
      <c r="F28" s="300">
        <f t="shared" si="16"/>
        <v>1214532</v>
      </c>
      <c r="G28" s="300">
        <f t="shared" si="16"/>
        <v>0</v>
      </c>
      <c r="H28" s="300">
        <f t="shared" si="16"/>
        <v>11000000</v>
      </c>
      <c r="I28" s="300">
        <f t="shared" si="16"/>
        <v>0</v>
      </c>
      <c r="J28" s="300">
        <f t="shared" si="16"/>
        <v>0</v>
      </c>
      <c r="K28" s="300">
        <f t="shared" si="16"/>
        <v>0</v>
      </c>
      <c r="L28" s="300">
        <f t="shared" si="16"/>
        <v>0</v>
      </c>
      <c r="M28" s="300">
        <f t="shared" si="16"/>
        <v>12214532</v>
      </c>
      <c r="N28" s="300">
        <f t="shared" ref="N28:X28" si="17">SUM(N25:N27)</f>
        <v>2000000</v>
      </c>
      <c r="O28" s="300">
        <f t="shared" si="17"/>
        <v>0</v>
      </c>
      <c r="P28" s="300">
        <f>SUM(P25:P27)</f>
        <v>0</v>
      </c>
      <c r="Q28" s="300">
        <f>SUM(Q25:Q27)</f>
        <v>-2000000</v>
      </c>
      <c r="R28" s="300">
        <f t="shared" si="17"/>
        <v>0</v>
      </c>
      <c r="S28" s="300">
        <f t="shared" ref="S28" si="18">SUM(S25:S27)</f>
        <v>0</v>
      </c>
      <c r="T28" s="300">
        <f t="shared" si="17"/>
        <v>0</v>
      </c>
      <c r="U28" s="300">
        <f t="shared" si="17"/>
        <v>0</v>
      </c>
      <c r="V28" s="300">
        <f t="shared" si="17"/>
        <v>0</v>
      </c>
      <c r="W28" s="300">
        <f t="shared" si="17"/>
        <v>0</v>
      </c>
      <c r="X28" s="300">
        <f t="shared" si="17"/>
        <v>0</v>
      </c>
      <c r="Y28" s="300">
        <f>SUM(Y25:Y27)</f>
        <v>0</v>
      </c>
      <c r="Z28" s="300">
        <f>M28+V28+Y28</f>
        <v>12214532</v>
      </c>
    </row>
    <row r="29" spans="1:26" s="528" customFormat="1" ht="25.5" customHeight="1" x14ac:dyDescent="0.2">
      <c r="A29" s="585" t="s">
        <v>268</v>
      </c>
      <c r="B29" s="585"/>
      <c r="C29" s="585"/>
      <c r="D29" s="534" t="s">
        <v>361</v>
      </c>
      <c r="E29" s="301">
        <f t="shared" ref="E29:W29" si="19">E8+E9+E16+E17+E18+E21+E23+E24+E28+E22</f>
        <v>1352716042</v>
      </c>
      <c r="F29" s="301">
        <f t="shared" si="19"/>
        <v>16063981</v>
      </c>
      <c r="G29" s="301">
        <f t="shared" si="19"/>
        <v>20479259</v>
      </c>
      <c r="H29" s="301">
        <f t="shared" si="19"/>
        <v>-781247552</v>
      </c>
      <c r="I29" s="301">
        <f t="shared" si="19"/>
        <v>106768736</v>
      </c>
      <c r="J29" s="301">
        <f t="shared" si="19"/>
        <v>0</v>
      </c>
      <c r="K29" s="301">
        <f t="shared" si="19"/>
        <v>-550000</v>
      </c>
      <c r="L29" s="301">
        <f t="shared" si="19"/>
        <v>-721762</v>
      </c>
      <c r="M29" s="301">
        <f t="shared" si="19"/>
        <v>713508704</v>
      </c>
      <c r="N29" s="301">
        <f t="shared" si="19"/>
        <v>35743381</v>
      </c>
      <c r="O29" s="301">
        <f t="shared" si="19"/>
        <v>1196993</v>
      </c>
      <c r="P29" s="301">
        <f t="shared" si="19"/>
        <v>340000</v>
      </c>
      <c r="Q29" s="301">
        <f t="shared" si="19"/>
        <v>-1857768</v>
      </c>
      <c r="R29" s="301">
        <f t="shared" si="19"/>
        <v>1700000</v>
      </c>
      <c r="S29" s="301">
        <f t="shared" si="19"/>
        <v>407000</v>
      </c>
      <c r="T29" s="301">
        <f t="shared" si="19"/>
        <v>550000</v>
      </c>
      <c r="U29" s="301">
        <f t="shared" si="19"/>
        <v>1895462</v>
      </c>
      <c r="V29" s="301">
        <f t="shared" si="19"/>
        <v>39975068</v>
      </c>
      <c r="W29" s="301">
        <f t="shared" si="19"/>
        <v>0</v>
      </c>
      <c r="X29" s="301">
        <f t="shared" ref="M29:Z29" si="20">X8+X9+X16+X17+X18+X21+X23+X24+X28+X22</f>
        <v>0</v>
      </c>
      <c r="Y29" s="301">
        <f t="shared" si="20"/>
        <v>0</v>
      </c>
      <c r="Z29" s="301">
        <f t="shared" si="20"/>
        <v>753483772</v>
      </c>
    </row>
    <row r="30" spans="1:26" x14ac:dyDescent="0.2">
      <c r="A30" s="589" t="s">
        <v>23</v>
      </c>
      <c r="B30" s="521"/>
      <c r="C30" s="513" t="s">
        <v>271</v>
      </c>
      <c r="D30" s="513" t="s">
        <v>362</v>
      </c>
      <c r="E30" s="292">
        <f>'2. Kiadások'!E28</f>
        <v>11319727</v>
      </c>
      <c r="F30" s="292">
        <v>0</v>
      </c>
      <c r="G30" s="292">
        <v>0</v>
      </c>
      <c r="H30" s="292">
        <v>0</v>
      </c>
      <c r="I30" s="292">
        <f>'2. Kiadások'!K28</f>
        <v>0</v>
      </c>
      <c r="J30" s="292">
        <v>0</v>
      </c>
      <c r="K30" s="292">
        <v>0</v>
      </c>
      <c r="L30" s="292">
        <v>0</v>
      </c>
      <c r="M30" s="292">
        <f>SUM(E30:L30)</f>
        <v>11319727</v>
      </c>
      <c r="N30" s="519">
        <v>0</v>
      </c>
      <c r="O30" s="519">
        <v>0</v>
      </c>
      <c r="P30" s="519">
        <v>0</v>
      </c>
      <c r="Q30" s="519">
        <v>0</v>
      </c>
      <c r="R30" s="519">
        <v>0</v>
      </c>
      <c r="S30" s="519">
        <v>0</v>
      </c>
      <c r="T30" s="519">
        <v>0</v>
      </c>
      <c r="U30" s="519">
        <v>0</v>
      </c>
      <c r="V30" s="292">
        <f>SUM(N30:S30)</f>
        <v>0</v>
      </c>
      <c r="W30" s="519">
        <v>0</v>
      </c>
      <c r="X30" s="519">
        <v>0</v>
      </c>
      <c r="Y30" s="292">
        <f>SUM(W30:X30)</f>
        <v>0</v>
      </c>
      <c r="Z30" s="292">
        <f>M30+V30+Y30</f>
        <v>11319727</v>
      </c>
    </row>
    <row r="31" spans="1:26" x14ac:dyDescent="0.2">
      <c r="A31" s="590"/>
      <c r="B31" s="521"/>
      <c r="C31" s="513" t="s">
        <v>272</v>
      </c>
      <c r="D31" s="513" t="s">
        <v>76</v>
      </c>
      <c r="E31" s="292">
        <f>'2. Kiadások'!E29</f>
        <v>105524914</v>
      </c>
      <c r="F31" s="292">
        <v>0</v>
      </c>
      <c r="G31" s="292">
        <v>0</v>
      </c>
      <c r="H31" s="292">
        <v>-717191</v>
      </c>
      <c r="I31" s="292">
        <f>'2. Kiadások'!K29</f>
        <v>0</v>
      </c>
      <c r="J31" s="292">
        <v>0</v>
      </c>
      <c r="K31" s="292">
        <v>0</v>
      </c>
      <c r="L31" s="292">
        <v>0</v>
      </c>
      <c r="M31" s="292">
        <f>SUM(E31:I31)</f>
        <v>104807723</v>
      </c>
      <c r="N31" s="519">
        <v>0</v>
      </c>
      <c r="O31" s="519">
        <v>0</v>
      </c>
      <c r="P31" s="519">
        <v>0</v>
      </c>
      <c r="Q31" s="519">
        <v>0</v>
      </c>
      <c r="R31" s="519">
        <v>0</v>
      </c>
      <c r="S31" s="519">
        <v>0</v>
      </c>
      <c r="T31" s="519">
        <v>0</v>
      </c>
      <c r="U31" s="519">
        <v>0</v>
      </c>
      <c r="V31" s="292">
        <f>SUM(N31:S31)</f>
        <v>0</v>
      </c>
      <c r="W31" s="519">
        <v>0</v>
      </c>
      <c r="X31" s="519">
        <v>0</v>
      </c>
      <c r="Y31" s="292">
        <f>SUM(W31:X31)</f>
        <v>0</v>
      </c>
      <c r="Z31" s="292">
        <f>M31+V31+Y31</f>
        <v>104807723</v>
      </c>
    </row>
    <row r="32" spans="1:26" s="528" customFormat="1" ht="22.5" customHeight="1" x14ac:dyDescent="0.2">
      <c r="A32" s="627" t="s">
        <v>269</v>
      </c>
      <c r="B32" s="628"/>
      <c r="C32" s="629"/>
      <c r="D32" s="553" t="s">
        <v>363</v>
      </c>
      <c r="E32" s="301">
        <f t="shared" ref="E32:M32" si="21">SUM(E30:E31)</f>
        <v>116844641</v>
      </c>
      <c r="F32" s="301">
        <f t="shared" si="21"/>
        <v>0</v>
      </c>
      <c r="G32" s="301">
        <f t="shared" si="21"/>
        <v>0</v>
      </c>
      <c r="H32" s="301">
        <f t="shared" si="21"/>
        <v>-717191</v>
      </c>
      <c r="I32" s="301">
        <f t="shared" si="21"/>
        <v>0</v>
      </c>
      <c r="J32" s="301">
        <f t="shared" si="21"/>
        <v>0</v>
      </c>
      <c r="K32" s="301">
        <f t="shared" si="21"/>
        <v>0</v>
      </c>
      <c r="L32" s="301">
        <f t="shared" si="21"/>
        <v>0</v>
      </c>
      <c r="M32" s="301">
        <f>SUM(M30:M31)</f>
        <v>116127450</v>
      </c>
      <c r="N32" s="301">
        <f t="shared" ref="N32:Y32" si="22">SUM(N30:N31)</f>
        <v>0</v>
      </c>
      <c r="O32" s="301">
        <f t="shared" si="22"/>
        <v>0</v>
      </c>
      <c r="P32" s="301">
        <f t="shared" si="22"/>
        <v>0</v>
      </c>
      <c r="Q32" s="301">
        <f t="shared" si="22"/>
        <v>0</v>
      </c>
      <c r="R32" s="301">
        <f t="shared" si="22"/>
        <v>0</v>
      </c>
      <c r="S32" s="301">
        <f t="shared" si="22"/>
        <v>0</v>
      </c>
      <c r="T32" s="301">
        <f t="shared" si="22"/>
        <v>0</v>
      </c>
      <c r="U32" s="301">
        <f t="shared" si="22"/>
        <v>0</v>
      </c>
      <c r="V32" s="301">
        <f t="shared" si="22"/>
        <v>0</v>
      </c>
      <c r="W32" s="301">
        <f t="shared" si="22"/>
        <v>0</v>
      </c>
      <c r="X32" s="301">
        <f t="shared" si="22"/>
        <v>0</v>
      </c>
      <c r="Y32" s="301">
        <f t="shared" si="22"/>
        <v>0</v>
      </c>
      <c r="Z32" s="301">
        <f t="shared" ref="N32:Z32" si="23">SUM(Z30:Z31)</f>
        <v>116127450</v>
      </c>
    </row>
    <row r="33" spans="1:26" s="526" customFormat="1" ht="22.5" customHeight="1" x14ac:dyDescent="0.2">
      <c r="A33" s="586" t="s">
        <v>270</v>
      </c>
      <c r="B33" s="586"/>
      <c r="C33" s="586"/>
      <c r="D33" s="536"/>
      <c r="E33" s="532">
        <f>E29+E32</f>
        <v>1469560683</v>
      </c>
      <c r="F33" s="532">
        <f t="shared" ref="F33:H33" si="24">F29+F32</f>
        <v>16063981</v>
      </c>
      <c r="G33" s="532">
        <f t="shared" si="24"/>
        <v>20479259</v>
      </c>
      <c r="H33" s="532">
        <f t="shared" si="24"/>
        <v>-781964743</v>
      </c>
      <c r="I33" s="532">
        <f t="shared" ref="I33:L33" si="25">I29+I32</f>
        <v>106768736</v>
      </c>
      <c r="J33" s="532">
        <f t="shared" si="25"/>
        <v>0</v>
      </c>
      <c r="K33" s="532">
        <f t="shared" si="25"/>
        <v>-550000</v>
      </c>
      <c r="L33" s="532">
        <f t="shared" si="25"/>
        <v>-721762</v>
      </c>
      <c r="M33" s="532">
        <f>M29+M32</f>
        <v>829636154</v>
      </c>
      <c r="N33" s="532">
        <f t="shared" ref="N33:Z33" si="26">N29+N32</f>
        <v>35743381</v>
      </c>
      <c r="O33" s="532">
        <f t="shared" si="26"/>
        <v>1196993</v>
      </c>
      <c r="P33" s="532">
        <f>P29+P32</f>
        <v>340000</v>
      </c>
      <c r="Q33" s="532">
        <f t="shared" ref="Q33:X33" si="27">Q29+Q32</f>
        <v>-1857768</v>
      </c>
      <c r="R33" s="532">
        <f t="shared" si="27"/>
        <v>1700000</v>
      </c>
      <c r="S33" s="532">
        <f t="shared" si="27"/>
        <v>407000</v>
      </c>
      <c r="T33" s="532">
        <f t="shared" si="27"/>
        <v>550000</v>
      </c>
      <c r="U33" s="532">
        <f t="shared" si="27"/>
        <v>1895462</v>
      </c>
      <c r="V33" s="532">
        <f t="shared" si="27"/>
        <v>39975068</v>
      </c>
      <c r="W33" s="532">
        <f t="shared" si="27"/>
        <v>0</v>
      </c>
      <c r="X33" s="532">
        <f t="shared" si="27"/>
        <v>0</v>
      </c>
      <c r="Y33" s="532">
        <f>Y29+Y32</f>
        <v>0</v>
      </c>
      <c r="Z33" s="532">
        <f t="shared" si="26"/>
        <v>869611222</v>
      </c>
    </row>
    <row r="35" spans="1:26" x14ac:dyDescent="0.2">
      <c r="M35" s="780"/>
    </row>
    <row r="36" spans="1:26" x14ac:dyDescent="0.2">
      <c r="M36" s="780"/>
      <c r="O36" s="780"/>
    </row>
    <row r="37" spans="1:26" x14ac:dyDescent="0.2">
      <c r="I37" s="780"/>
      <c r="M37" s="780"/>
    </row>
    <row r="38" spans="1:26" x14ac:dyDescent="0.2">
      <c r="O38" s="780"/>
    </row>
    <row r="39" spans="1:26" x14ac:dyDescent="0.2">
      <c r="I39" s="780"/>
    </row>
  </sheetData>
  <mergeCells count="30">
    <mergeCell ref="Z4:Z5"/>
    <mergeCell ref="B16:C16"/>
    <mergeCell ref="A3:C5"/>
    <mergeCell ref="D3:D5"/>
    <mergeCell ref="E3:Z3"/>
    <mergeCell ref="M4:M5"/>
    <mergeCell ref="V4:V5"/>
    <mergeCell ref="B28:C28"/>
    <mergeCell ref="A29:C29"/>
    <mergeCell ref="A30:A31"/>
    <mergeCell ref="Y4:Y5"/>
    <mergeCell ref="W4:X4"/>
    <mergeCell ref="E4:L4"/>
    <mergeCell ref="N4:U4"/>
    <mergeCell ref="A1:Z1"/>
    <mergeCell ref="A2:Y2"/>
    <mergeCell ref="A32:C32"/>
    <mergeCell ref="A33:C33"/>
    <mergeCell ref="A6:A8"/>
    <mergeCell ref="B8:C8"/>
    <mergeCell ref="B9:C9"/>
    <mergeCell ref="A10:A16"/>
    <mergeCell ref="B18:C18"/>
    <mergeCell ref="A19:A21"/>
    <mergeCell ref="B24:C24"/>
    <mergeCell ref="A25:A28"/>
    <mergeCell ref="B17:C17"/>
    <mergeCell ref="B21:C21"/>
    <mergeCell ref="B22:C22"/>
    <mergeCell ref="B23:C23"/>
  </mergeCells>
  <pageMargins left="0.7" right="0.7" top="0.75" bottom="0.75" header="0.3" footer="0.3"/>
  <pageSetup paperSize="9" scale="47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2"/>
  <sheetViews>
    <sheetView topLeftCell="M1" zoomScaleNormal="100" workbookViewId="0">
      <selection activeCell="O4" sqref="O4"/>
    </sheetView>
  </sheetViews>
  <sheetFormatPr defaultRowHeight="12.75" x14ac:dyDescent="0.2"/>
  <cols>
    <col min="1" max="1" width="5.85546875" style="153" customWidth="1"/>
    <col min="2" max="2" width="46.42578125" style="154" customWidth="1"/>
    <col min="3" max="3" width="12.5703125" style="154" bestFit="1" customWidth="1"/>
    <col min="4" max="4" width="11.5703125" style="154" bestFit="1" customWidth="1"/>
    <col min="5" max="5" width="10.5703125" style="154" bestFit="1" customWidth="1"/>
    <col min="6" max="6" width="11.5703125" style="154" bestFit="1" customWidth="1"/>
    <col min="7" max="9" width="12.5703125" style="154" bestFit="1" customWidth="1"/>
    <col min="10" max="10" width="9.140625" style="154" bestFit="1" customWidth="1"/>
    <col min="11" max="11" width="8.140625" style="154" bestFit="1" customWidth="1"/>
    <col min="12" max="12" width="10.5703125" style="154" bestFit="1" customWidth="1"/>
    <col min="13" max="13" width="12.5703125" style="154" bestFit="1" customWidth="1"/>
    <col min="14" max="14" width="12.28515625" style="154" customWidth="1"/>
    <col min="15" max="15" width="16.5703125" style="164" bestFit="1" customWidth="1"/>
    <col min="16" max="16" width="47.28515625" style="153" customWidth="1"/>
    <col min="17" max="17" width="12.5703125" style="153" bestFit="1" customWidth="1"/>
    <col min="18" max="20" width="11.5703125" style="153" bestFit="1" customWidth="1"/>
    <col min="21" max="23" width="12.5703125" style="153" bestFit="1" customWidth="1"/>
    <col min="24" max="24" width="9.140625" style="153" bestFit="1" customWidth="1"/>
    <col min="25" max="25" width="8.85546875" style="153" bestFit="1" customWidth="1"/>
    <col min="26" max="26" width="10.5703125" style="153" bestFit="1" customWidth="1"/>
    <col min="27" max="28" width="12.5703125" style="153" bestFit="1" customWidth="1"/>
    <col min="29" max="29" width="16.5703125" style="153" bestFit="1" customWidth="1"/>
    <col min="30" max="30" width="4.140625" style="153" customWidth="1"/>
    <col min="31" max="16384" width="9.140625" style="153"/>
  </cols>
  <sheetData>
    <row r="1" spans="1:30" ht="39.75" customHeight="1" x14ac:dyDescent="0.2">
      <c r="A1" s="151"/>
      <c r="B1" s="86" t="s">
        <v>376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63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633"/>
    </row>
    <row r="2" spans="1:30" ht="14.25" thickBot="1" x14ac:dyDescent="0.25">
      <c r="AC2" s="87" t="s">
        <v>214</v>
      </c>
      <c r="AD2" s="633"/>
    </row>
    <row r="3" spans="1:30" ht="18" customHeight="1" thickBot="1" x14ac:dyDescent="0.25">
      <c r="A3" s="634" t="s">
        <v>99</v>
      </c>
      <c r="B3" s="88" t="s">
        <v>100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89"/>
      <c r="P3" s="88" t="s">
        <v>101</v>
      </c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633"/>
    </row>
    <row r="4" spans="1:30" s="92" customFormat="1" ht="35.25" customHeight="1" thickBot="1" x14ac:dyDescent="0.25">
      <c r="A4" s="635"/>
      <c r="B4" s="269" t="s">
        <v>35</v>
      </c>
      <c r="C4" s="461" t="s">
        <v>199</v>
      </c>
      <c r="D4" s="447" t="s">
        <v>419</v>
      </c>
      <c r="E4" s="447" t="s">
        <v>433</v>
      </c>
      <c r="F4" s="447" t="s">
        <v>449</v>
      </c>
      <c r="G4" s="447" t="s">
        <v>424</v>
      </c>
      <c r="H4" s="447" t="s">
        <v>421</v>
      </c>
      <c r="I4" s="446" t="s">
        <v>88</v>
      </c>
      <c r="J4" s="447" t="s">
        <v>419</v>
      </c>
      <c r="K4" s="447" t="s">
        <v>433</v>
      </c>
      <c r="L4" s="447" t="s">
        <v>449</v>
      </c>
      <c r="M4" s="447" t="s">
        <v>424</v>
      </c>
      <c r="N4" s="447" t="s">
        <v>421</v>
      </c>
      <c r="O4" s="91" t="s">
        <v>472</v>
      </c>
      <c r="P4" s="90" t="s">
        <v>35</v>
      </c>
      <c r="Q4" s="446" t="s">
        <v>199</v>
      </c>
      <c r="R4" s="447" t="s">
        <v>419</v>
      </c>
      <c r="S4" s="447" t="s">
        <v>433</v>
      </c>
      <c r="T4" s="447" t="s">
        <v>449</v>
      </c>
      <c r="U4" s="447" t="s">
        <v>424</v>
      </c>
      <c r="V4" s="447" t="s">
        <v>421</v>
      </c>
      <c r="W4" s="446" t="s">
        <v>88</v>
      </c>
      <c r="X4" s="285" t="s">
        <v>419</v>
      </c>
      <c r="Y4" s="285" t="s">
        <v>433</v>
      </c>
      <c r="Z4" s="285" t="s">
        <v>449</v>
      </c>
      <c r="AA4" s="285" t="s">
        <v>424</v>
      </c>
      <c r="AB4" s="285" t="s">
        <v>421</v>
      </c>
      <c r="AC4" s="91" t="s">
        <v>472</v>
      </c>
      <c r="AD4" s="633"/>
    </row>
    <row r="5" spans="1:30" s="97" customFormat="1" ht="12" customHeight="1" thickBot="1" x14ac:dyDescent="0.25">
      <c r="A5" s="93">
        <v>1</v>
      </c>
      <c r="B5" s="270">
        <v>2</v>
      </c>
      <c r="C5" s="462"/>
      <c r="D5" s="463"/>
      <c r="E5" s="463"/>
      <c r="F5" s="463"/>
      <c r="G5" s="463"/>
      <c r="H5" s="463"/>
      <c r="I5" s="464"/>
      <c r="J5" s="464"/>
      <c r="K5" s="464"/>
      <c r="L5" s="464"/>
      <c r="M5" s="464"/>
      <c r="N5" s="464"/>
      <c r="O5" s="95" t="s">
        <v>38</v>
      </c>
      <c r="P5" s="270" t="s">
        <v>39</v>
      </c>
      <c r="Q5" s="293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7"/>
      <c r="AC5" s="400" t="s">
        <v>40</v>
      </c>
      <c r="AD5" s="633"/>
    </row>
    <row r="6" spans="1:30" ht="12.95" customHeight="1" x14ac:dyDescent="0.2">
      <c r="A6" s="155" t="s">
        <v>36</v>
      </c>
      <c r="B6" s="271" t="s">
        <v>12</v>
      </c>
      <c r="C6" s="465">
        <f>'1. Bevételek'!E24</f>
        <v>181104000</v>
      </c>
      <c r="D6" s="466">
        <v>-12874005</v>
      </c>
      <c r="E6" s="466">
        <v>179701</v>
      </c>
      <c r="F6" s="466">
        <f>G6-E6-D6-C6</f>
        <v>11419948</v>
      </c>
      <c r="G6" s="467">
        <v>179829644</v>
      </c>
      <c r="H6" s="467">
        <v>173422748</v>
      </c>
      <c r="I6" s="466">
        <f>O6-C6</f>
        <v>0</v>
      </c>
      <c r="J6" s="466"/>
      <c r="K6" s="466"/>
      <c r="L6" s="466"/>
      <c r="M6" s="466"/>
      <c r="N6" s="466"/>
      <c r="O6" s="365">
        <f>'1. Bevételek'!Q24</f>
        <v>181104000</v>
      </c>
      <c r="P6" s="271" t="s">
        <v>1</v>
      </c>
      <c r="Q6" s="374">
        <f>'2. Kiadások'!E7</f>
        <v>51587132</v>
      </c>
      <c r="R6" s="375">
        <v>1744371</v>
      </c>
      <c r="S6" s="375">
        <v>-344756</v>
      </c>
      <c r="T6" s="375">
        <f>U6-S6-R6-Q6</f>
        <v>-6983846</v>
      </c>
      <c r="U6" s="375">
        <v>46002901</v>
      </c>
      <c r="V6" s="375">
        <v>46002901</v>
      </c>
      <c r="W6" s="375">
        <f>AC6-Q6</f>
        <v>82810304</v>
      </c>
      <c r="X6" s="375">
        <v>299601</v>
      </c>
      <c r="Y6" s="375">
        <v>-500000</v>
      </c>
      <c r="Z6" s="375">
        <f>AA6-Y6-X6-W6</f>
        <v>442141</v>
      </c>
      <c r="AA6" s="375">
        <v>83052046</v>
      </c>
      <c r="AB6" s="375">
        <v>83052046</v>
      </c>
      <c r="AC6" s="401">
        <f>'2. Kiadások'!Q7</f>
        <v>134397436</v>
      </c>
      <c r="AD6" s="633"/>
    </row>
    <row r="7" spans="1:30" ht="12.95" customHeight="1" x14ac:dyDescent="0.2">
      <c r="A7" s="156" t="s">
        <v>37</v>
      </c>
      <c r="B7" s="272" t="s">
        <v>202</v>
      </c>
      <c r="C7" s="468">
        <f>'1. Bevételek'!E33</f>
        <v>17865603</v>
      </c>
      <c r="D7" s="466">
        <v>2859860</v>
      </c>
      <c r="E7" s="466">
        <v>2245011</v>
      </c>
      <c r="F7" s="466">
        <f t="shared" ref="F7:F11" si="0">G7-E7-D7-C7</f>
        <v>-3292192</v>
      </c>
      <c r="G7" s="467">
        <v>19678282</v>
      </c>
      <c r="H7" s="467">
        <v>19631282</v>
      </c>
      <c r="I7" s="469">
        <f>O7-C7</f>
        <v>2002000</v>
      </c>
      <c r="J7" s="469">
        <v>407000</v>
      </c>
      <c r="K7" s="469">
        <v>0</v>
      </c>
      <c r="L7" s="469">
        <f>M7-K7-J7-I7</f>
        <v>1890891</v>
      </c>
      <c r="M7" s="469">
        <v>4299891</v>
      </c>
      <c r="N7" s="469">
        <v>4299891</v>
      </c>
      <c r="O7" s="366">
        <f>'1. Bevételek'!Q33</f>
        <v>19867603</v>
      </c>
      <c r="P7" s="272" t="s">
        <v>102</v>
      </c>
      <c r="Q7" s="376">
        <f>'2. Kiadások'!E8</f>
        <v>8843520</v>
      </c>
      <c r="R7" s="375">
        <v>-38571</v>
      </c>
      <c r="S7" s="375">
        <v>243032</v>
      </c>
      <c r="T7" s="375">
        <f t="shared" ref="T7:T30" si="1">U7-S7-R7-Q7</f>
        <v>-1927452</v>
      </c>
      <c r="U7" s="362">
        <v>7120529</v>
      </c>
      <c r="V7" s="362">
        <v>7120529</v>
      </c>
      <c r="W7" s="362">
        <f t="shared" ref="W7:W11" si="2">AC7-Q7</f>
        <v>14696450</v>
      </c>
      <c r="X7" s="375">
        <v>-299601</v>
      </c>
      <c r="Y7" s="375">
        <v>0</v>
      </c>
      <c r="Z7" s="375">
        <f t="shared" ref="Z7:Z29" si="3">AA7-Y7-X7-W7</f>
        <v>-958555</v>
      </c>
      <c r="AA7" s="362">
        <v>13438294</v>
      </c>
      <c r="AB7" s="362">
        <v>23539970</v>
      </c>
      <c r="AC7" s="402">
        <f>'2. Kiadások'!Q8</f>
        <v>23539970</v>
      </c>
      <c r="AD7" s="633"/>
    </row>
    <row r="8" spans="1:30" ht="12.95" customHeight="1" x14ac:dyDescent="0.2">
      <c r="A8" s="156" t="s">
        <v>38</v>
      </c>
      <c r="B8" s="272" t="s">
        <v>103</v>
      </c>
      <c r="C8" s="468"/>
      <c r="D8" s="466">
        <v>0</v>
      </c>
      <c r="E8" s="466">
        <v>0</v>
      </c>
      <c r="F8" s="466">
        <f t="shared" si="0"/>
        <v>0</v>
      </c>
      <c r="G8" s="470"/>
      <c r="H8" s="470"/>
      <c r="I8" s="469">
        <f>O8-C8</f>
        <v>0</v>
      </c>
      <c r="J8" s="469"/>
      <c r="K8" s="469"/>
      <c r="L8" s="469"/>
      <c r="M8" s="469"/>
      <c r="N8" s="469"/>
      <c r="O8" s="366"/>
      <c r="P8" s="272" t="s">
        <v>32</v>
      </c>
      <c r="Q8" s="376">
        <f>'2. Kiadások'!E14</f>
        <v>104957017</v>
      </c>
      <c r="R8" s="375">
        <v>1121993</v>
      </c>
      <c r="S8" s="375">
        <v>100000</v>
      </c>
      <c r="T8" s="375">
        <f t="shared" si="1"/>
        <v>-40559769</v>
      </c>
      <c r="U8" s="362">
        <v>65619241</v>
      </c>
      <c r="V8" s="362">
        <v>65619241</v>
      </c>
      <c r="W8" s="362">
        <f t="shared" si="2"/>
        <v>10020160</v>
      </c>
      <c r="X8" s="375">
        <v>407000</v>
      </c>
      <c r="Y8" s="375">
        <v>500000</v>
      </c>
      <c r="Z8" s="375">
        <f t="shared" si="3"/>
        <v>1690114</v>
      </c>
      <c r="AA8" s="362">
        <v>12617274</v>
      </c>
      <c r="AB8" s="362">
        <v>12297274</v>
      </c>
      <c r="AC8" s="402">
        <f>'2. Kiadások'!Q14</f>
        <v>114977177</v>
      </c>
      <c r="AD8" s="633"/>
    </row>
    <row r="9" spans="1:30" ht="22.5" x14ac:dyDescent="0.2">
      <c r="A9" s="156" t="s">
        <v>39</v>
      </c>
      <c r="B9" s="100" t="s">
        <v>203</v>
      </c>
      <c r="C9" s="468">
        <f>'1. Bevételek'!E10</f>
        <v>282993159</v>
      </c>
      <c r="D9" s="466">
        <v>25386491</v>
      </c>
      <c r="E9" s="466">
        <v>2273282</v>
      </c>
      <c r="F9" s="466">
        <f t="shared" si="0"/>
        <v>5620948</v>
      </c>
      <c r="G9" s="467">
        <v>316273880</v>
      </c>
      <c r="H9" s="467">
        <v>316273880</v>
      </c>
      <c r="I9" s="469">
        <f>O9-C9</f>
        <v>0</v>
      </c>
      <c r="J9" s="469"/>
      <c r="K9" s="469"/>
      <c r="L9" s="469"/>
      <c r="M9" s="469"/>
      <c r="N9" s="469"/>
      <c r="O9" s="366">
        <f>'1. Bevételek'!Q10</f>
        <v>282993159</v>
      </c>
      <c r="P9" s="272" t="s">
        <v>104</v>
      </c>
      <c r="Q9" s="376">
        <f>'2. Kiadások'!E15</f>
        <v>1400000</v>
      </c>
      <c r="R9" s="375">
        <v>0</v>
      </c>
      <c r="S9" s="375">
        <v>0</v>
      </c>
      <c r="T9" s="375">
        <f t="shared" si="1"/>
        <v>-573805</v>
      </c>
      <c r="U9" s="362">
        <v>826195</v>
      </c>
      <c r="V9" s="362">
        <v>826195</v>
      </c>
      <c r="W9" s="362">
        <f t="shared" si="2"/>
        <v>0</v>
      </c>
      <c r="X9" s="375">
        <v>0</v>
      </c>
      <c r="Y9" s="375">
        <v>0</v>
      </c>
      <c r="Z9" s="354">
        <f t="shared" si="3"/>
        <v>0</v>
      </c>
      <c r="AA9" s="312"/>
      <c r="AB9" s="312"/>
      <c r="AC9" s="402">
        <f>'2. Kiadások'!Q15</f>
        <v>1400000</v>
      </c>
      <c r="AD9" s="633"/>
    </row>
    <row r="10" spans="1:30" ht="12.95" customHeight="1" x14ac:dyDescent="0.2">
      <c r="A10" s="156" t="s">
        <v>40</v>
      </c>
      <c r="B10" s="272" t="s">
        <v>105</v>
      </c>
      <c r="C10" s="468">
        <f>'1. Bevételek'!E15</f>
        <v>52929148</v>
      </c>
      <c r="D10" s="466">
        <v>1762500</v>
      </c>
      <c r="E10" s="466">
        <v>121276</v>
      </c>
      <c r="F10" s="466">
        <f t="shared" si="0"/>
        <v>-17086596</v>
      </c>
      <c r="G10" s="467">
        <v>37726328</v>
      </c>
      <c r="H10" s="467">
        <v>37726328</v>
      </c>
      <c r="I10" s="469">
        <f>O10-C10</f>
        <v>0</v>
      </c>
      <c r="J10" s="469"/>
      <c r="K10" s="469"/>
      <c r="L10" s="469"/>
      <c r="M10" s="469"/>
      <c r="N10" s="469"/>
      <c r="O10" s="366">
        <f>'1. Bevételek'!Q15</f>
        <v>52929148</v>
      </c>
      <c r="P10" s="272" t="s">
        <v>106</v>
      </c>
      <c r="Q10" s="376">
        <f>'2. Kiadások'!E19</f>
        <v>280992978</v>
      </c>
      <c r="R10" s="375">
        <v>75000</v>
      </c>
      <c r="S10" s="375">
        <v>255000</v>
      </c>
      <c r="T10" s="375">
        <f t="shared" si="1"/>
        <v>-23058669</v>
      </c>
      <c r="U10" s="362">
        <v>258264309</v>
      </c>
      <c r="V10" s="362">
        <v>258264309</v>
      </c>
      <c r="W10" s="362">
        <f t="shared" si="2"/>
        <v>941822</v>
      </c>
      <c r="X10" s="375">
        <v>0</v>
      </c>
      <c r="Y10" s="375">
        <v>0</v>
      </c>
      <c r="Z10" s="354">
        <f t="shared" si="3"/>
        <v>0</v>
      </c>
      <c r="AA10" s="362">
        <v>941822</v>
      </c>
      <c r="AB10" s="362">
        <v>941822</v>
      </c>
      <c r="AC10" s="402">
        <f>'2. Kiadások'!Q19</f>
        <v>281934800</v>
      </c>
      <c r="AD10" s="633"/>
    </row>
    <row r="11" spans="1:30" ht="12.95" customHeight="1" x14ac:dyDescent="0.2">
      <c r="A11" s="156" t="s">
        <v>45</v>
      </c>
      <c r="B11" s="272" t="s">
        <v>107</v>
      </c>
      <c r="C11" s="468"/>
      <c r="D11" s="471"/>
      <c r="E11" s="471"/>
      <c r="F11" s="471">
        <f t="shared" si="0"/>
        <v>0</v>
      </c>
      <c r="G11" s="472"/>
      <c r="H11" s="472"/>
      <c r="I11" s="473"/>
      <c r="J11" s="473"/>
      <c r="K11" s="473"/>
      <c r="L11" s="473"/>
      <c r="M11" s="473"/>
      <c r="N11" s="473"/>
      <c r="O11" s="367"/>
      <c r="P11" s="272" t="s">
        <v>418</v>
      </c>
      <c r="Q11" s="376">
        <f>'2. Kiadások'!E20</f>
        <v>5288426</v>
      </c>
      <c r="R11" s="375">
        <v>8518220</v>
      </c>
      <c r="S11" s="375">
        <v>11341663</v>
      </c>
      <c r="T11" s="375">
        <f t="shared" si="1"/>
        <v>136444788</v>
      </c>
      <c r="U11" s="362">
        <v>161593097</v>
      </c>
      <c r="V11" s="312"/>
      <c r="W11" s="362">
        <f t="shared" si="2"/>
        <v>0</v>
      </c>
      <c r="X11" s="375">
        <f t="shared" ref="X11:X15" si="4">AA11-W11</f>
        <v>0</v>
      </c>
      <c r="Y11" s="375"/>
      <c r="Z11" s="354">
        <f t="shared" si="3"/>
        <v>0</v>
      </c>
      <c r="AA11" s="312"/>
      <c r="AB11" s="312"/>
      <c r="AC11" s="402">
        <f>'2. Kiadások'!Q20</f>
        <v>5288426</v>
      </c>
      <c r="AD11" s="633"/>
    </row>
    <row r="12" spans="1:30" ht="12.95" customHeight="1" x14ac:dyDescent="0.2">
      <c r="A12" s="156" t="s">
        <v>47</v>
      </c>
      <c r="B12" s="272" t="s">
        <v>108</v>
      </c>
      <c r="C12" s="468"/>
      <c r="D12" s="474"/>
      <c r="E12" s="474"/>
      <c r="F12" s="474"/>
      <c r="G12" s="475"/>
      <c r="H12" s="475"/>
      <c r="I12" s="476"/>
      <c r="J12" s="476"/>
      <c r="K12" s="476"/>
      <c r="L12" s="476"/>
      <c r="M12" s="476"/>
      <c r="N12" s="476"/>
      <c r="O12" s="366"/>
      <c r="P12" s="272" t="s">
        <v>13</v>
      </c>
      <c r="Q12" s="376"/>
      <c r="R12" s="375">
        <v>0</v>
      </c>
      <c r="S12" s="375">
        <v>0</v>
      </c>
      <c r="T12" s="354">
        <f t="shared" si="1"/>
        <v>0</v>
      </c>
      <c r="U12" s="312"/>
      <c r="V12" s="312"/>
      <c r="W12" s="362"/>
      <c r="X12" s="375">
        <f t="shared" si="4"/>
        <v>0</v>
      </c>
      <c r="Y12" s="375"/>
      <c r="Z12" s="354">
        <f t="shared" si="3"/>
        <v>0</v>
      </c>
      <c r="AA12" s="312"/>
      <c r="AB12" s="312"/>
      <c r="AC12" s="402"/>
      <c r="AD12" s="633"/>
    </row>
    <row r="13" spans="1:30" ht="12.95" customHeight="1" x14ac:dyDescent="0.2">
      <c r="A13" s="156" t="s">
        <v>48</v>
      </c>
      <c r="B13" s="272" t="s">
        <v>109</v>
      </c>
      <c r="C13" s="468"/>
      <c r="D13" s="474"/>
      <c r="E13" s="474"/>
      <c r="F13" s="474"/>
      <c r="G13" s="475"/>
      <c r="H13" s="475"/>
      <c r="I13" s="476"/>
      <c r="J13" s="476"/>
      <c r="K13" s="476"/>
      <c r="L13" s="476"/>
      <c r="M13" s="476"/>
      <c r="N13" s="476"/>
      <c r="O13" s="366"/>
      <c r="P13" s="273" t="s">
        <v>288</v>
      </c>
      <c r="Q13" s="377"/>
      <c r="R13" s="375">
        <v>0</v>
      </c>
      <c r="S13" s="375">
        <v>0</v>
      </c>
      <c r="T13" s="354">
        <f t="shared" si="1"/>
        <v>0</v>
      </c>
      <c r="U13" s="313"/>
      <c r="V13" s="313"/>
      <c r="W13" s="378"/>
      <c r="X13" s="375">
        <f t="shared" si="4"/>
        <v>0</v>
      </c>
      <c r="Y13" s="375"/>
      <c r="Z13" s="354">
        <f t="shared" si="3"/>
        <v>0</v>
      </c>
      <c r="AA13" s="313"/>
      <c r="AB13" s="313"/>
      <c r="AC13" s="402"/>
      <c r="AD13" s="633"/>
    </row>
    <row r="14" spans="1:30" ht="12.95" customHeight="1" x14ac:dyDescent="0.2">
      <c r="A14" s="156" t="s">
        <v>49</v>
      </c>
      <c r="B14" s="102" t="s">
        <v>110</v>
      </c>
      <c r="C14" s="477"/>
      <c r="D14" s="478"/>
      <c r="E14" s="478"/>
      <c r="F14" s="478"/>
      <c r="G14" s="479"/>
      <c r="H14" s="479"/>
      <c r="I14" s="480"/>
      <c r="J14" s="480"/>
      <c r="K14" s="480"/>
      <c r="L14" s="469"/>
      <c r="M14" s="480"/>
      <c r="N14" s="480"/>
      <c r="O14" s="367"/>
      <c r="P14" s="273" t="s">
        <v>275</v>
      </c>
      <c r="Q14" s="377">
        <f>'2. Kiadások'!E16</f>
        <v>5744100</v>
      </c>
      <c r="R14" s="375">
        <v>4350819</v>
      </c>
      <c r="S14" s="375">
        <v>0</v>
      </c>
      <c r="T14" s="354">
        <f t="shared" si="1"/>
        <v>0</v>
      </c>
      <c r="U14" s="378">
        <v>10094919</v>
      </c>
      <c r="V14" s="378">
        <v>10094919</v>
      </c>
      <c r="W14" s="362">
        <f t="shared" ref="W14" si="5">AC14-Q14</f>
        <v>0</v>
      </c>
      <c r="X14" s="375">
        <f t="shared" si="4"/>
        <v>0</v>
      </c>
      <c r="Y14" s="375"/>
      <c r="Z14" s="354">
        <f t="shared" si="3"/>
        <v>0</v>
      </c>
      <c r="AA14" s="312"/>
      <c r="AB14" s="312"/>
      <c r="AC14" s="402">
        <f>'2. Kiadások'!Q16</f>
        <v>5744100</v>
      </c>
      <c r="AD14" s="633"/>
    </row>
    <row r="15" spans="1:30" ht="12.95" customHeight="1" x14ac:dyDescent="0.2">
      <c r="A15" s="156" t="s">
        <v>50</v>
      </c>
      <c r="B15" s="273" t="s">
        <v>288</v>
      </c>
      <c r="C15" s="481"/>
      <c r="D15" s="482"/>
      <c r="E15" s="482"/>
      <c r="F15" s="482"/>
      <c r="G15" s="483"/>
      <c r="H15" s="483"/>
      <c r="I15" s="484"/>
      <c r="J15" s="484"/>
      <c r="K15" s="484"/>
      <c r="L15" s="484"/>
      <c r="M15" s="484"/>
      <c r="N15" s="484"/>
      <c r="O15" s="366"/>
      <c r="P15" s="273"/>
      <c r="Q15" s="377"/>
      <c r="R15" s="378"/>
      <c r="S15" s="378"/>
      <c r="T15" s="313">
        <f t="shared" si="1"/>
        <v>0</v>
      </c>
      <c r="U15" s="313"/>
      <c r="V15" s="313"/>
      <c r="W15" s="378"/>
      <c r="X15" s="375">
        <f t="shared" si="4"/>
        <v>0</v>
      </c>
      <c r="Y15" s="375"/>
      <c r="Z15" s="354">
        <f t="shared" si="3"/>
        <v>0</v>
      </c>
      <c r="AA15" s="313"/>
      <c r="AB15" s="313"/>
      <c r="AC15" s="402"/>
      <c r="AD15" s="633"/>
    </row>
    <row r="16" spans="1:30" ht="12.95" customHeight="1" x14ac:dyDescent="0.2">
      <c r="A16" s="156" t="s">
        <v>23</v>
      </c>
      <c r="B16" s="273"/>
      <c r="C16" s="481"/>
      <c r="D16" s="482"/>
      <c r="E16" s="482"/>
      <c r="F16" s="482"/>
      <c r="G16" s="483"/>
      <c r="H16" s="483"/>
      <c r="I16" s="484"/>
      <c r="J16" s="484"/>
      <c r="K16" s="484"/>
      <c r="L16" s="484"/>
      <c r="M16" s="484"/>
      <c r="N16" s="484"/>
      <c r="O16" s="366"/>
      <c r="P16" s="273"/>
      <c r="Q16" s="377"/>
      <c r="R16" s="378"/>
      <c r="S16" s="378"/>
      <c r="T16" s="313">
        <f t="shared" si="1"/>
        <v>0</v>
      </c>
      <c r="U16" s="313"/>
      <c r="V16" s="313"/>
      <c r="W16" s="378"/>
      <c r="X16" s="378"/>
      <c r="Y16" s="378"/>
      <c r="Z16" s="313">
        <f t="shared" si="3"/>
        <v>0</v>
      </c>
      <c r="AA16" s="313"/>
      <c r="AB16" s="313"/>
      <c r="AC16" s="402"/>
      <c r="AD16" s="633"/>
    </row>
    <row r="17" spans="1:30" ht="12.95" customHeight="1" thickBot="1" x14ac:dyDescent="0.25">
      <c r="A17" s="156" t="s">
        <v>24</v>
      </c>
      <c r="B17" s="274"/>
      <c r="C17" s="485"/>
      <c r="D17" s="486"/>
      <c r="E17" s="486"/>
      <c r="F17" s="486"/>
      <c r="G17" s="487"/>
      <c r="H17" s="487"/>
      <c r="I17" s="488"/>
      <c r="J17" s="488"/>
      <c r="K17" s="488"/>
      <c r="L17" s="488"/>
      <c r="M17" s="488"/>
      <c r="N17" s="488"/>
      <c r="O17" s="368"/>
      <c r="P17" s="273"/>
      <c r="Q17" s="377"/>
      <c r="R17" s="378"/>
      <c r="S17" s="378"/>
      <c r="T17" s="313">
        <f t="shared" si="1"/>
        <v>0</v>
      </c>
      <c r="U17" s="313"/>
      <c r="V17" s="313"/>
      <c r="W17" s="378"/>
      <c r="X17" s="378"/>
      <c r="Y17" s="378"/>
      <c r="Z17" s="313">
        <f t="shared" si="3"/>
        <v>0</v>
      </c>
      <c r="AA17" s="313"/>
      <c r="AB17" s="313"/>
      <c r="AC17" s="403"/>
      <c r="AD17" s="633"/>
    </row>
    <row r="18" spans="1:30" ht="15.95" customHeight="1" thickBot="1" x14ac:dyDescent="0.25">
      <c r="A18" s="103" t="s">
        <v>28</v>
      </c>
      <c r="B18" s="275" t="s">
        <v>111</v>
      </c>
      <c r="C18" s="489">
        <f>+C6+C7+C8+C9+C10+C12+C13+C14+C15+C16+C17</f>
        <v>534891910</v>
      </c>
      <c r="D18" s="489">
        <f t="shared" ref="D18:F18" si="6">+D6+D7+D8+D9+D10+D12+D13+D14+D15+D16+D17</f>
        <v>17134846</v>
      </c>
      <c r="E18" s="489">
        <f t="shared" si="6"/>
        <v>4819270</v>
      </c>
      <c r="F18" s="489">
        <f t="shared" si="6"/>
        <v>-3337892</v>
      </c>
      <c r="G18" s="489">
        <f t="shared" ref="G18:H18" si="7">+G6+G7+G8+G9+G10+G12+G13+G14+G15+G16+G17</f>
        <v>553508134</v>
      </c>
      <c r="H18" s="489">
        <f t="shared" si="7"/>
        <v>547054238</v>
      </c>
      <c r="I18" s="490">
        <f>+I6+I7+I8+I9+I10+I12+I13+I14+I15+I16+I17</f>
        <v>2002000</v>
      </c>
      <c r="J18" s="490">
        <f t="shared" ref="J18:L18" si="8">+J6+J7+J8+J9+J10+J12+J13+J14+J15+J16+J17</f>
        <v>407000</v>
      </c>
      <c r="K18" s="490">
        <f t="shared" si="8"/>
        <v>0</v>
      </c>
      <c r="L18" s="490">
        <f t="shared" si="8"/>
        <v>1890891</v>
      </c>
      <c r="M18" s="490">
        <f t="shared" ref="M18:N18" si="9">+M6+M7+M8+M9+M10+M12+M13+M14+M15+M16+M17</f>
        <v>4299891</v>
      </c>
      <c r="N18" s="490">
        <f t="shared" si="9"/>
        <v>4299891</v>
      </c>
      <c r="O18" s="369">
        <f>+O6+O7+O8+O9+O10+O12+O13+O14+O15+O16+O17</f>
        <v>536893910</v>
      </c>
      <c r="P18" s="275" t="s">
        <v>112</v>
      </c>
      <c r="Q18" s="379">
        <f>SUM(Q6:Q17)</f>
        <v>458813173</v>
      </c>
      <c r="R18" s="379">
        <v>15771832</v>
      </c>
      <c r="S18" s="379">
        <v>11594939</v>
      </c>
      <c r="T18" s="379">
        <f t="shared" si="1"/>
        <v>63341247</v>
      </c>
      <c r="U18" s="379">
        <f t="shared" ref="U18:V18" si="10">SUM(U6:U17)</f>
        <v>549521191</v>
      </c>
      <c r="V18" s="379">
        <f t="shared" si="10"/>
        <v>387928094</v>
      </c>
      <c r="W18" s="390">
        <f>SUM(W6:W17)</f>
        <v>108468736</v>
      </c>
      <c r="X18" s="390">
        <f t="shared" ref="X18:AB18" si="11">SUM(X6:X17)</f>
        <v>407000</v>
      </c>
      <c r="Y18" s="390">
        <v>0</v>
      </c>
      <c r="Z18" s="390">
        <f t="shared" si="3"/>
        <v>1173700</v>
      </c>
      <c r="AA18" s="390">
        <f t="shared" si="11"/>
        <v>110049436</v>
      </c>
      <c r="AB18" s="390">
        <f t="shared" si="11"/>
        <v>119831112</v>
      </c>
      <c r="AC18" s="326">
        <f>SUM(AC6:AC17)</f>
        <v>567281909</v>
      </c>
      <c r="AD18" s="633"/>
    </row>
    <row r="19" spans="1:30" ht="12.95" customHeight="1" x14ac:dyDescent="0.2">
      <c r="A19" s="105" t="s">
        <v>25</v>
      </c>
      <c r="B19" s="276" t="s">
        <v>113</v>
      </c>
      <c r="C19" s="491">
        <f>+C20+C21+C22+C23</f>
        <v>40765904</v>
      </c>
      <c r="D19" s="491">
        <f t="shared" ref="D19:F19" si="12">+D20+D21+D22+D23</f>
        <v>0</v>
      </c>
      <c r="E19" s="491">
        <f t="shared" si="12"/>
        <v>0</v>
      </c>
      <c r="F19" s="491">
        <f t="shared" si="12"/>
        <v>13359495</v>
      </c>
      <c r="G19" s="491">
        <f t="shared" ref="G19:H19" si="13">+G20+G21+G22+G23</f>
        <v>54125399</v>
      </c>
      <c r="H19" s="491">
        <f t="shared" si="13"/>
        <v>54125399</v>
      </c>
      <c r="I19" s="492">
        <f>+I20+I21+I22+I23</f>
        <v>106466736</v>
      </c>
      <c r="J19" s="492">
        <f t="shared" ref="J19:L19" si="14">+J20+J21+J22+J23</f>
        <v>0</v>
      </c>
      <c r="K19" s="492">
        <f t="shared" si="14"/>
        <v>0</v>
      </c>
      <c r="L19" s="492">
        <f t="shared" si="14"/>
        <v>-717191</v>
      </c>
      <c r="M19" s="493">
        <f t="shared" ref="M19:N19" si="15">+M20+M21+M22+M23</f>
        <v>105749545</v>
      </c>
      <c r="N19" s="493">
        <f t="shared" si="15"/>
        <v>105749545</v>
      </c>
      <c r="O19" s="370">
        <f>+O20+O21+O22+O23</f>
        <v>147232640</v>
      </c>
      <c r="P19" s="277" t="s">
        <v>114</v>
      </c>
      <c r="Q19" s="380"/>
      <c r="R19" s="325"/>
      <c r="S19" s="325"/>
      <c r="T19" s="314">
        <f t="shared" si="1"/>
        <v>0</v>
      </c>
      <c r="U19" s="314"/>
      <c r="V19" s="314"/>
      <c r="W19" s="391"/>
      <c r="X19" s="392"/>
      <c r="Y19" s="392"/>
      <c r="Z19" s="358">
        <f t="shared" si="3"/>
        <v>0</v>
      </c>
      <c r="AA19" s="358"/>
      <c r="AB19" s="358"/>
      <c r="AC19" s="404"/>
      <c r="AD19" s="633"/>
    </row>
    <row r="20" spans="1:30" ht="12.95" customHeight="1" x14ac:dyDescent="0.2">
      <c r="A20" s="108" t="s">
        <v>53</v>
      </c>
      <c r="B20" s="277" t="s">
        <v>115</v>
      </c>
      <c r="C20" s="494">
        <f>O20-I20</f>
        <v>40765904</v>
      </c>
      <c r="D20" s="466">
        <v>0</v>
      </c>
      <c r="E20" s="466">
        <v>0</v>
      </c>
      <c r="F20" s="466">
        <f>G20-E20-D20-C20</f>
        <v>-1092146</v>
      </c>
      <c r="G20" s="467">
        <v>39673758</v>
      </c>
      <c r="H20" s="467">
        <v>39673758</v>
      </c>
      <c r="I20" s="495">
        <f>'1. Bevételek'!K45</f>
        <v>941822</v>
      </c>
      <c r="J20" s="476">
        <v>0</v>
      </c>
      <c r="K20" s="476">
        <v>0</v>
      </c>
      <c r="L20" s="476">
        <f t="shared" ref="L20:L24" si="16">M20-K20-J20-I20</f>
        <v>0</v>
      </c>
      <c r="M20" s="476">
        <v>941822</v>
      </c>
      <c r="N20" s="476">
        <v>941822</v>
      </c>
      <c r="O20" s="366">
        <v>41707726</v>
      </c>
      <c r="P20" s="277" t="s">
        <v>116</v>
      </c>
      <c r="Q20" s="381"/>
      <c r="R20" s="324"/>
      <c r="S20" s="324"/>
      <c r="T20" s="315">
        <f t="shared" si="1"/>
        <v>0</v>
      </c>
      <c r="U20" s="315"/>
      <c r="V20" s="315"/>
      <c r="W20" s="393"/>
      <c r="X20" s="394"/>
      <c r="Y20" s="394"/>
      <c r="Z20" s="359">
        <f t="shared" si="3"/>
        <v>0</v>
      </c>
      <c r="AA20" s="359"/>
      <c r="AB20" s="359"/>
      <c r="AC20" s="405"/>
      <c r="AD20" s="633"/>
    </row>
    <row r="21" spans="1:30" ht="12.95" customHeight="1" x14ac:dyDescent="0.2">
      <c r="A21" s="108" t="s">
        <v>64</v>
      </c>
      <c r="B21" s="277" t="s">
        <v>450</v>
      </c>
      <c r="C21" s="494"/>
      <c r="D21" s="496"/>
      <c r="E21" s="496"/>
      <c r="F21" s="466">
        <f t="shared" ref="F21" si="17">G21-E21-D21-C21</f>
        <v>14451641</v>
      </c>
      <c r="G21" s="476">
        <v>14451641</v>
      </c>
      <c r="H21" s="476">
        <v>14451641</v>
      </c>
      <c r="I21" s="476"/>
      <c r="J21" s="476"/>
      <c r="K21" s="476"/>
      <c r="L21" s="476">
        <f t="shared" si="16"/>
        <v>0</v>
      </c>
      <c r="M21" s="476"/>
      <c r="N21" s="476"/>
      <c r="O21" s="366"/>
      <c r="P21" s="277" t="s">
        <v>117</v>
      </c>
      <c r="Q21" s="381"/>
      <c r="R21" s="324"/>
      <c r="S21" s="324"/>
      <c r="T21" s="315">
        <f t="shared" si="1"/>
        <v>0</v>
      </c>
      <c r="U21" s="315"/>
      <c r="V21" s="315"/>
      <c r="W21" s="393"/>
      <c r="X21" s="394"/>
      <c r="Y21" s="394"/>
      <c r="Z21" s="359">
        <f t="shared" si="3"/>
        <v>0</v>
      </c>
      <c r="AA21" s="359"/>
      <c r="AB21" s="359"/>
      <c r="AC21" s="405"/>
      <c r="AD21" s="633"/>
    </row>
    <row r="22" spans="1:30" ht="12.95" customHeight="1" x14ac:dyDescent="0.2">
      <c r="A22" s="108" t="s">
        <v>26</v>
      </c>
      <c r="B22" s="277" t="s">
        <v>212</v>
      </c>
      <c r="C22" s="494"/>
      <c r="D22" s="496"/>
      <c r="E22" s="496"/>
      <c r="F22" s="496"/>
      <c r="G22" s="475"/>
      <c r="H22" s="475"/>
      <c r="I22" s="476"/>
      <c r="J22" s="476"/>
      <c r="K22" s="476"/>
      <c r="L22" s="476">
        <f t="shared" si="16"/>
        <v>0</v>
      </c>
      <c r="M22" s="476"/>
      <c r="N22" s="476"/>
      <c r="O22" s="366">
        <v>0</v>
      </c>
      <c r="P22" s="277" t="s">
        <v>118</v>
      </c>
      <c r="Q22" s="381"/>
      <c r="R22" s="324"/>
      <c r="S22" s="324"/>
      <c r="T22" s="315">
        <f t="shared" si="1"/>
        <v>0</v>
      </c>
      <c r="U22" s="315"/>
      <c r="V22" s="315"/>
      <c r="W22" s="393"/>
      <c r="X22" s="394"/>
      <c r="Y22" s="394"/>
      <c r="Z22" s="359">
        <f t="shared" si="3"/>
        <v>0</v>
      </c>
      <c r="AA22" s="359"/>
      <c r="AB22" s="359"/>
      <c r="AC22" s="405"/>
      <c r="AD22" s="633"/>
    </row>
    <row r="23" spans="1:30" ht="12.95" customHeight="1" x14ac:dyDescent="0.2">
      <c r="A23" s="108" t="s">
        <v>65</v>
      </c>
      <c r="B23" s="277" t="s">
        <v>119</v>
      </c>
      <c r="C23" s="494">
        <f>'1. Bevételek'!E48</f>
        <v>0</v>
      </c>
      <c r="D23" s="467"/>
      <c r="E23" s="467"/>
      <c r="F23" s="467"/>
      <c r="G23" s="470"/>
      <c r="H23" s="470"/>
      <c r="I23" s="469">
        <f>O23-C23</f>
        <v>105524914</v>
      </c>
      <c r="J23" s="469">
        <v>0</v>
      </c>
      <c r="K23" s="469"/>
      <c r="L23" s="469">
        <f t="shared" si="16"/>
        <v>-717191</v>
      </c>
      <c r="M23" s="469">
        <v>104807723</v>
      </c>
      <c r="N23" s="469">
        <v>104807723</v>
      </c>
      <c r="O23" s="366">
        <f>'1. Bevételek'!K48</f>
        <v>105524914</v>
      </c>
      <c r="P23" s="276" t="s">
        <v>120</v>
      </c>
      <c r="Q23" s="380"/>
      <c r="R23" s="325"/>
      <c r="S23" s="325"/>
      <c r="T23" s="314">
        <f t="shared" si="1"/>
        <v>0</v>
      </c>
      <c r="U23" s="314"/>
      <c r="V23" s="314"/>
      <c r="W23" s="395"/>
      <c r="X23" s="392"/>
      <c r="Y23" s="392"/>
      <c r="Z23" s="358">
        <f t="shared" si="3"/>
        <v>0</v>
      </c>
      <c r="AA23" s="358"/>
      <c r="AB23" s="358"/>
      <c r="AC23" s="405"/>
      <c r="AD23" s="633"/>
    </row>
    <row r="24" spans="1:30" ht="12.95" customHeight="1" x14ac:dyDescent="0.2">
      <c r="A24" s="108" t="s">
        <v>51</v>
      </c>
      <c r="B24" s="277" t="s">
        <v>121</v>
      </c>
      <c r="C24" s="497">
        <f>+C25+C26</f>
        <v>0</v>
      </c>
      <c r="D24" s="498"/>
      <c r="E24" s="498"/>
      <c r="F24" s="498"/>
      <c r="G24" s="499"/>
      <c r="H24" s="499"/>
      <c r="I24" s="500">
        <f>+I25+I26</f>
        <v>0</v>
      </c>
      <c r="J24" s="500"/>
      <c r="K24" s="500"/>
      <c r="L24" s="500">
        <f t="shared" si="16"/>
        <v>0</v>
      </c>
      <c r="M24" s="500"/>
      <c r="N24" s="500"/>
      <c r="O24" s="371">
        <f>+O25+O26</f>
        <v>0</v>
      </c>
      <c r="P24" s="277" t="s">
        <v>122</v>
      </c>
      <c r="Q24" s="381"/>
      <c r="R24" s="324"/>
      <c r="S24" s="324"/>
      <c r="T24" s="315">
        <f t="shared" si="1"/>
        <v>0</v>
      </c>
      <c r="U24" s="315"/>
      <c r="V24" s="315"/>
      <c r="W24" s="393"/>
      <c r="X24" s="394"/>
      <c r="Y24" s="394"/>
      <c r="Z24" s="359">
        <f t="shared" si="3"/>
        <v>0</v>
      </c>
      <c r="AA24" s="359"/>
      <c r="AB24" s="359"/>
      <c r="AC24" s="405"/>
      <c r="AD24" s="633"/>
    </row>
    <row r="25" spans="1:30" ht="12.95" customHeight="1" x14ac:dyDescent="0.2">
      <c r="A25" s="105" t="s">
        <v>79</v>
      </c>
      <c r="B25" s="276" t="s">
        <v>123</v>
      </c>
      <c r="C25" s="494"/>
      <c r="D25" s="501"/>
      <c r="E25" s="501"/>
      <c r="F25" s="501"/>
      <c r="G25" s="502"/>
      <c r="H25" s="502"/>
      <c r="I25" s="503"/>
      <c r="J25" s="503"/>
      <c r="K25" s="503"/>
      <c r="L25" s="503"/>
      <c r="M25" s="503"/>
      <c r="N25" s="503"/>
      <c r="O25" s="372"/>
      <c r="P25" s="271" t="s">
        <v>124</v>
      </c>
      <c r="Q25" s="380">
        <f>'2. Kiadások'!E29</f>
        <v>105524914</v>
      </c>
      <c r="R25" s="324">
        <v>0</v>
      </c>
      <c r="S25" s="375">
        <v>0</v>
      </c>
      <c r="T25" s="325">
        <f t="shared" si="1"/>
        <v>-717191</v>
      </c>
      <c r="U25" s="325">
        <v>104807723</v>
      </c>
      <c r="V25" s="325">
        <v>104807723</v>
      </c>
      <c r="W25" s="396">
        <f>AC25-Q25</f>
        <v>0</v>
      </c>
      <c r="X25" s="392"/>
      <c r="Y25" s="392"/>
      <c r="Z25" s="358">
        <f t="shared" si="3"/>
        <v>0</v>
      </c>
      <c r="AA25" s="358"/>
      <c r="AB25" s="358"/>
      <c r="AC25" s="404">
        <f>'2. Kiadások'!Q29</f>
        <v>105524914</v>
      </c>
      <c r="AD25" s="633"/>
    </row>
    <row r="26" spans="1:30" ht="12.95" customHeight="1" thickBot="1" x14ac:dyDescent="0.25">
      <c r="A26" s="108" t="s">
        <v>125</v>
      </c>
      <c r="B26" s="277" t="s">
        <v>126</v>
      </c>
      <c r="C26" s="504"/>
      <c r="D26" s="505"/>
      <c r="E26" s="505"/>
      <c r="F26" s="505"/>
      <c r="G26" s="506"/>
      <c r="H26" s="506"/>
      <c r="I26" s="476"/>
      <c r="J26" s="476"/>
      <c r="K26" s="476"/>
      <c r="L26" s="476"/>
      <c r="M26" s="476"/>
      <c r="N26" s="476"/>
      <c r="O26" s="366"/>
      <c r="P26" s="273" t="s">
        <v>204</v>
      </c>
      <c r="Q26" s="382">
        <f>'2. Kiadások'!E28</f>
        <v>11319727</v>
      </c>
      <c r="R26" s="383">
        <v>0</v>
      </c>
      <c r="S26" s="384"/>
      <c r="T26" s="384">
        <f t="shared" si="1"/>
        <v>0</v>
      </c>
      <c r="U26" s="389">
        <v>11319727</v>
      </c>
      <c r="V26" s="389">
        <v>11319727</v>
      </c>
      <c r="W26" s="397">
        <f>AC26-Q26</f>
        <v>0</v>
      </c>
      <c r="X26" s="398"/>
      <c r="Y26" s="398"/>
      <c r="Z26" s="360">
        <f t="shared" si="3"/>
        <v>0</v>
      </c>
      <c r="AA26" s="360"/>
      <c r="AB26" s="360"/>
      <c r="AC26" s="405">
        <f>'2. Kiadások'!Q28</f>
        <v>11319727</v>
      </c>
      <c r="AD26" s="633"/>
    </row>
    <row r="27" spans="1:30" ht="21.75" thickBot="1" x14ac:dyDescent="0.25">
      <c r="A27" s="103" t="s">
        <v>127</v>
      </c>
      <c r="B27" s="275" t="s">
        <v>128</v>
      </c>
      <c r="C27" s="489">
        <f>+C19+C24</f>
        <v>40765904</v>
      </c>
      <c r="D27" s="489">
        <f t="shared" ref="D27:F27" si="18">+D19+D24</f>
        <v>0</v>
      </c>
      <c r="E27" s="489">
        <f t="shared" si="18"/>
        <v>0</v>
      </c>
      <c r="F27" s="489">
        <f t="shared" si="18"/>
        <v>13359495</v>
      </c>
      <c r="G27" s="489">
        <f t="shared" ref="G27:H27" si="19">+G19+G24</f>
        <v>54125399</v>
      </c>
      <c r="H27" s="489">
        <f t="shared" si="19"/>
        <v>54125399</v>
      </c>
      <c r="I27" s="490">
        <f>+I19+I24</f>
        <v>106466736</v>
      </c>
      <c r="J27" s="490">
        <f t="shared" ref="J27:L27" si="20">+J19+J24</f>
        <v>0</v>
      </c>
      <c r="K27" s="490">
        <f t="shared" si="20"/>
        <v>0</v>
      </c>
      <c r="L27" s="490">
        <f t="shared" si="20"/>
        <v>-717191</v>
      </c>
      <c r="M27" s="490">
        <f t="shared" ref="M27:N27" si="21">+M19+M24</f>
        <v>105749545</v>
      </c>
      <c r="N27" s="490">
        <f t="shared" si="21"/>
        <v>105749545</v>
      </c>
      <c r="O27" s="369">
        <f>+O19+O24</f>
        <v>147232640</v>
      </c>
      <c r="P27" s="275" t="s">
        <v>129</v>
      </c>
      <c r="Q27" s="385">
        <f>SUM(Q19:Q26)</f>
        <v>116844641</v>
      </c>
      <c r="R27" s="385">
        <f t="shared" ref="R27:U27" si="22">SUM(R19:R26)</f>
        <v>0</v>
      </c>
      <c r="S27" s="385">
        <f t="shared" si="22"/>
        <v>0</v>
      </c>
      <c r="T27" s="385">
        <f t="shared" si="22"/>
        <v>-717191</v>
      </c>
      <c r="U27" s="385">
        <f t="shared" si="22"/>
        <v>116127450</v>
      </c>
      <c r="V27" s="385">
        <f t="shared" ref="V27" si="23">SUM(V19:V26)</f>
        <v>116127450</v>
      </c>
      <c r="W27" s="326">
        <f>SUM(W19:W26)</f>
        <v>0</v>
      </c>
      <c r="X27" s="326"/>
      <c r="Y27" s="326"/>
      <c r="Z27" s="357">
        <f t="shared" si="3"/>
        <v>0</v>
      </c>
      <c r="AA27" s="357"/>
      <c r="AB27" s="357"/>
      <c r="AC27" s="326">
        <f>SUM(AC19:AC26)</f>
        <v>116844641</v>
      </c>
      <c r="AD27" s="633"/>
    </row>
    <row r="28" spans="1:30" ht="18" customHeight="1" thickBot="1" x14ac:dyDescent="0.25">
      <c r="A28" s="103" t="s">
        <v>130</v>
      </c>
      <c r="B28" s="278" t="s">
        <v>131</v>
      </c>
      <c r="C28" s="489">
        <f>+C18+C27</f>
        <v>575657814</v>
      </c>
      <c r="D28" s="489">
        <f t="shared" ref="D28:F28" si="24">+D18+D27</f>
        <v>17134846</v>
      </c>
      <c r="E28" s="489">
        <f t="shared" si="24"/>
        <v>4819270</v>
      </c>
      <c r="F28" s="489">
        <f t="shared" si="24"/>
        <v>10021603</v>
      </c>
      <c r="G28" s="489">
        <f t="shared" ref="G28:H28" si="25">+G18+G27</f>
        <v>607633533</v>
      </c>
      <c r="H28" s="489">
        <f t="shared" si="25"/>
        <v>601179637</v>
      </c>
      <c r="I28" s="490">
        <f>+I18+I27</f>
        <v>108468736</v>
      </c>
      <c r="J28" s="490">
        <f t="shared" ref="J28:L28" si="26">+J18+J27</f>
        <v>407000</v>
      </c>
      <c r="K28" s="490">
        <f t="shared" si="26"/>
        <v>0</v>
      </c>
      <c r="L28" s="490">
        <f t="shared" si="26"/>
        <v>1173700</v>
      </c>
      <c r="M28" s="490">
        <f t="shared" ref="M28:N28" si="27">+M18+M27</f>
        <v>110049436</v>
      </c>
      <c r="N28" s="490">
        <f t="shared" si="27"/>
        <v>110049436</v>
      </c>
      <c r="O28" s="369">
        <f>+O18+O27</f>
        <v>684126550</v>
      </c>
      <c r="P28" s="278" t="s">
        <v>132</v>
      </c>
      <c r="Q28" s="386">
        <f>+Q18+Q27</f>
        <v>575657814</v>
      </c>
      <c r="R28" s="386">
        <v>15771832</v>
      </c>
      <c r="S28" s="386">
        <v>11594939</v>
      </c>
      <c r="T28" s="386">
        <f t="shared" si="1"/>
        <v>62624056</v>
      </c>
      <c r="U28" s="386">
        <f t="shared" ref="U28:V28" si="28">+U18+U27</f>
        <v>665648641</v>
      </c>
      <c r="V28" s="386">
        <f t="shared" si="28"/>
        <v>504055544</v>
      </c>
      <c r="W28" s="399">
        <f t="shared" ref="W28:AC28" si="29">+W18+W27</f>
        <v>108468736</v>
      </c>
      <c r="X28" s="399">
        <f t="shared" si="29"/>
        <v>407000</v>
      </c>
      <c r="Y28" s="399">
        <f t="shared" si="29"/>
        <v>0</v>
      </c>
      <c r="Z28" s="399">
        <f t="shared" si="29"/>
        <v>1173700</v>
      </c>
      <c r="AA28" s="399">
        <f t="shared" si="29"/>
        <v>110049436</v>
      </c>
      <c r="AB28" s="399">
        <f t="shared" si="29"/>
        <v>119831112</v>
      </c>
      <c r="AC28" s="326">
        <f t="shared" si="29"/>
        <v>684126550</v>
      </c>
      <c r="AD28" s="633"/>
    </row>
    <row r="29" spans="1:30" ht="18" customHeight="1" thickTop="1" thickBot="1" x14ac:dyDescent="0.25">
      <c r="A29" s="103" t="s">
        <v>133</v>
      </c>
      <c r="B29" s="275" t="s">
        <v>134</v>
      </c>
      <c r="C29" s="507"/>
      <c r="D29" s="508"/>
      <c r="E29" s="508"/>
      <c r="F29" s="508"/>
      <c r="G29" s="509"/>
      <c r="H29" s="509"/>
      <c r="I29" s="510"/>
      <c r="J29" s="510"/>
      <c r="K29" s="510"/>
      <c r="L29" s="510"/>
      <c r="M29" s="510"/>
      <c r="N29" s="510"/>
      <c r="O29" s="373"/>
      <c r="P29" s="275" t="s">
        <v>135</v>
      </c>
      <c r="Q29" s="387"/>
      <c r="R29" s="387"/>
      <c r="S29" s="387"/>
      <c r="T29" s="387">
        <f t="shared" si="1"/>
        <v>0</v>
      </c>
      <c r="U29" s="387"/>
      <c r="V29" s="387"/>
      <c r="W29" s="387"/>
      <c r="X29" s="387"/>
      <c r="Y29" s="387"/>
      <c r="Z29" s="316">
        <f t="shared" si="3"/>
        <v>0</v>
      </c>
      <c r="AA29" s="316"/>
      <c r="AB29" s="316"/>
      <c r="AC29" s="406"/>
      <c r="AD29" s="633"/>
    </row>
    <row r="30" spans="1:30" ht="14.25" thickTop="1" thickBot="1" x14ac:dyDescent="0.25">
      <c r="A30" s="103" t="s">
        <v>136</v>
      </c>
      <c r="B30" s="279" t="s">
        <v>137</v>
      </c>
      <c r="C30" s="511">
        <f>+C28+C29</f>
        <v>575657814</v>
      </c>
      <c r="D30" s="511">
        <f t="shared" ref="D30:F30" si="30">+D28+D29</f>
        <v>17134846</v>
      </c>
      <c r="E30" s="511">
        <f t="shared" si="30"/>
        <v>4819270</v>
      </c>
      <c r="F30" s="511">
        <f t="shared" si="30"/>
        <v>10021603</v>
      </c>
      <c r="G30" s="511">
        <f t="shared" ref="G30:H30" si="31">+G28+G29</f>
        <v>607633533</v>
      </c>
      <c r="H30" s="511">
        <f t="shared" si="31"/>
        <v>601179637</v>
      </c>
      <c r="I30" s="445">
        <f>+I28+I29</f>
        <v>108468736</v>
      </c>
      <c r="J30" s="445">
        <f t="shared" ref="J30:L30" si="32">+J28+J29</f>
        <v>407000</v>
      </c>
      <c r="K30" s="445">
        <f t="shared" si="32"/>
        <v>0</v>
      </c>
      <c r="L30" s="445">
        <f t="shared" si="32"/>
        <v>1173700</v>
      </c>
      <c r="M30" s="445">
        <f>+M28+M29</f>
        <v>110049436</v>
      </c>
      <c r="N30" s="445">
        <f t="shared" ref="N30" si="33">+N28+N29</f>
        <v>110049436</v>
      </c>
      <c r="O30" s="327">
        <f>+O28+O29</f>
        <v>684126550</v>
      </c>
      <c r="P30" s="279" t="s">
        <v>138</v>
      </c>
      <c r="Q30" s="444">
        <f>+Q28+Q29</f>
        <v>575657814</v>
      </c>
      <c r="R30" s="444">
        <v>15771832</v>
      </c>
      <c r="S30" s="444">
        <v>11594939</v>
      </c>
      <c r="T30" s="444">
        <f t="shared" si="1"/>
        <v>62624056</v>
      </c>
      <c r="U30" s="444">
        <f t="shared" ref="U30:V30" si="34">+U28+U29</f>
        <v>665648641</v>
      </c>
      <c r="V30" s="444">
        <f t="shared" si="34"/>
        <v>504055544</v>
      </c>
      <c r="W30" s="327">
        <f t="shared" ref="W30:AC30" si="35">+W28+W29</f>
        <v>108468736</v>
      </c>
      <c r="X30" s="327">
        <f t="shared" si="35"/>
        <v>407000</v>
      </c>
      <c r="Y30" s="327">
        <f t="shared" si="35"/>
        <v>0</v>
      </c>
      <c r="Z30" s="327">
        <f t="shared" si="35"/>
        <v>1173700</v>
      </c>
      <c r="AA30" s="327">
        <f t="shared" si="35"/>
        <v>110049436</v>
      </c>
      <c r="AB30" s="327">
        <f t="shared" si="35"/>
        <v>119831112</v>
      </c>
      <c r="AC30" s="327">
        <f t="shared" si="35"/>
        <v>684126550</v>
      </c>
      <c r="AD30" s="633"/>
    </row>
    <row r="31" spans="1:30" ht="13.5" thickBot="1" x14ac:dyDescent="0.25">
      <c r="A31" s="103" t="s">
        <v>139</v>
      </c>
      <c r="B31" s="279" t="s">
        <v>140</v>
      </c>
      <c r="C31" s="511" t="str">
        <f>IF(C18-Q18&lt;0,Q18-C18,"-")</f>
        <v>-</v>
      </c>
      <c r="D31" s="511"/>
      <c r="E31" s="511"/>
      <c r="F31" s="511"/>
      <c r="G31" s="511"/>
      <c r="H31" s="511"/>
      <c r="I31" s="512">
        <f>IF(I18-W18&lt;0,W18-I18,"-")</f>
        <v>106466736</v>
      </c>
      <c r="J31" s="512"/>
      <c r="K31" s="512"/>
      <c r="L31" s="512"/>
      <c r="M31" s="512"/>
      <c r="N31" s="512"/>
      <c r="O31" s="364">
        <f>IF(O18-AC18&lt;0,AC18-O18,"-")</f>
        <v>30387999</v>
      </c>
      <c r="P31" s="279" t="s">
        <v>141</v>
      </c>
      <c r="Q31" s="388">
        <f>IF(Q18-C18&lt;0,C18-Q18,"-")</f>
        <v>76078737</v>
      </c>
      <c r="R31" s="388">
        <v>1363014</v>
      </c>
      <c r="S31" s="388" t="str">
        <f>IF(S18-E18&lt;0,E18-S18,"-")</f>
        <v>-</v>
      </c>
      <c r="T31" s="388"/>
      <c r="U31" s="388">
        <f>IF(U18-G18&lt;0,G18-U18,"-")</f>
        <v>3986943</v>
      </c>
      <c r="V31" s="388">
        <f>IF(V18-H18&lt;0,H18-V18,"-")</f>
        <v>159126144</v>
      </c>
      <c r="W31" s="388" t="str">
        <f>IF(W18-I18&lt;0,I18-W18,"-")</f>
        <v>-</v>
      </c>
      <c r="X31" s="388" t="str">
        <f>IF(X18-J18&lt;0,J18-X18,"-")</f>
        <v>-</v>
      </c>
      <c r="Y31" s="388" t="str">
        <f>IF(Y18-K18&lt;0,K18-Y18,"-")</f>
        <v>-</v>
      </c>
      <c r="Z31" s="361"/>
      <c r="AA31" s="361" t="str">
        <f>IF(AA18-M18&lt;0,M18-AA18,"-")</f>
        <v>-</v>
      </c>
      <c r="AB31" s="361" t="str">
        <f>IF(AB18-N18&lt;0,N18-AB18,"-")</f>
        <v>-</v>
      </c>
      <c r="AC31" s="388" t="str">
        <f>IF(AC18-O18&lt;0,O18-AC18,"-")</f>
        <v>-</v>
      </c>
      <c r="AD31" s="633"/>
    </row>
    <row r="32" spans="1:30" ht="13.5" thickBot="1" x14ac:dyDescent="0.25">
      <c r="A32" s="103" t="s">
        <v>142</v>
      </c>
      <c r="B32" s="279" t="s">
        <v>143</v>
      </c>
      <c r="C32" s="111" t="str">
        <f>IF(C18+C19-Q28&lt;0,Q28-(C18+C19),"-")</f>
        <v>-</v>
      </c>
      <c r="D32" s="111"/>
      <c r="E32" s="111"/>
      <c r="F32" s="111"/>
      <c r="G32" s="111"/>
      <c r="H32" s="111"/>
      <c r="I32" s="327" t="str">
        <f>IF(I18+I19-W28&lt;0,W28-(I18+I19),"-")</f>
        <v>-</v>
      </c>
      <c r="J32" s="327"/>
      <c r="K32" s="327"/>
      <c r="L32" s="327"/>
      <c r="M32" s="327"/>
      <c r="N32" s="327"/>
      <c r="O32" s="111" t="str">
        <f>IF(O18+O19-AC28&lt;0,AC28-(O18+O19),"-")</f>
        <v>-</v>
      </c>
      <c r="P32" s="279" t="s">
        <v>144</v>
      </c>
      <c r="Q32" s="361" t="str">
        <f>IF(Q18+Q19-AD28&lt;0,AD28-(Q18+Q19),"-")</f>
        <v>-</v>
      </c>
      <c r="R32" s="311"/>
      <c r="S32" s="311"/>
      <c r="T32" s="327"/>
      <c r="U32" s="327"/>
      <c r="V32" s="327"/>
      <c r="W32" s="327" t="str">
        <f>IF(W18+W19-I28&lt;0,I28-(W18+W19),"-")</f>
        <v>-</v>
      </c>
      <c r="X32" s="327"/>
      <c r="Y32" s="327"/>
      <c r="Z32" s="311"/>
      <c r="AA32" s="311"/>
      <c r="AB32" s="311"/>
      <c r="AC32" s="311" t="str">
        <f>IF(AC18+AC19-I28&lt;0,O28-(AC18+AC19),"-")</f>
        <v>-</v>
      </c>
      <c r="AD32" s="633"/>
    </row>
  </sheetData>
  <mergeCells count="2">
    <mergeCell ref="AD1:AD32"/>
    <mergeCell ref="A3:A4"/>
  </mergeCells>
  <phoneticPr fontId="7" type="noConversion"/>
  <pageMargins left="0.25" right="0.25" top="0.75" bottom="0.75" header="0.3" footer="0.3"/>
  <pageSetup paperSize="9" scale="35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C1" workbookViewId="0">
      <selection activeCell="P27" sqref="P27"/>
    </sheetView>
  </sheetViews>
  <sheetFormatPr defaultRowHeight="12.75" x14ac:dyDescent="0.2"/>
  <cols>
    <col min="1" max="1" width="5.85546875" style="153" customWidth="1"/>
    <col min="2" max="2" width="44.42578125" style="154" customWidth="1"/>
    <col min="3" max="3" width="13.140625" style="154" bestFit="1" customWidth="1"/>
    <col min="4" max="4" width="9.140625" style="154" bestFit="1" customWidth="1"/>
    <col min="5" max="5" width="11.5703125" style="154" bestFit="1" customWidth="1"/>
    <col min="6" max="6" width="13.28515625" style="154" bestFit="1" customWidth="1"/>
    <col min="7" max="8" width="12.5703125" style="154" bestFit="1" customWidth="1"/>
    <col min="9" max="9" width="11.42578125" style="154" bestFit="1" customWidth="1"/>
    <col min="10" max="10" width="14" style="164" customWidth="1"/>
    <col min="11" max="11" width="41.42578125" style="153" customWidth="1"/>
    <col min="12" max="12" width="12.5703125" style="153" bestFit="1" customWidth="1"/>
    <col min="13" max="14" width="10.5703125" style="153" bestFit="1" customWidth="1"/>
    <col min="15" max="15" width="13.28515625" style="153" bestFit="1" customWidth="1"/>
    <col min="16" max="17" width="11.5703125" style="153" bestFit="1" customWidth="1"/>
    <col min="18" max="18" width="6.42578125" style="153" bestFit="1" customWidth="1"/>
    <col min="19" max="19" width="13.140625" style="153" customWidth="1"/>
    <col min="20" max="20" width="4.140625" style="153" customWidth="1"/>
    <col min="21" max="21" width="11.7109375" style="153" bestFit="1" customWidth="1"/>
    <col min="22" max="16384" width="9.140625" style="153"/>
  </cols>
  <sheetData>
    <row r="1" spans="1:20" ht="15.75" x14ac:dyDescent="0.2">
      <c r="A1" s="151"/>
      <c r="B1" s="86" t="s">
        <v>377</v>
      </c>
      <c r="C1" s="86"/>
      <c r="D1" s="86"/>
      <c r="E1" s="86"/>
      <c r="F1" s="86"/>
      <c r="G1" s="86"/>
      <c r="H1" s="86"/>
      <c r="I1" s="86"/>
      <c r="J1" s="163"/>
      <c r="K1" s="152"/>
      <c r="L1" s="152"/>
      <c r="M1" s="152"/>
      <c r="N1" s="152"/>
      <c r="O1" s="152"/>
      <c r="P1" s="152"/>
      <c r="Q1" s="152"/>
      <c r="R1" s="152"/>
      <c r="S1" s="152"/>
      <c r="T1" s="633"/>
    </row>
    <row r="2" spans="1:20" ht="14.25" thickBot="1" x14ac:dyDescent="0.25">
      <c r="S2" s="87" t="s">
        <v>214</v>
      </c>
      <c r="T2" s="633"/>
    </row>
    <row r="3" spans="1:20" ht="13.5" thickBot="1" x14ac:dyDescent="0.25">
      <c r="A3" s="636" t="s">
        <v>99</v>
      </c>
      <c r="B3" s="88" t="s">
        <v>100</v>
      </c>
      <c r="C3" s="266"/>
      <c r="D3" s="266"/>
      <c r="E3" s="266"/>
      <c r="F3" s="266"/>
      <c r="G3" s="266"/>
      <c r="H3" s="266"/>
      <c r="I3" s="266"/>
      <c r="J3" s="89"/>
      <c r="K3" s="88" t="s">
        <v>101</v>
      </c>
      <c r="L3" s="230"/>
      <c r="M3" s="230"/>
      <c r="N3" s="230"/>
      <c r="O3" s="230"/>
      <c r="P3" s="230"/>
      <c r="Q3" s="230"/>
      <c r="R3" s="230"/>
      <c r="S3" s="230"/>
      <c r="T3" s="633"/>
    </row>
    <row r="4" spans="1:20" s="92" customFormat="1" ht="36.75" thickBot="1" x14ac:dyDescent="0.25">
      <c r="A4" s="637"/>
      <c r="B4" s="90" t="s">
        <v>35</v>
      </c>
      <c r="C4" s="280" t="s">
        <v>199</v>
      </c>
      <c r="D4" s="285" t="s">
        <v>419</v>
      </c>
      <c r="E4" s="285" t="s">
        <v>433</v>
      </c>
      <c r="F4" s="285" t="s">
        <v>449</v>
      </c>
      <c r="G4" s="285" t="s">
        <v>420</v>
      </c>
      <c r="H4" s="285" t="s">
        <v>421</v>
      </c>
      <c r="I4" s="294" t="s">
        <v>88</v>
      </c>
      <c r="J4" s="91" t="s">
        <v>472</v>
      </c>
      <c r="K4" s="90" t="s">
        <v>35</v>
      </c>
      <c r="L4" s="280" t="s">
        <v>199</v>
      </c>
      <c r="M4" s="285" t="s">
        <v>419</v>
      </c>
      <c r="N4" s="285" t="s">
        <v>433</v>
      </c>
      <c r="O4" s="285" t="s">
        <v>449</v>
      </c>
      <c r="P4" s="285" t="s">
        <v>420</v>
      </c>
      <c r="Q4" s="285" t="s">
        <v>421</v>
      </c>
      <c r="R4" s="294" t="s">
        <v>88</v>
      </c>
      <c r="S4" s="91" t="s">
        <v>472</v>
      </c>
      <c r="T4" s="633"/>
    </row>
    <row r="5" spans="1:20" s="92" customFormat="1" ht="13.5" thickBot="1" x14ac:dyDescent="0.25">
      <c r="A5" s="93">
        <v>1</v>
      </c>
      <c r="B5" s="94">
        <v>2</v>
      </c>
      <c r="C5" s="267"/>
      <c r="D5" s="267"/>
      <c r="E5" s="267"/>
      <c r="F5" s="267"/>
      <c r="G5" s="420"/>
      <c r="H5" s="420"/>
      <c r="I5" s="420"/>
      <c r="J5" s="421">
        <v>3</v>
      </c>
      <c r="K5" s="94">
        <v>4</v>
      </c>
      <c r="L5" s="268"/>
      <c r="M5" s="268"/>
      <c r="N5" s="268"/>
      <c r="O5" s="268"/>
      <c r="P5" s="268"/>
      <c r="Q5" s="268"/>
      <c r="R5" s="268"/>
      <c r="S5" s="96">
        <v>5</v>
      </c>
      <c r="T5" s="633"/>
    </row>
    <row r="6" spans="1:20" ht="12.95" customHeight="1" x14ac:dyDescent="0.2">
      <c r="A6" s="155" t="s">
        <v>36</v>
      </c>
      <c r="B6" s="98" t="s">
        <v>145</v>
      </c>
      <c r="C6" s="407">
        <f>'1. Bevételek'!E34</f>
        <v>2372880</v>
      </c>
      <c r="D6" s="309"/>
      <c r="E6" s="309">
        <v>0</v>
      </c>
      <c r="F6" s="309">
        <f>G6-E6-D6-C6</f>
        <v>2372580</v>
      </c>
      <c r="G6" s="309">
        <v>4745460</v>
      </c>
      <c r="H6" s="309">
        <v>2372880</v>
      </c>
      <c r="I6" s="309">
        <f>J6-C6</f>
        <v>0</v>
      </c>
      <c r="J6" s="422">
        <f>'1. Bevételek'!Q34</f>
        <v>2372880</v>
      </c>
      <c r="K6" s="98" t="s">
        <v>146</v>
      </c>
      <c r="L6" s="431">
        <f>'2. Kiadások'!E21</f>
        <v>804612646</v>
      </c>
      <c r="M6" s="323">
        <v>274610</v>
      </c>
      <c r="N6" s="323">
        <v>16025107</v>
      </c>
      <c r="O6" s="323">
        <f>P6-N6-M6-L6</f>
        <v>-751569559</v>
      </c>
      <c r="P6" s="323">
        <v>69342804</v>
      </c>
      <c r="Q6" s="323">
        <v>65382309</v>
      </c>
      <c r="R6" s="323">
        <f>S6-L6</f>
        <v>0</v>
      </c>
      <c r="S6" s="401">
        <f>'2. Kiadások'!Q21</f>
        <v>804612646</v>
      </c>
      <c r="T6" s="633"/>
    </row>
    <row r="7" spans="1:20" ht="12.95" customHeight="1" x14ac:dyDescent="0.2">
      <c r="A7" s="155" t="s">
        <v>37</v>
      </c>
      <c r="B7" s="79" t="s">
        <v>147</v>
      </c>
      <c r="C7" s="408"/>
      <c r="D7" s="409"/>
      <c r="E7" s="409"/>
      <c r="F7" s="409">
        <f t="shared" ref="F7:F37" si="0">G7-E7-D7-C7</f>
        <v>0</v>
      </c>
      <c r="G7" s="409"/>
      <c r="H7" s="409"/>
      <c r="I7" s="409"/>
      <c r="J7" s="422"/>
      <c r="K7" s="98"/>
      <c r="L7" s="375"/>
      <c r="M7" s="323">
        <v>0</v>
      </c>
      <c r="N7" s="323"/>
      <c r="O7" s="323">
        <f t="shared" ref="O7:O34" si="1">P7-N7-M7-L7</f>
        <v>0</v>
      </c>
      <c r="P7" s="323"/>
      <c r="Q7" s="323"/>
      <c r="R7" s="323"/>
      <c r="S7" s="401"/>
      <c r="T7" s="633"/>
    </row>
    <row r="8" spans="1:20" ht="25.5" customHeight="1" x14ac:dyDescent="0.2">
      <c r="A8" s="155" t="s">
        <v>38</v>
      </c>
      <c r="B8" s="99" t="s">
        <v>148</v>
      </c>
      <c r="C8" s="410"/>
      <c r="D8" s="410"/>
      <c r="E8" s="410"/>
      <c r="F8" s="410">
        <f t="shared" si="0"/>
        <v>0</v>
      </c>
      <c r="G8" s="410"/>
      <c r="H8" s="410"/>
      <c r="I8" s="410"/>
      <c r="J8" s="423">
        <v>0</v>
      </c>
      <c r="K8" s="99" t="s">
        <v>149</v>
      </c>
      <c r="L8" s="362">
        <f>'2. Kiadások'!E22</f>
        <v>123033604</v>
      </c>
      <c r="M8" s="323">
        <v>0</v>
      </c>
      <c r="N8" s="323">
        <v>-6800787</v>
      </c>
      <c r="O8" s="323">
        <f t="shared" si="1"/>
        <v>-103877008</v>
      </c>
      <c r="P8" s="323">
        <v>12355809</v>
      </c>
      <c r="Q8" s="323">
        <v>12355809</v>
      </c>
      <c r="R8" s="323">
        <f>S8-L8</f>
        <v>0</v>
      </c>
      <c r="S8" s="402">
        <f>'2. Kiadások'!Q22</f>
        <v>123033604</v>
      </c>
      <c r="T8" s="633"/>
    </row>
    <row r="9" spans="1:20" ht="12.95" customHeight="1" x14ac:dyDescent="0.2">
      <c r="A9" s="155" t="s">
        <v>39</v>
      </c>
      <c r="B9" s="99" t="s">
        <v>150</v>
      </c>
      <c r="C9" s="410"/>
      <c r="D9" s="410"/>
      <c r="E9" s="410"/>
      <c r="F9" s="410">
        <f t="shared" si="0"/>
        <v>0</v>
      </c>
      <c r="G9" s="410"/>
      <c r="H9" s="410"/>
      <c r="I9" s="410"/>
      <c r="J9" s="423"/>
      <c r="K9" s="99" t="s">
        <v>151</v>
      </c>
      <c r="L9" s="362"/>
      <c r="M9" s="323">
        <v>0</v>
      </c>
      <c r="N9" s="323"/>
      <c r="O9" s="317">
        <f t="shared" si="1"/>
        <v>0</v>
      </c>
      <c r="P9" s="315"/>
      <c r="Q9" s="315"/>
      <c r="R9" s="315"/>
      <c r="S9" s="356">
        <v>0</v>
      </c>
      <c r="T9" s="633"/>
    </row>
    <row r="10" spans="1:20" ht="21.75" customHeight="1" x14ac:dyDescent="0.2">
      <c r="A10" s="155" t="s">
        <v>40</v>
      </c>
      <c r="B10" s="99" t="s">
        <v>152</v>
      </c>
      <c r="C10" s="410"/>
      <c r="D10" s="410"/>
      <c r="E10" s="410"/>
      <c r="F10" s="410">
        <f t="shared" si="0"/>
        <v>0</v>
      </c>
      <c r="G10" s="410"/>
      <c r="H10" s="410"/>
      <c r="I10" s="410"/>
      <c r="J10" s="423"/>
      <c r="K10" s="99" t="s">
        <v>432</v>
      </c>
      <c r="L10" s="362"/>
      <c r="M10" s="323">
        <v>1214532</v>
      </c>
      <c r="N10" s="323">
        <v>0</v>
      </c>
      <c r="O10" s="317">
        <f t="shared" si="1"/>
        <v>0</v>
      </c>
      <c r="P10" s="324">
        <v>1214532</v>
      </c>
      <c r="Q10" s="324">
        <v>1214532</v>
      </c>
      <c r="R10" s="315"/>
      <c r="S10" s="356">
        <v>0</v>
      </c>
      <c r="T10" s="633"/>
    </row>
    <row r="11" spans="1:20" ht="20.25" customHeight="1" x14ac:dyDescent="0.2">
      <c r="A11" s="155" t="s">
        <v>45</v>
      </c>
      <c r="B11" s="99" t="s">
        <v>153</v>
      </c>
      <c r="C11" s="410"/>
      <c r="D11" s="410"/>
      <c r="E11" s="410"/>
      <c r="F11" s="410">
        <f t="shared" si="0"/>
        <v>0</v>
      </c>
      <c r="G11" s="410"/>
      <c r="H11" s="410"/>
      <c r="I11" s="410"/>
      <c r="J11" s="423"/>
      <c r="K11" s="99" t="s">
        <v>154</v>
      </c>
      <c r="L11" s="362"/>
      <c r="M11" s="323">
        <v>0</v>
      </c>
      <c r="N11" s="323"/>
      <c r="O11" s="323">
        <f t="shared" si="1"/>
        <v>11000000</v>
      </c>
      <c r="P11" s="324">
        <v>11000000</v>
      </c>
      <c r="Q11" s="324">
        <v>11000000</v>
      </c>
      <c r="R11" s="315"/>
      <c r="S11" s="356">
        <v>0</v>
      </c>
      <c r="T11" s="633"/>
    </row>
    <row r="12" spans="1:20" ht="12.95" customHeight="1" x14ac:dyDescent="0.2">
      <c r="A12" s="155" t="s">
        <v>47</v>
      </c>
      <c r="B12" s="99" t="s">
        <v>155</v>
      </c>
      <c r="C12" s="410"/>
      <c r="D12" s="411"/>
      <c r="E12" s="411"/>
      <c r="F12" s="411">
        <f t="shared" si="0"/>
        <v>0</v>
      </c>
      <c r="G12" s="411"/>
      <c r="H12" s="411"/>
      <c r="I12" s="411"/>
      <c r="J12" s="424"/>
      <c r="K12" s="112" t="s">
        <v>156</v>
      </c>
      <c r="L12" s="432"/>
      <c r="M12" s="323">
        <v>0</v>
      </c>
      <c r="N12" s="323"/>
      <c r="O12" s="317">
        <f t="shared" si="1"/>
        <v>0</v>
      </c>
      <c r="P12" s="318"/>
      <c r="Q12" s="318"/>
      <c r="R12" s="318"/>
      <c r="S12" s="356"/>
      <c r="T12" s="633"/>
    </row>
    <row r="13" spans="1:20" ht="12.95" customHeight="1" x14ac:dyDescent="0.2">
      <c r="A13" s="155" t="s">
        <v>48</v>
      </c>
      <c r="B13" s="99" t="s">
        <v>157</v>
      </c>
      <c r="C13" s="410"/>
      <c r="D13" s="410"/>
      <c r="E13" s="410"/>
      <c r="F13" s="410">
        <f t="shared" si="0"/>
        <v>0</v>
      </c>
      <c r="G13" s="410"/>
      <c r="H13" s="410"/>
      <c r="I13" s="410"/>
      <c r="J13" s="423"/>
      <c r="K13" s="112" t="s">
        <v>158</v>
      </c>
      <c r="L13" s="432"/>
      <c r="M13" s="323">
        <v>0</v>
      </c>
      <c r="N13" s="323"/>
      <c r="O13" s="317">
        <f t="shared" si="1"/>
        <v>0</v>
      </c>
      <c r="P13" s="318"/>
      <c r="Q13" s="318"/>
      <c r="R13" s="318"/>
      <c r="S13" s="356"/>
      <c r="T13" s="633"/>
    </row>
    <row r="14" spans="1:20" ht="12.95" customHeight="1" x14ac:dyDescent="0.2">
      <c r="A14" s="155" t="s">
        <v>49</v>
      </c>
      <c r="B14" s="99" t="s">
        <v>159</v>
      </c>
      <c r="C14" s="410"/>
      <c r="D14" s="410">
        <v>126128</v>
      </c>
      <c r="E14" s="309">
        <v>0</v>
      </c>
      <c r="F14" s="309">
        <f t="shared" si="0"/>
        <v>2888483</v>
      </c>
      <c r="G14" s="410">
        <v>3014611</v>
      </c>
      <c r="H14" s="410">
        <v>3014611</v>
      </c>
      <c r="I14" s="410"/>
      <c r="J14" s="423"/>
      <c r="K14" s="113" t="s">
        <v>160</v>
      </c>
      <c r="L14" s="432"/>
      <c r="M14" s="323">
        <v>0</v>
      </c>
      <c r="N14" s="323"/>
      <c r="O14" s="317">
        <f t="shared" si="1"/>
        <v>0</v>
      </c>
      <c r="P14" s="318"/>
      <c r="Q14" s="318"/>
      <c r="R14" s="318"/>
      <c r="S14" s="356"/>
      <c r="T14" s="633"/>
    </row>
    <row r="15" spans="1:20" ht="22.5" x14ac:dyDescent="0.2">
      <c r="A15" s="155" t="s">
        <v>50</v>
      </c>
      <c r="B15" s="114" t="s">
        <v>161</v>
      </c>
      <c r="C15" s="412"/>
      <c r="D15" s="410">
        <v>0</v>
      </c>
      <c r="E15" s="411"/>
      <c r="F15" s="411">
        <f t="shared" si="0"/>
        <v>0</v>
      </c>
      <c r="G15" s="425"/>
      <c r="H15" s="425"/>
      <c r="I15" s="425"/>
      <c r="J15" s="424"/>
      <c r="K15" s="112" t="s">
        <v>162</v>
      </c>
      <c r="L15" s="432"/>
      <c r="M15" s="323">
        <v>0</v>
      </c>
      <c r="N15" s="323"/>
      <c r="O15" s="317">
        <f t="shared" si="1"/>
        <v>0</v>
      </c>
      <c r="P15" s="318"/>
      <c r="Q15" s="318"/>
      <c r="R15" s="318"/>
      <c r="S15" s="356"/>
      <c r="T15" s="633"/>
    </row>
    <row r="16" spans="1:20" ht="22.5" customHeight="1" x14ac:dyDescent="0.2">
      <c r="A16" s="155" t="s">
        <v>23</v>
      </c>
      <c r="B16" s="99" t="s">
        <v>163</v>
      </c>
      <c r="C16" s="410">
        <f>'1. Bevételek'!E37</f>
        <v>110732349</v>
      </c>
      <c r="D16" s="410">
        <v>0</v>
      </c>
      <c r="E16" s="309">
        <v>15999989</v>
      </c>
      <c r="F16" s="309">
        <f t="shared" si="0"/>
        <v>-82008900</v>
      </c>
      <c r="G16" s="309">
        <v>44723438</v>
      </c>
      <c r="H16" s="309">
        <v>44723438</v>
      </c>
      <c r="I16" s="309">
        <f>J16-C16</f>
        <v>0</v>
      </c>
      <c r="J16" s="424">
        <f>'1. Bevételek'!Q37</f>
        <v>110732349</v>
      </c>
      <c r="K16" s="112" t="s">
        <v>164</v>
      </c>
      <c r="L16" s="432"/>
      <c r="M16" s="323">
        <v>0</v>
      </c>
      <c r="N16" s="323"/>
      <c r="O16" s="317">
        <f t="shared" si="1"/>
        <v>0</v>
      </c>
      <c r="P16" s="318"/>
      <c r="Q16" s="318"/>
      <c r="R16" s="318"/>
      <c r="S16" s="356"/>
      <c r="T16" s="633"/>
    </row>
    <row r="17" spans="1:20" ht="12.95" customHeight="1" x14ac:dyDescent="0.2">
      <c r="A17" s="155" t="s">
        <v>24</v>
      </c>
      <c r="B17" s="99" t="s">
        <v>165</v>
      </c>
      <c r="C17" s="410">
        <f>'1. Bevételek'!E36</f>
        <v>707620</v>
      </c>
      <c r="D17" s="410">
        <v>0</v>
      </c>
      <c r="E17" s="410"/>
      <c r="F17" s="410">
        <f t="shared" si="0"/>
        <v>606930</v>
      </c>
      <c r="G17" s="410">
        <v>1314550</v>
      </c>
      <c r="H17" s="309">
        <v>435210</v>
      </c>
      <c r="I17" s="309">
        <f>J17-C17</f>
        <v>0</v>
      </c>
      <c r="J17" s="426">
        <f>'1. Bevételek'!Q36</f>
        <v>707620</v>
      </c>
      <c r="K17" s="99" t="s">
        <v>418</v>
      </c>
      <c r="L17" s="362"/>
      <c r="M17" s="323">
        <v>0</v>
      </c>
      <c r="N17" s="323"/>
      <c r="O17" s="317">
        <f t="shared" si="1"/>
        <v>0</v>
      </c>
      <c r="P17" s="315"/>
      <c r="Q17" s="315"/>
      <c r="R17" s="315"/>
      <c r="S17" s="356">
        <v>0</v>
      </c>
      <c r="T17" s="633"/>
    </row>
    <row r="18" spans="1:20" ht="12.95" customHeight="1" thickBot="1" x14ac:dyDescent="0.25">
      <c r="A18" s="155" t="s">
        <v>28</v>
      </c>
      <c r="B18" s="115" t="s">
        <v>166</v>
      </c>
      <c r="C18" s="413"/>
      <c r="D18" s="414"/>
      <c r="E18" s="414"/>
      <c r="F18" s="414">
        <f t="shared" si="0"/>
        <v>0</v>
      </c>
      <c r="G18" s="414"/>
      <c r="H18" s="414"/>
      <c r="I18" s="414"/>
      <c r="J18" s="427">
        <v>0</v>
      </c>
      <c r="K18" s="115" t="s">
        <v>13</v>
      </c>
      <c r="L18" s="433">
        <f>'2. Kiadások'!E24</f>
        <v>2000000</v>
      </c>
      <c r="M18" s="323">
        <v>0</v>
      </c>
      <c r="N18" s="323">
        <v>0</v>
      </c>
      <c r="O18" s="325">
        <f t="shared" si="1"/>
        <v>-2000000</v>
      </c>
      <c r="P18" s="325">
        <v>0</v>
      </c>
      <c r="Q18" s="325">
        <v>0</v>
      </c>
      <c r="R18" s="323">
        <f>S18-L18</f>
        <v>0</v>
      </c>
      <c r="S18" s="442">
        <f>'2. Kiadások'!Q24</f>
        <v>2000000</v>
      </c>
      <c r="T18" s="633"/>
    </row>
    <row r="19" spans="1:20" ht="15.95" customHeight="1" thickBot="1" x14ac:dyDescent="0.25">
      <c r="A19" s="103" t="s">
        <v>28</v>
      </c>
      <c r="B19" s="104" t="s">
        <v>167</v>
      </c>
      <c r="C19" s="369">
        <f>C6+C7+C8+C9+C10+C11+C12+C13+C14+C16+C17+C18</f>
        <v>113812849</v>
      </c>
      <c r="D19" s="369">
        <v>126128</v>
      </c>
      <c r="E19" s="369">
        <v>15999989</v>
      </c>
      <c r="F19" s="369">
        <f t="shared" si="0"/>
        <v>-76140907</v>
      </c>
      <c r="G19" s="369">
        <f t="shared" ref="G19:H19" si="2">G6+G7+G8+G9+G10+G11+G12+G13+G14+G16+G17+G18</f>
        <v>53798059</v>
      </c>
      <c r="H19" s="369">
        <f t="shared" si="2"/>
        <v>50546139</v>
      </c>
      <c r="I19" s="369">
        <f>I6+I7+I8+I9+I10+I11+I12+I13+I14+I16+I17+I18</f>
        <v>0</v>
      </c>
      <c r="J19" s="369">
        <f>J6+J7+J8+J9+J10+J11+J12+J13+J14+J16+J17+J18</f>
        <v>113812849</v>
      </c>
      <c r="K19" s="104" t="s">
        <v>11</v>
      </c>
      <c r="L19" s="326">
        <f>+L6+L8+L9+L17+L18+L10</f>
        <v>929646250</v>
      </c>
      <c r="M19" s="326">
        <f t="shared" ref="M19:N19" si="3">+M6+M8+M9+M17+M18+M10</f>
        <v>1489142</v>
      </c>
      <c r="N19" s="326">
        <f t="shared" si="3"/>
        <v>9224320</v>
      </c>
      <c r="O19" s="326">
        <f>+O6+O8+O9+O17+O18+O10+O11</f>
        <v>-846446567</v>
      </c>
      <c r="P19" s="326">
        <f t="shared" ref="P19:Q19" si="4">+P6+P8+P9+P17+P18+P10+P11</f>
        <v>93913145</v>
      </c>
      <c r="Q19" s="326">
        <f t="shared" si="4"/>
        <v>89952650</v>
      </c>
      <c r="R19" s="326">
        <f>+R6+R8+R9+R17+R18</f>
        <v>0</v>
      </c>
      <c r="S19" s="326">
        <f>+S6+S8+S9+S17+S18</f>
        <v>929646250</v>
      </c>
      <c r="T19" s="633"/>
    </row>
    <row r="20" spans="1:20" ht="12.95" customHeight="1" x14ac:dyDescent="0.2">
      <c r="A20" s="116" t="s">
        <v>25</v>
      </c>
      <c r="B20" s="117" t="s">
        <v>168</v>
      </c>
      <c r="C20" s="415">
        <f>+C21+C22+C23+C24+C25</f>
        <v>165833401</v>
      </c>
      <c r="D20" s="415">
        <v>0</v>
      </c>
      <c r="E20" s="415"/>
      <c r="F20" s="415">
        <f t="shared" si="0"/>
        <v>-67703207</v>
      </c>
      <c r="G20" s="415">
        <f t="shared" ref="G20:H20" si="5">+G21+G22+G23+G24+G25</f>
        <v>98130194</v>
      </c>
      <c r="H20" s="415">
        <f t="shared" si="5"/>
        <v>98130194</v>
      </c>
      <c r="I20" s="415">
        <f>+I21+I22+I23+I24+I25</f>
        <v>0</v>
      </c>
      <c r="J20" s="415">
        <f>+J21+J22+J23+J24+J25</f>
        <v>165833401</v>
      </c>
      <c r="K20" s="107" t="s">
        <v>114</v>
      </c>
      <c r="L20" s="431"/>
      <c r="M20" s="323"/>
      <c r="N20" s="323"/>
      <c r="O20" s="317">
        <f t="shared" si="1"/>
        <v>0</v>
      </c>
      <c r="P20" s="317"/>
      <c r="Q20" s="317"/>
      <c r="R20" s="317"/>
      <c r="S20" s="355"/>
      <c r="T20" s="633"/>
    </row>
    <row r="21" spans="1:20" ht="18" customHeight="1" x14ac:dyDescent="0.2">
      <c r="A21" s="156" t="s">
        <v>53</v>
      </c>
      <c r="B21" s="118" t="s">
        <v>169</v>
      </c>
      <c r="C21" s="416">
        <f>J21</f>
        <v>100833401</v>
      </c>
      <c r="D21" s="410">
        <v>0</v>
      </c>
      <c r="E21" s="309">
        <v>0</v>
      </c>
      <c r="F21" s="309">
        <f t="shared" si="0"/>
        <v>-2703207</v>
      </c>
      <c r="G21" s="416">
        <v>98130194</v>
      </c>
      <c r="H21" s="416">
        <v>98130194</v>
      </c>
      <c r="I21" s="416"/>
      <c r="J21" s="366">
        <v>100833401</v>
      </c>
      <c r="K21" s="107" t="s">
        <v>170</v>
      </c>
      <c r="L21" s="362"/>
      <c r="M21" s="324"/>
      <c r="N21" s="324"/>
      <c r="O21" s="315">
        <f t="shared" si="1"/>
        <v>0</v>
      </c>
      <c r="P21" s="315"/>
      <c r="Q21" s="315"/>
      <c r="R21" s="315"/>
      <c r="S21" s="356"/>
      <c r="T21" s="633"/>
    </row>
    <row r="22" spans="1:20" ht="12.95" customHeight="1" x14ac:dyDescent="0.2">
      <c r="A22" s="116" t="s">
        <v>64</v>
      </c>
      <c r="B22" s="118" t="s">
        <v>171</v>
      </c>
      <c r="C22" s="416"/>
      <c r="D22" s="416"/>
      <c r="E22" s="309">
        <v>0</v>
      </c>
      <c r="F22" s="309">
        <f t="shared" si="0"/>
        <v>0</v>
      </c>
      <c r="G22" s="416"/>
      <c r="H22" s="416"/>
      <c r="I22" s="416"/>
      <c r="J22" s="366"/>
      <c r="K22" s="107" t="s">
        <v>117</v>
      </c>
      <c r="L22" s="362"/>
      <c r="M22" s="324"/>
      <c r="N22" s="324"/>
      <c r="O22" s="315">
        <f t="shared" si="1"/>
        <v>0</v>
      </c>
      <c r="P22" s="315"/>
      <c r="Q22" s="315"/>
      <c r="R22" s="315"/>
      <c r="S22" s="356"/>
      <c r="T22" s="633"/>
    </row>
    <row r="23" spans="1:20" ht="12.95" customHeight="1" x14ac:dyDescent="0.2">
      <c r="A23" s="156" t="s">
        <v>26</v>
      </c>
      <c r="B23" s="118" t="s">
        <v>172</v>
      </c>
      <c r="C23" s="416"/>
      <c r="D23" s="416"/>
      <c r="E23" s="309">
        <v>0</v>
      </c>
      <c r="F23" s="309">
        <f t="shared" si="0"/>
        <v>0</v>
      </c>
      <c r="G23" s="416"/>
      <c r="H23" s="416"/>
      <c r="I23" s="416"/>
      <c r="J23" s="366"/>
      <c r="K23" s="107" t="s">
        <v>118</v>
      </c>
      <c r="L23" s="362"/>
      <c r="M23" s="324"/>
      <c r="N23" s="324"/>
      <c r="O23" s="315">
        <f t="shared" si="1"/>
        <v>0</v>
      </c>
      <c r="P23" s="315"/>
      <c r="Q23" s="315"/>
      <c r="R23" s="315"/>
      <c r="S23" s="356"/>
      <c r="T23" s="633"/>
    </row>
    <row r="24" spans="1:20" ht="12.95" customHeight="1" x14ac:dyDescent="0.2">
      <c r="A24" s="116" t="s">
        <v>65</v>
      </c>
      <c r="B24" s="118" t="s">
        <v>173</v>
      </c>
      <c r="C24" s="416">
        <f>'1. Bevételek'!E43</f>
        <v>65000000</v>
      </c>
      <c r="D24" s="410">
        <v>0</v>
      </c>
      <c r="E24" s="309">
        <v>0</v>
      </c>
      <c r="F24" s="309">
        <f t="shared" si="0"/>
        <v>-65000000</v>
      </c>
      <c r="G24" s="416">
        <v>0</v>
      </c>
      <c r="H24" s="416">
        <v>0</v>
      </c>
      <c r="I24" s="366">
        <f>'1. Bevételek'!K43</f>
        <v>0</v>
      </c>
      <c r="J24" s="366">
        <f>'1. Bevételek'!Q43</f>
        <v>65000000</v>
      </c>
      <c r="K24" s="106" t="s">
        <v>14</v>
      </c>
      <c r="L24" s="434"/>
      <c r="M24" s="325"/>
      <c r="N24" s="325"/>
      <c r="O24" s="314">
        <f t="shared" si="1"/>
        <v>0</v>
      </c>
      <c r="P24" s="314"/>
      <c r="Q24" s="314"/>
      <c r="R24" s="314"/>
      <c r="S24" s="356"/>
      <c r="T24" s="633"/>
    </row>
    <row r="25" spans="1:20" ht="12.95" customHeight="1" x14ac:dyDescent="0.2">
      <c r="A25" s="156" t="s">
        <v>51</v>
      </c>
      <c r="B25" s="119" t="s">
        <v>174</v>
      </c>
      <c r="C25" s="417"/>
      <c r="D25" s="417"/>
      <c r="E25" s="309">
        <v>0</v>
      </c>
      <c r="F25" s="309">
        <f t="shared" si="0"/>
        <v>0</v>
      </c>
      <c r="G25" s="417"/>
      <c r="H25" s="417"/>
      <c r="I25" s="417"/>
      <c r="J25" s="366"/>
      <c r="K25" s="107" t="s">
        <v>175</v>
      </c>
      <c r="L25" s="362"/>
      <c r="M25" s="324"/>
      <c r="N25" s="324"/>
      <c r="O25" s="315">
        <f t="shared" si="1"/>
        <v>0</v>
      </c>
      <c r="P25" s="315"/>
      <c r="Q25" s="315"/>
      <c r="R25" s="315"/>
      <c r="S25" s="356"/>
      <c r="T25" s="633"/>
    </row>
    <row r="26" spans="1:20" ht="12.95" customHeight="1" x14ac:dyDescent="0.2">
      <c r="A26" s="116" t="s">
        <v>79</v>
      </c>
      <c r="B26" s="120" t="s">
        <v>176</v>
      </c>
      <c r="C26" s="371">
        <f>+C27+C28+C29+C30+C31</f>
        <v>650000000</v>
      </c>
      <c r="D26" s="371">
        <v>0</v>
      </c>
      <c r="E26" s="309">
        <v>0</v>
      </c>
      <c r="F26" s="309">
        <f t="shared" si="0"/>
        <v>-650000000</v>
      </c>
      <c r="G26" s="371">
        <f t="shared" ref="G26:H26" si="6">+G27+G28+G29+G30+G31</f>
        <v>0</v>
      </c>
      <c r="H26" s="371">
        <f t="shared" si="6"/>
        <v>0</v>
      </c>
      <c r="I26" s="428"/>
      <c r="J26" s="371">
        <f>+J27+J28+J29+J30+J31</f>
        <v>650000000</v>
      </c>
      <c r="K26" s="121" t="s">
        <v>177</v>
      </c>
      <c r="L26" s="375"/>
      <c r="M26" s="323"/>
      <c r="N26" s="323"/>
      <c r="O26" s="317">
        <f t="shared" si="1"/>
        <v>0</v>
      </c>
      <c r="P26" s="317"/>
      <c r="Q26" s="317"/>
      <c r="R26" s="317"/>
      <c r="S26" s="356"/>
      <c r="T26" s="633"/>
    </row>
    <row r="27" spans="1:20" ht="12.95" customHeight="1" x14ac:dyDescent="0.2">
      <c r="A27" s="156" t="s">
        <v>125</v>
      </c>
      <c r="B27" s="119" t="s">
        <v>178</v>
      </c>
      <c r="C27" s="417">
        <f>'1. Bevételek'!E41</f>
        <v>650000000</v>
      </c>
      <c r="D27" s="410">
        <v>0</v>
      </c>
      <c r="E27" s="309">
        <v>0</v>
      </c>
      <c r="F27" s="309">
        <f t="shared" si="0"/>
        <v>-650000000</v>
      </c>
      <c r="G27" s="417">
        <v>0</v>
      </c>
      <c r="H27" s="417"/>
      <c r="I27" s="417"/>
      <c r="J27" s="366">
        <v>650000000</v>
      </c>
      <c r="K27" s="121" t="s">
        <v>179</v>
      </c>
      <c r="L27" s="375"/>
      <c r="M27" s="323"/>
      <c r="N27" s="323"/>
      <c r="O27" s="317">
        <f t="shared" si="1"/>
        <v>0</v>
      </c>
      <c r="P27" s="317"/>
      <c r="Q27" s="317"/>
      <c r="R27" s="317"/>
      <c r="S27" s="356"/>
      <c r="T27" s="633"/>
    </row>
    <row r="28" spans="1:20" ht="12.95" customHeight="1" x14ac:dyDescent="0.2">
      <c r="A28" s="116" t="s">
        <v>127</v>
      </c>
      <c r="B28" s="119" t="s">
        <v>180</v>
      </c>
      <c r="C28" s="417"/>
      <c r="D28" s="417"/>
      <c r="E28" s="417"/>
      <c r="F28" s="417">
        <f t="shared" si="0"/>
        <v>0</v>
      </c>
      <c r="G28" s="417"/>
      <c r="H28" s="417"/>
      <c r="I28" s="417"/>
      <c r="J28" s="366"/>
      <c r="K28" s="122"/>
      <c r="L28" s="435"/>
      <c r="M28" s="436"/>
      <c r="N28" s="436"/>
      <c r="O28" s="319">
        <f t="shared" si="1"/>
        <v>0</v>
      </c>
      <c r="P28" s="319"/>
      <c r="Q28" s="319"/>
      <c r="R28" s="319"/>
      <c r="S28" s="356"/>
      <c r="T28" s="633"/>
    </row>
    <row r="29" spans="1:20" ht="12.95" customHeight="1" x14ac:dyDescent="0.2">
      <c r="A29" s="156" t="s">
        <v>130</v>
      </c>
      <c r="B29" s="118" t="s">
        <v>181</v>
      </c>
      <c r="C29" s="416"/>
      <c r="D29" s="416"/>
      <c r="E29" s="416"/>
      <c r="F29" s="416">
        <f t="shared" si="0"/>
        <v>0</v>
      </c>
      <c r="G29" s="416"/>
      <c r="H29" s="416"/>
      <c r="I29" s="416"/>
      <c r="J29" s="366"/>
      <c r="K29" s="123"/>
      <c r="L29" s="435"/>
      <c r="M29" s="436"/>
      <c r="N29" s="436"/>
      <c r="O29" s="319">
        <f t="shared" si="1"/>
        <v>0</v>
      </c>
      <c r="P29" s="319"/>
      <c r="Q29" s="319"/>
      <c r="R29" s="319"/>
      <c r="S29" s="356"/>
      <c r="T29" s="633"/>
    </row>
    <row r="30" spans="1:20" ht="12.95" customHeight="1" x14ac:dyDescent="0.2">
      <c r="A30" s="116" t="s">
        <v>133</v>
      </c>
      <c r="B30" s="124" t="s">
        <v>182</v>
      </c>
      <c r="C30" s="418"/>
      <c r="D30" s="418"/>
      <c r="E30" s="418"/>
      <c r="F30" s="418">
        <f t="shared" si="0"/>
        <v>0</v>
      </c>
      <c r="G30" s="429"/>
      <c r="H30" s="429"/>
      <c r="I30" s="429"/>
      <c r="J30" s="366"/>
      <c r="K30" s="101"/>
      <c r="L30" s="378"/>
      <c r="M30" s="437"/>
      <c r="N30" s="437"/>
      <c r="O30" s="320">
        <f t="shared" si="1"/>
        <v>0</v>
      </c>
      <c r="P30" s="320"/>
      <c r="Q30" s="320"/>
      <c r="R30" s="320"/>
      <c r="S30" s="356"/>
      <c r="T30" s="633"/>
    </row>
    <row r="31" spans="1:20" ht="12.95" customHeight="1" thickBot="1" x14ac:dyDescent="0.25">
      <c r="A31" s="156" t="s">
        <v>136</v>
      </c>
      <c r="B31" s="125" t="s">
        <v>183</v>
      </c>
      <c r="C31" s="419"/>
      <c r="D31" s="419"/>
      <c r="E31" s="419"/>
      <c r="F31" s="419">
        <f t="shared" si="0"/>
        <v>0</v>
      </c>
      <c r="G31" s="430"/>
      <c r="H31" s="430"/>
      <c r="I31" s="430"/>
      <c r="J31" s="366"/>
      <c r="K31" s="123"/>
      <c r="L31" s="438"/>
      <c r="M31" s="439"/>
      <c r="N31" s="439"/>
      <c r="O31" s="321">
        <f t="shared" si="1"/>
        <v>0</v>
      </c>
      <c r="P31" s="321"/>
      <c r="Q31" s="321"/>
      <c r="R31" s="319"/>
      <c r="S31" s="356"/>
      <c r="T31" s="633"/>
    </row>
    <row r="32" spans="1:20" ht="21.75" customHeight="1" thickBot="1" x14ac:dyDescent="0.25">
      <c r="A32" s="103" t="s">
        <v>139</v>
      </c>
      <c r="B32" s="104" t="s">
        <v>184</v>
      </c>
      <c r="C32" s="369">
        <f>+C20+C26</f>
        <v>815833401</v>
      </c>
      <c r="D32" s="369">
        <v>0</v>
      </c>
      <c r="E32" s="369">
        <v>0</v>
      </c>
      <c r="F32" s="369">
        <f t="shared" si="0"/>
        <v>-717703207</v>
      </c>
      <c r="G32" s="369">
        <f t="shared" ref="G32:H32" si="7">+G20+G26</f>
        <v>98130194</v>
      </c>
      <c r="H32" s="369">
        <f t="shared" si="7"/>
        <v>98130194</v>
      </c>
      <c r="I32" s="369">
        <f>+I20+I26</f>
        <v>0</v>
      </c>
      <c r="J32" s="369">
        <f>+J20+J26</f>
        <v>815833401</v>
      </c>
      <c r="K32" s="104" t="s">
        <v>185</v>
      </c>
      <c r="L32" s="440"/>
      <c r="M32" s="441"/>
      <c r="N32" s="441"/>
      <c r="O32" s="322">
        <f t="shared" si="1"/>
        <v>0</v>
      </c>
      <c r="P32" s="322"/>
      <c r="Q32" s="322"/>
      <c r="R32" s="322"/>
      <c r="S32" s="357">
        <v>0</v>
      </c>
      <c r="T32" s="633"/>
    </row>
    <row r="33" spans="1:20" ht="23.25" customHeight="1" thickBot="1" x14ac:dyDescent="0.25">
      <c r="A33" s="103" t="s">
        <v>142</v>
      </c>
      <c r="B33" s="109" t="s">
        <v>186</v>
      </c>
      <c r="C33" s="369">
        <f>+C19+C32</f>
        <v>929646250</v>
      </c>
      <c r="D33" s="369">
        <v>126128</v>
      </c>
      <c r="E33" s="369">
        <v>15999989</v>
      </c>
      <c r="F33" s="369">
        <f t="shared" si="0"/>
        <v>-793844114</v>
      </c>
      <c r="G33" s="369">
        <f t="shared" ref="G33:H33" si="8">+G19+G32</f>
        <v>151928253</v>
      </c>
      <c r="H33" s="369">
        <f t="shared" si="8"/>
        <v>148676333</v>
      </c>
      <c r="I33" s="369">
        <f>+I19+I32</f>
        <v>0</v>
      </c>
      <c r="J33" s="369">
        <f>+J19+J32</f>
        <v>929646250</v>
      </c>
      <c r="K33" s="109" t="s">
        <v>187</v>
      </c>
      <c r="L33" s="326">
        <f>+L19+L32</f>
        <v>929646250</v>
      </c>
      <c r="M33" s="326">
        <v>1489142</v>
      </c>
      <c r="N33" s="326">
        <v>9224320</v>
      </c>
      <c r="O33" s="326">
        <f t="shared" si="1"/>
        <v>-846446567</v>
      </c>
      <c r="P33" s="326">
        <f t="shared" ref="P33:R33" si="9">+P19+P32</f>
        <v>93913145</v>
      </c>
      <c r="Q33" s="326">
        <f t="shared" si="9"/>
        <v>89952650</v>
      </c>
      <c r="R33" s="326">
        <f t="shared" si="9"/>
        <v>0</v>
      </c>
      <c r="S33" s="326">
        <f>+S19+S32</f>
        <v>929646250</v>
      </c>
      <c r="T33" s="633"/>
    </row>
    <row r="34" spans="1:20" ht="18" customHeight="1" thickBot="1" x14ac:dyDescent="0.25">
      <c r="A34" s="103" t="s">
        <v>188</v>
      </c>
      <c r="B34" s="104" t="s">
        <v>134</v>
      </c>
      <c r="C34" s="363"/>
      <c r="D34" s="363"/>
      <c r="E34" s="363"/>
      <c r="F34" s="363">
        <f t="shared" si="0"/>
        <v>0</v>
      </c>
      <c r="G34" s="310"/>
      <c r="H34" s="310"/>
      <c r="I34" s="310"/>
      <c r="J34" s="353" t="s">
        <v>189</v>
      </c>
      <c r="K34" s="104" t="s">
        <v>135</v>
      </c>
      <c r="L34" s="440"/>
      <c r="M34" s="441"/>
      <c r="N34" s="441"/>
      <c r="O34" s="441">
        <f t="shared" si="1"/>
        <v>0</v>
      </c>
      <c r="P34" s="441"/>
      <c r="Q34" s="441"/>
      <c r="R34" s="441"/>
      <c r="S34" s="443"/>
      <c r="T34" s="633"/>
    </row>
    <row r="35" spans="1:20" ht="13.5" thickBot="1" x14ac:dyDescent="0.25">
      <c r="A35" s="103" t="s">
        <v>190</v>
      </c>
      <c r="B35" s="110" t="s">
        <v>191</v>
      </c>
      <c r="C35" s="445">
        <f>SUM(C33:C34)</f>
        <v>929646250</v>
      </c>
      <c r="D35" s="445">
        <v>126128</v>
      </c>
      <c r="E35" s="445">
        <v>15999989</v>
      </c>
      <c r="F35" s="445">
        <f t="shared" si="0"/>
        <v>-793844114</v>
      </c>
      <c r="G35" s="445">
        <f t="shared" ref="G35:H35" si="10">SUM(G33:G34)</f>
        <v>151928253</v>
      </c>
      <c r="H35" s="445">
        <f t="shared" si="10"/>
        <v>148676333</v>
      </c>
      <c r="I35" s="369">
        <f>+I21+I34</f>
        <v>0</v>
      </c>
      <c r="J35" s="327">
        <f>SUM(J33:J34)</f>
        <v>929646250</v>
      </c>
      <c r="K35" s="110" t="s">
        <v>192</v>
      </c>
      <c r="L35" s="445">
        <f>+L33+L34</f>
        <v>929646250</v>
      </c>
      <c r="M35" s="445">
        <f t="shared" ref="M35:Q35" si="11">+M33+M34</f>
        <v>1489142</v>
      </c>
      <c r="N35" s="445">
        <f t="shared" si="11"/>
        <v>9224320</v>
      </c>
      <c r="O35" s="445">
        <f t="shared" si="11"/>
        <v>-846446567</v>
      </c>
      <c r="P35" s="445">
        <f t="shared" si="11"/>
        <v>93913145</v>
      </c>
      <c r="Q35" s="445">
        <f t="shared" si="11"/>
        <v>89952650</v>
      </c>
      <c r="R35" s="327">
        <f t="shared" ref="R35" si="12">+R33+R34</f>
        <v>0</v>
      </c>
      <c r="S35" s="327">
        <f>+S33+S34</f>
        <v>929646250</v>
      </c>
      <c r="T35" s="633"/>
    </row>
    <row r="36" spans="1:20" ht="13.5" thickBot="1" x14ac:dyDescent="0.25">
      <c r="A36" s="103" t="s">
        <v>193</v>
      </c>
      <c r="B36" s="110" t="s">
        <v>140</v>
      </c>
      <c r="C36" s="327">
        <f>IF(C19-L19&lt;0,L19-C19,"-")</f>
        <v>815833401</v>
      </c>
      <c r="D36" s="327"/>
      <c r="E36" s="327"/>
      <c r="F36" s="327">
        <f t="shared" si="0"/>
        <v>-815833401</v>
      </c>
      <c r="G36" s="327"/>
      <c r="H36" s="327"/>
      <c r="I36" s="327" t="str">
        <f>IF(I19-R19&lt;0,R19-I19,"-")</f>
        <v>-</v>
      </c>
      <c r="J36" s="327">
        <f>IF(J19-S19&lt;0,S19-J19,"-")</f>
        <v>815833401</v>
      </c>
      <c r="K36" s="110" t="s">
        <v>141</v>
      </c>
      <c r="L36" s="327" t="str">
        <f>IF(L19-T19&lt;0,T19-L19,"-")</f>
        <v>-</v>
      </c>
      <c r="M36" s="327"/>
      <c r="N36" s="327"/>
      <c r="O36" s="311"/>
      <c r="P36" s="311"/>
      <c r="Q36" s="311"/>
      <c r="R36" s="311" t="str">
        <f>IF(R19-U19&lt;0,U19-R19,"-")</f>
        <v>-</v>
      </c>
      <c r="S36" s="311" t="str">
        <f>IF(S19-V19&lt;0,V19-S19,"-")</f>
        <v>-</v>
      </c>
      <c r="T36" s="633"/>
    </row>
    <row r="37" spans="1:20" ht="13.5" thickBot="1" x14ac:dyDescent="0.25">
      <c r="A37" s="103" t="s">
        <v>194</v>
      </c>
      <c r="B37" s="110" t="s">
        <v>143</v>
      </c>
      <c r="C37" s="327">
        <f>IF(C19+C20-L33&lt;0,L33-(C19+C20),"-")</f>
        <v>650000000</v>
      </c>
      <c r="D37" s="327"/>
      <c r="E37" s="327"/>
      <c r="F37" s="327">
        <f t="shared" si="0"/>
        <v>-650000000</v>
      </c>
      <c r="G37" s="327"/>
      <c r="H37" s="327"/>
      <c r="I37" s="327" t="str">
        <f>IF(I19+I20-R33&lt;0,R33-(I19+I20),"-")</f>
        <v>-</v>
      </c>
      <c r="J37" s="327">
        <f>IF(J19+J20-S33&lt;0,S33-(J19+J20),"-")</f>
        <v>650000000</v>
      </c>
      <c r="K37" s="110" t="s">
        <v>144</v>
      </c>
      <c r="L37" s="327" t="str">
        <f>IF(L19+L20-T33&lt;0,T33-(L19+L20),"-")</f>
        <v>-</v>
      </c>
      <c r="M37" s="327"/>
      <c r="N37" s="327"/>
      <c r="O37" s="311"/>
      <c r="P37" s="311"/>
      <c r="Q37" s="311"/>
      <c r="R37" s="311" t="str">
        <f>IF(R19+R20-U33&lt;0,U33-(R19+R20),"-")</f>
        <v>-</v>
      </c>
      <c r="S37" s="311" t="str">
        <f>IF(S19+S20-V33&lt;0,V33-(S19+S20),"-")</f>
        <v>-</v>
      </c>
      <c r="T37" s="633"/>
    </row>
  </sheetData>
  <mergeCells count="2">
    <mergeCell ref="T1:T37"/>
    <mergeCell ref="A3:A4"/>
  </mergeCells>
  <phoneticPr fontId="7" type="noConversion"/>
  <pageMargins left="0.25" right="0.25" top="0.75" bottom="0.75" header="0.3" footer="0.3"/>
  <pageSetup paperSize="9" scale="85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I60"/>
  <sheetViews>
    <sheetView workbookViewId="0">
      <selection activeCell="L30" sqref="L30"/>
    </sheetView>
  </sheetViews>
  <sheetFormatPr defaultRowHeight="15" customHeight="1" x14ac:dyDescent="0.2"/>
  <cols>
    <col min="1" max="1" width="3" style="2" customWidth="1"/>
    <col min="2" max="2" width="44.7109375" style="2" bestFit="1" customWidth="1"/>
    <col min="3" max="3" width="5.28515625" style="19" bestFit="1" customWidth="1"/>
    <col min="4" max="4" width="10.85546875" style="19" bestFit="1" customWidth="1"/>
    <col min="5" max="5" width="7.5703125" style="19" bestFit="1" customWidth="1"/>
    <col min="6" max="6" width="8.140625" style="19" bestFit="1" customWidth="1"/>
    <col min="7" max="7" width="10.42578125" style="19" bestFit="1" customWidth="1"/>
    <col min="8" max="9" width="10.85546875" style="19" bestFit="1" customWidth="1"/>
    <col min="10" max="16384" width="9.140625" style="2"/>
  </cols>
  <sheetData>
    <row r="1" spans="1:9" ht="21" customHeight="1" x14ac:dyDescent="0.2">
      <c r="A1" s="556" t="s">
        <v>452</v>
      </c>
      <c r="B1" s="556"/>
      <c r="C1" s="556"/>
      <c r="D1" s="556"/>
      <c r="E1" s="556"/>
      <c r="F1" s="556"/>
      <c r="G1" s="556"/>
      <c r="H1" s="556"/>
      <c r="I1" s="556"/>
    </row>
    <row r="2" spans="1:9" ht="18.75" customHeight="1" x14ac:dyDescent="0.2">
      <c r="A2" s="556" t="s">
        <v>42</v>
      </c>
      <c r="B2" s="556"/>
      <c r="C2" s="556"/>
      <c r="D2" s="556"/>
      <c r="E2" s="556"/>
      <c r="F2" s="556"/>
      <c r="G2" s="556"/>
      <c r="H2" s="556"/>
      <c r="I2" s="238" t="s">
        <v>375</v>
      </c>
    </row>
    <row r="3" spans="1:9" ht="15" customHeight="1" thickBot="1" x14ac:dyDescent="0.25"/>
    <row r="4" spans="1:9" ht="21.75" customHeight="1" thickBot="1" x14ac:dyDescent="0.25">
      <c r="A4" s="642" t="s">
        <v>35</v>
      </c>
      <c r="B4" s="643"/>
      <c r="C4" s="654" t="s">
        <v>34</v>
      </c>
      <c r="D4" s="656" t="s">
        <v>473</v>
      </c>
      <c r="E4" s="657"/>
      <c r="F4" s="657"/>
      <c r="G4" s="657"/>
      <c r="H4" s="657"/>
      <c r="I4" s="658"/>
    </row>
    <row r="5" spans="1:9" ht="25.5" customHeight="1" thickBot="1" x14ac:dyDescent="0.25">
      <c r="A5" s="644"/>
      <c r="B5" s="645"/>
      <c r="C5" s="655"/>
      <c r="D5" s="241" t="s">
        <v>199</v>
      </c>
      <c r="E5" s="241" t="s">
        <v>425</v>
      </c>
      <c r="F5" s="241" t="s">
        <v>433</v>
      </c>
      <c r="G5" s="241" t="s">
        <v>449</v>
      </c>
      <c r="H5" s="241" t="s">
        <v>424</v>
      </c>
      <c r="I5" s="241" t="s">
        <v>421</v>
      </c>
    </row>
    <row r="6" spans="1:9" ht="21" customHeight="1" x14ac:dyDescent="0.2">
      <c r="A6" s="57" t="s">
        <v>20</v>
      </c>
      <c r="B6" s="35"/>
      <c r="C6" s="35"/>
      <c r="D6" s="35"/>
      <c r="E6" s="35"/>
      <c r="F6" s="35"/>
      <c r="G6" s="35"/>
      <c r="H6" s="35"/>
      <c r="I6" s="781"/>
    </row>
    <row r="7" spans="1:9" s="12" customFormat="1" ht="18" customHeight="1" x14ac:dyDescent="0.2">
      <c r="A7" s="58" t="s">
        <v>17</v>
      </c>
      <c r="B7" s="59"/>
      <c r="C7" s="59"/>
      <c r="D7" s="242"/>
      <c r="E7" s="286"/>
      <c r="F7" s="286"/>
      <c r="G7" s="286"/>
      <c r="H7" s="286"/>
      <c r="I7" s="782"/>
    </row>
    <row r="8" spans="1:9" ht="25.5" x14ac:dyDescent="0.2">
      <c r="A8" s="63" t="s">
        <v>36</v>
      </c>
      <c r="B8" s="64" t="s">
        <v>72</v>
      </c>
      <c r="C8" s="65" t="s">
        <v>76</v>
      </c>
      <c r="D8" s="328">
        <f t="shared" ref="D8:I8" si="0">SUM(D9:D10)</f>
        <v>105524914</v>
      </c>
      <c r="E8" s="328">
        <f t="shared" si="0"/>
        <v>0</v>
      </c>
      <c r="F8" s="328">
        <v>0</v>
      </c>
      <c r="G8" s="328">
        <f>H8-F8-E8-D8</f>
        <v>-717191</v>
      </c>
      <c r="H8" s="328">
        <f t="shared" si="0"/>
        <v>104807723</v>
      </c>
      <c r="I8" s="66">
        <f t="shared" si="0"/>
        <v>104807723</v>
      </c>
    </row>
    <row r="9" spans="1:9" ht="25.5" x14ac:dyDescent="0.2">
      <c r="A9" s="27" t="s">
        <v>36</v>
      </c>
      <c r="B9" s="13" t="s">
        <v>77</v>
      </c>
      <c r="C9" s="41"/>
      <c r="D9" s="240">
        <v>105524914</v>
      </c>
      <c r="E9" s="334"/>
      <c r="F9" s="334">
        <v>0</v>
      </c>
      <c r="G9" s="287">
        <f t="shared" ref="G9:G60" si="1">H9-F9-E9-D9</f>
        <v>-717191</v>
      </c>
      <c r="H9" s="287">
        <v>104807723</v>
      </c>
      <c r="I9" s="783">
        <v>104807723</v>
      </c>
    </row>
    <row r="10" spans="1:9" ht="15.75" customHeight="1" x14ac:dyDescent="0.2">
      <c r="A10" s="60"/>
      <c r="B10" s="61"/>
      <c r="C10" s="61"/>
      <c r="D10" s="61"/>
      <c r="E10" s="335"/>
      <c r="F10" s="335"/>
      <c r="G10" s="288">
        <f t="shared" si="1"/>
        <v>0</v>
      </c>
      <c r="H10" s="448"/>
      <c r="I10" s="784"/>
    </row>
    <row r="11" spans="1:9" ht="15" customHeight="1" x14ac:dyDescent="0.2">
      <c r="A11" s="29" t="s">
        <v>37</v>
      </c>
      <c r="B11" s="32" t="s">
        <v>281</v>
      </c>
      <c r="C11" s="39" t="s">
        <v>355</v>
      </c>
      <c r="D11" s="329">
        <f t="shared" ref="D11:I11" si="2">SUM(D12:D12)</f>
        <v>550000</v>
      </c>
      <c r="E11" s="329">
        <f t="shared" si="2"/>
        <v>0</v>
      </c>
      <c r="F11" s="329">
        <v>0</v>
      </c>
      <c r="G11" s="329">
        <f t="shared" si="1"/>
        <v>-160000</v>
      </c>
      <c r="H11" s="329">
        <f t="shared" si="2"/>
        <v>390000</v>
      </c>
      <c r="I11" s="44">
        <f t="shared" si="2"/>
        <v>390000</v>
      </c>
    </row>
    <row r="12" spans="1:9" ht="15" customHeight="1" x14ac:dyDescent="0.2">
      <c r="A12" s="27" t="s">
        <v>36</v>
      </c>
      <c r="B12" s="13" t="s">
        <v>213</v>
      </c>
      <c r="C12" s="41"/>
      <c r="D12" s="240">
        <v>550000</v>
      </c>
      <c r="E12" s="334"/>
      <c r="F12" s="334">
        <v>0</v>
      </c>
      <c r="G12" s="287">
        <f t="shared" si="1"/>
        <v>-160000</v>
      </c>
      <c r="H12" s="287">
        <v>390000</v>
      </c>
      <c r="I12" s="783">
        <v>390000</v>
      </c>
    </row>
    <row r="13" spans="1:9" ht="26.25" customHeight="1" x14ac:dyDescent="0.2">
      <c r="A13" s="29" t="s">
        <v>38</v>
      </c>
      <c r="B13" s="30" t="s">
        <v>30</v>
      </c>
      <c r="C13" s="39" t="s">
        <v>355</v>
      </c>
      <c r="D13" s="329">
        <f t="shared" ref="D13:I13" si="3">SUM(D14:D20)</f>
        <v>1028510</v>
      </c>
      <c r="E13" s="329">
        <f t="shared" si="3"/>
        <v>0</v>
      </c>
      <c r="F13" s="329">
        <v>0</v>
      </c>
      <c r="G13" s="329">
        <f t="shared" si="1"/>
        <v>76652</v>
      </c>
      <c r="H13" s="329">
        <f t="shared" si="3"/>
        <v>1105162</v>
      </c>
      <c r="I13" s="44">
        <f t="shared" si="3"/>
        <v>1105162</v>
      </c>
    </row>
    <row r="14" spans="1:9" ht="15" customHeight="1" x14ac:dyDescent="0.2">
      <c r="A14" s="27" t="s">
        <v>36</v>
      </c>
      <c r="B14" s="7" t="s">
        <v>70</v>
      </c>
      <c r="C14" s="41"/>
      <c r="D14" s="240">
        <v>0</v>
      </c>
      <c r="E14" s="334"/>
      <c r="F14" s="334">
        <v>0</v>
      </c>
      <c r="G14" s="334">
        <f t="shared" si="1"/>
        <v>146652</v>
      </c>
      <c r="H14" s="334">
        <v>146652</v>
      </c>
      <c r="I14" s="783">
        <v>146652</v>
      </c>
    </row>
    <row r="15" spans="1:9" ht="15" customHeight="1" x14ac:dyDescent="0.2">
      <c r="A15" s="27" t="s">
        <v>37</v>
      </c>
      <c r="B15" s="8" t="s">
        <v>66</v>
      </c>
      <c r="C15" s="8"/>
      <c r="D15" s="239">
        <v>70000</v>
      </c>
      <c r="E15" s="336"/>
      <c r="F15" s="334">
        <v>0</v>
      </c>
      <c r="G15" s="334">
        <f t="shared" si="1"/>
        <v>-70000</v>
      </c>
      <c r="H15" s="336">
        <v>0</v>
      </c>
      <c r="I15" s="785"/>
    </row>
    <row r="16" spans="1:9" ht="15" customHeight="1" x14ac:dyDescent="0.2">
      <c r="A16" s="27" t="s">
        <v>38</v>
      </c>
      <c r="B16" s="7" t="s">
        <v>381</v>
      </c>
      <c r="C16" s="8"/>
      <c r="D16" s="239">
        <v>508325</v>
      </c>
      <c r="E16" s="336"/>
      <c r="F16" s="334">
        <v>0</v>
      </c>
      <c r="G16" s="334">
        <f t="shared" si="1"/>
        <v>0</v>
      </c>
      <c r="H16" s="336">
        <v>508325</v>
      </c>
      <c r="I16" s="785">
        <v>508325</v>
      </c>
    </row>
    <row r="17" spans="1:9" ht="15" customHeight="1" x14ac:dyDescent="0.2">
      <c r="A17" s="27" t="s">
        <v>39</v>
      </c>
      <c r="B17" s="7" t="s">
        <v>378</v>
      </c>
      <c r="C17" s="41"/>
      <c r="D17" s="239">
        <v>164664</v>
      </c>
      <c r="E17" s="336"/>
      <c r="F17" s="334">
        <v>0</v>
      </c>
      <c r="G17" s="334">
        <f t="shared" si="1"/>
        <v>0</v>
      </c>
      <c r="H17" s="336">
        <v>164664</v>
      </c>
      <c r="I17" s="785">
        <v>164664</v>
      </c>
    </row>
    <row r="18" spans="1:9" ht="15" customHeight="1" x14ac:dyDescent="0.2">
      <c r="A18" s="27" t="s">
        <v>40</v>
      </c>
      <c r="B18" s="7" t="s">
        <v>379</v>
      </c>
      <c r="C18" s="41"/>
      <c r="D18" s="239">
        <v>285521</v>
      </c>
      <c r="E18" s="336"/>
      <c r="F18" s="334">
        <v>0</v>
      </c>
      <c r="G18" s="334">
        <f t="shared" si="1"/>
        <v>0</v>
      </c>
      <c r="H18" s="336">
        <v>285521</v>
      </c>
      <c r="I18" s="785">
        <v>285521</v>
      </c>
    </row>
    <row r="19" spans="1:9" ht="15" customHeight="1" x14ac:dyDescent="0.2">
      <c r="A19" s="27" t="s">
        <v>45</v>
      </c>
      <c r="B19" s="8" t="s">
        <v>383</v>
      </c>
      <c r="C19" s="41"/>
      <c r="D19" s="239">
        <v>0</v>
      </c>
      <c r="E19" s="336"/>
      <c r="F19" s="334">
        <v>0</v>
      </c>
      <c r="G19" s="334">
        <f t="shared" si="1"/>
        <v>0</v>
      </c>
      <c r="H19" s="336">
        <v>0</v>
      </c>
      <c r="I19" s="785"/>
    </row>
    <row r="20" spans="1:9" ht="15" customHeight="1" x14ac:dyDescent="0.2">
      <c r="A20" s="27"/>
      <c r="B20" s="786"/>
      <c r="C20" s="8"/>
      <c r="D20" s="239"/>
      <c r="E20" s="336"/>
      <c r="F20" s="336"/>
      <c r="G20" s="336">
        <f t="shared" si="1"/>
        <v>0</v>
      </c>
      <c r="H20" s="336"/>
      <c r="I20" s="785"/>
    </row>
    <row r="21" spans="1:9" ht="22.5" customHeight="1" x14ac:dyDescent="0.2">
      <c r="A21" s="29" t="s">
        <v>39</v>
      </c>
      <c r="B21" s="30" t="s">
        <v>71</v>
      </c>
      <c r="C21" s="39" t="s">
        <v>355</v>
      </c>
      <c r="D21" s="329">
        <f>SUM(D22:D26)</f>
        <v>245785163</v>
      </c>
      <c r="E21" s="329">
        <f t="shared" ref="E21:I21" si="4">SUM(E22:E26)</f>
        <v>0</v>
      </c>
      <c r="F21" s="329">
        <v>15000</v>
      </c>
      <c r="G21" s="329">
        <f t="shared" si="1"/>
        <v>-23241216</v>
      </c>
      <c r="H21" s="329">
        <f t="shared" si="4"/>
        <v>222558947</v>
      </c>
      <c r="I21" s="44">
        <f t="shared" si="4"/>
        <v>222558947</v>
      </c>
    </row>
    <row r="22" spans="1:9" ht="25.5" x14ac:dyDescent="0.2">
      <c r="A22" s="27" t="s">
        <v>36</v>
      </c>
      <c r="B22" s="13" t="s">
        <v>426</v>
      </c>
      <c r="C22" s="41"/>
      <c r="D22" s="240">
        <v>49935</v>
      </c>
      <c r="E22" s="334"/>
      <c r="F22" s="334">
        <v>0</v>
      </c>
      <c r="G22" s="334">
        <f t="shared" si="1"/>
        <v>-49935</v>
      </c>
      <c r="H22" s="334">
        <v>0</v>
      </c>
      <c r="I22" s="783"/>
    </row>
    <row r="23" spans="1:9" ht="18" customHeight="1" x14ac:dyDescent="0.2">
      <c r="A23" s="27" t="s">
        <v>37</v>
      </c>
      <c r="B23" s="8" t="s">
        <v>380</v>
      </c>
      <c r="C23" s="41"/>
      <c r="D23" s="239">
        <v>95000</v>
      </c>
      <c r="E23" s="336"/>
      <c r="F23" s="334">
        <v>0</v>
      </c>
      <c r="G23" s="334">
        <f t="shared" si="1"/>
        <v>4360</v>
      </c>
      <c r="H23" s="336">
        <v>99360</v>
      </c>
      <c r="I23" s="785">
        <v>99360</v>
      </c>
    </row>
    <row r="24" spans="1:9" ht="18" customHeight="1" x14ac:dyDescent="0.2">
      <c r="A24" s="27" t="s">
        <v>38</v>
      </c>
      <c r="B24" s="7" t="s">
        <v>206</v>
      </c>
      <c r="C24" s="41"/>
      <c r="D24" s="239">
        <v>233921053</v>
      </c>
      <c r="E24" s="336"/>
      <c r="F24" s="334">
        <v>0</v>
      </c>
      <c r="G24" s="334">
        <f t="shared" si="1"/>
        <v>-23476924</v>
      </c>
      <c r="H24" s="336">
        <v>210444129</v>
      </c>
      <c r="I24" s="785">
        <f>103378406+49073670+58331020-338967</f>
        <v>210444129</v>
      </c>
    </row>
    <row r="25" spans="1:9" ht="18" customHeight="1" x14ac:dyDescent="0.2">
      <c r="A25" s="27" t="s">
        <v>39</v>
      </c>
      <c r="B25" s="7" t="s">
        <v>205</v>
      </c>
      <c r="C25" s="41"/>
      <c r="D25" s="239">
        <v>11719175</v>
      </c>
      <c r="E25" s="336"/>
      <c r="F25" s="334">
        <v>15000</v>
      </c>
      <c r="G25" s="334">
        <f t="shared" si="1"/>
        <v>281283</v>
      </c>
      <c r="H25" s="336">
        <v>12015458</v>
      </c>
      <c r="I25" s="785">
        <f>5502808+3437580+3471271-396201</f>
        <v>12015458</v>
      </c>
    </row>
    <row r="26" spans="1:9" ht="18" customHeight="1" x14ac:dyDescent="0.2">
      <c r="A26" s="27"/>
      <c r="B26" s="7"/>
      <c r="C26" s="41"/>
      <c r="D26" s="239"/>
      <c r="E26" s="336"/>
      <c r="F26" s="336"/>
      <c r="G26" s="336">
        <f t="shared" si="1"/>
        <v>0</v>
      </c>
      <c r="H26" s="336"/>
      <c r="I26" s="785"/>
    </row>
    <row r="27" spans="1:9" ht="23.25" customHeight="1" x14ac:dyDescent="0.2">
      <c r="A27" s="640" t="s">
        <v>0</v>
      </c>
      <c r="B27" s="641"/>
      <c r="C27" s="42" t="s">
        <v>355</v>
      </c>
      <c r="D27" s="330">
        <f>D11+D13+D21</f>
        <v>247363673</v>
      </c>
      <c r="E27" s="330">
        <f t="shared" ref="E27:I27" si="5">E11+E13+E21</f>
        <v>0</v>
      </c>
      <c r="F27" s="330">
        <v>15000</v>
      </c>
      <c r="G27" s="330">
        <f t="shared" si="1"/>
        <v>-23324564</v>
      </c>
      <c r="H27" s="330">
        <f t="shared" si="5"/>
        <v>224054109</v>
      </c>
      <c r="I27" s="24">
        <f t="shared" si="5"/>
        <v>224054109</v>
      </c>
    </row>
    <row r="28" spans="1:9" ht="24" customHeight="1" x14ac:dyDescent="0.2">
      <c r="A28" s="648"/>
      <c r="B28" s="649"/>
      <c r="C28" s="649"/>
      <c r="D28" s="649"/>
      <c r="E28" s="337"/>
      <c r="F28" s="337"/>
      <c r="G28" s="337">
        <f t="shared" si="1"/>
        <v>0</v>
      </c>
      <c r="H28" s="449"/>
      <c r="I28" s="787"/>
    </row>
    <row r="29" spans="1:9" ht="22.5" customHeight="1" x14ac:dyDescent="0.2">
      <c r="A29" s="33" t="s">
        <v>36</v>
      </c>
      <c r="B29" s="30" t="s">
        <v>30</v>
      </c>
      <c r="C29" s="39" t="s">
        <v>74</v>
      </c>
      <c r="D29" s="331">
        <f t="shared" ref="D29:I29" si="6">SUM(D30:D30)</f>
        <v>0</v>
      </c>
      <c r="E29" s="331">
        <f t="shared" si="6"/>
        <v>0</v>
      </c>
      <c r="F29" s="331">
        <v>0</v>
      </c>
      <c r="G29" s="331">
        <f t="shared" si="1"/>
        <v>0</v>
      </c>
      <c r="H29" s="331">
        <f t="shared" si="6"/>
        <v>0</v>
      </c>
      <c r="I29" s="26">
        <f t="shared" si="6"/>
        <v>0</v>
      </c>
    </row>
    <row r="30" spans="1:9" ht="15.75" customHeight="1" x14ac:dyDescent="0.2">
      <c r="A30" s="27"/>
      <c r="B30" s="13"/>
      <c r="C30" s="41"/>
      <c r="D30" s="239"/>
      <c r="E30" s="338"/>
      <c r="F30" s="338"/>
      <c r="G30" s="338">
        <f t="shared" si="1"/>
        <v>0</v>
      </c>
      <c r="H30" s="338"/>
      <c r="I30" s="129"/>
    </row>
    <row r="31" spans="1:9" ht="21" customHeight="1" thickBot="1" x14ac:dyDescent="0.25">
      <c r="A31" s="650" t="s">
        <v>6</v>
      </c>
      <c r="B31" s="651"/>
      <c r="C31" s="40" t="s">
        <v>74</v>
      </c>
      <c r="D31" s="332">
        <f t="shared" ref="D31:I31" si="7">D29</f>
        <v>0</v>
      </c>
      <c r="E31" s="332">
        <f t="shared" si="7"/>
        <v>0</v>
      </c>
      <c r="F31" s="332">
        <v>0</v>
      </c>
      <c r="G31" s="332">
        <f t="shared" si="1"/>
        <v>0</v>
      </c>
      <c r="H31" s="332">
        <f t="shared" si="7"/>
        <v>0</v>
      </c>
      <c r="I31" s="11">
        <f t="shared" si="7"/>
        <v>0</v>
      </c>
    </row>
    <row r="32" spans="1:9" ht="18" customHeight="1" thickBot="1" x14ac:dyDescent="0.25">
      <c r="A32" s="652" t="s">
        <v>18</v>
      </c>
      <c r="B32" s="653"/>
      <c r="C32" s="43"/>
      <c r="D32" s="333">
        <f t="shared" ref="D32:I32" si="8">D27+D31</f>
        <v>247363673</v>
      </c>
      <c r="E32" s="333">
        <f t="shared" si="8"/>
        <v>0</v>
      </c>
      <c r="F32" s="333">
        <v>15000</v>
      </c>
      <c r="G32" s="333">
        <f t="shared" si="1"/>
        <v>-23324564</v>
      </c>
      <c r="H32" s="333">
        <f t="shared" si="8"/>
        <v>224054109</v>
      </c>
      <c r="I32" s="14">
        <f t="shared" si="8"/>
        <v>224054109</v>
      </c>
    </row>
    <row r="33" spans="1:9" ht="15" customHeight="1" thickBot="1" x14ac:dyDescent="0.25">
      <c r="A33" s="646" t="s">
        <v>21</v>
      </c>
      <c r="B33" s="647"/>
      <c r="C33" s="647"/>
      <c r="D33" s="647"/>
      <c r="E33" s="339"/>
      <c r="F33" s="339"/>
      <c r="G33" s="339">
        <f t="shared" si="1"/>
        <v>0</v>
      </c>
      <c r="H33" s="450"/>
      <c r="I33" s="788"/>
    </row>
    <row r="34" spans="1:9" ht="15" customHeight="1" x14ac:dyDescent="0.2">
      <c r="A34" s="638" t="s">
        <v>19</v>
      </c>
      <c r="B34" s="639"/>
      <c r="C34" s="639"/>
      <c r="D34" s="639"/>
      <c r="E34" s="340"/>
      <c r="F34" s="340"/>
      <c r="G34" s="340">
        <f t="shared" si="1"/>
        <v>0</v>
      </c>
      <c r="H34" s="451"/>
      <c r="I34" s="789"/>
    </row>
    <row r="35" spans="1:9" ht="15" customHeight="1" x14ac:dyDescent="0.2">
      <c r="A35" s="33" t="s">
        <v>36</v>
      </c>
      <c r="B35" s="543" t="s">
        <v>7</v>
      </c>
      <c r="C35" s="39" t="s">
        <v>356</v>
      </c>
      <c r="D35" s="331">
        <f t="shared" ref="D35:I35" si="9">SUM(D36:D36)</f>
        <v>10000</v>
      </c>
      <c r="E35" s="331">
        <f t="shared" si="9"/>
        <v>0</v>
      </c>
      <c r="F35" s="331">
        <v>0</v>
      </c>
      <c r="G35" s="331">
        <f t="shared" si="1"/>
        <v>-6000</v>
      </c>
      <c r="H35" s="331">
        <f t="shared" si="9"/>
        <v>4000</v>
      </c>
      <c r="I35" s="26">
        <f t="shared" si="9"/>
        <v>4000</v>
      </c>
    </row>
    <row r="36" spans="1:9" ht="15" customHeight="1" x14ac:dyDescent="0.2">
      <c r="A36" s="28"/>
      <c r="B36" s="544" t="s">
        <v>73</v>
      </c>
      <c r="C36" s="41"/>
      <c r="D36" s="239">
        <v>10000</v>
      </c>
      <c r="E36" s="336"/>
      <c r="F36" s="334">
        <v>0</v>
      </c>
      <c r="G36" s="334">
        <f t="shared" si="1"/>
        <v>-6000</v>
      </c>
      <c r="H36" s="336">
        <v>4000</v>
      </c>
      <c r="I36" s="785">
        <f>4000</f>
        <v>4000</v>
      </c>
    </row>
    <row r="37" spans="1:9" ht="15" customHeight="1" x14ac:dyDescent="0.2">
      <c r="A37" s="33" t="s">
        <v>37</v>
      </c>
      <c r="B37" s="543" t="s">
        <v>67</v>
      </c>
      <c r="C37" s="39" t="s">
        <v>356</v>
      </c>
      <c r="D37" s="331">
        <f>SUM(D38:D39)</f>
        <v>4168800</v>
      </c>
      <c r="E37" s="331">
        <f t="shared" ref="E37:I37" si="10">SUM(E38:E39)</f>
        <v>0</v>
      </c>
      <c r="F37" s="331">
        <v>0</v>
      </c>
      <c r="G37" s="331">
        <f t="shared" si="1"/>
        <v>10771927</v>
      </c>
      <c r="H37" s="331">
        <f t="shared" si="10"/>
        <v>14940727</v>
      </c>
      <c r="I37" s="26">
        <f t="shared" si="10"/>
        <v>14940727</v>
      </c>
    </row>
    <row r="38" spans="1:9" ht="15" customHeight="1" x14ac:dyDescent="0.2">
      <c r="A38" s="28" t="s">
        <v>36</v>
      </c>
      <c r="B38" s="21" t="s">
        <v>68</v>
      </c>
      <c r="C38" s="41"/>
      <c r="D38" s="239">
        <v>4168800</v>
      </c>
      <c r="E38" s="336"/>
      <c r="F38" s="334">
        <v>0</v>
      </c>
      <c r="G38" s="334">
        <f t="shared" si="1"/>
        <v>4507700</v>
      </c>
      <c r="H38" s="336">
        <v>8676500</v>
      </c>
      <c r="I38" s="785">
        <f>5085500+1795500+598500+598500+598500</f>
        <v>8676500</v>
      </c>
    </row>
    <row r="39" spans="1:9" ht="15" customHeight="1" x14ac:dyDescent="0.2">
      <c r="A39" s="28"/>
      <c r="B39" s="544" t="s">
        <v>427</v>
      </c>
      <c r="C39" s="41"/>
      <c r="D39" s="239"/>
      <c r="E39" s="336"/>
      <c r="F39" s="334">
        <v>0</v>
      </c>
      <c r="G39" s="334">
        <f t="shared" si="1"/>
        <v>6264227</v>
      </c>
      <c r="H39" s="336">
        <v>6264227</v>
      </c>
      <c r="I39" s="785">
        <v>6264227</v>
      </c>
    </row>
    <row r="40" spans="1:9" ht="15" customHeight="1" x14ac:dyDescent="0.2">
      <c r="A40" s="31" t="s">
        <v>38</v>
      </c>
      <c r="B40" s="543" t="s">
        <v>78</v>
      </c>
      <c r="C40" s="39" t="s">
        <v>356</v>
      </c>
      <c r="D40" s="331">
        <f>SUM(D41:D58)</f>
        <v>29450505</v>
      </c>
      <c r="E40" s="331">
        <f t="shared" ref="E40:I40" si="11">SUM(E41:E58)</f>
        <v>75000</v>
      </c>
      <c r="F40" s="331">
        <v>240000</v>
      </c>
      <c r="G40" s="331">
        <f t="shared" si="1"/>
        <v>-10500032</v>
      </c>
      <c r="H40" s="331">
        <f t="shared" si="11"/>
        <v>19265473</v>
      </c>
      <c r="I40" s="26">
        <f t="shared" si="11"/>
        <v>19265473</v>
      </c>
    </row>
    <row r="41" spans="1:9" ht="15" customHeight="1" x14ac:dyDescent="0.2">
      <c r="A41" s="28" t="s">
        <v>36</v>
      </c>
      <c r="B41" s="21" t="s">
        <v>207</v>
      </c>
      <c r="C41" s="41"/>
      <c r="D41" s="239">
        <v>100000</v>
      </c>
      <c r="E41" s="336">
        <v>0</v>
      </c>
      <c r="F41" s="334">
        <v>0</v>
      </c>
      <c r="G41" s="334">
        <f t="shared" si="1"/>
        <v>0</v>
      </c>
      <c r="H41" s="336">
        <v>100000</v>
      </c>
      <c r="I41" s="785">
        <v>100000</v>
      </c>
    </row>
    <row r="42" spans="1:9" ht="15" customHeight="1" x14ac:dyDescent="0.2">
      <c r="A42" s="28" t="s">
        <v>37</v>
      </c>
      <c r="B42" s="21" t="s">
        <v>54</v>
      </c>
      <c r="C42" s="41"/>
      <c r="D42" s="239">
        <v>200000</v>
      </c>
      <c r="E42" s="336">
        <v>0</v>
      </c>
      <c r="F42" s="334">
        <v>0</v>
      </c>
      <c r="G42" s="334">
        <f t="shared" si="1"/>
        <v>0</v>
      </c>
      <c r="H42" s="336">
        <v>200000</v>
      </c>
      <c r="I42" s="785">
        <f>200000</f>
        <v>200000</v>
      </c>
    </row>
    <row r="43" spans="1:9" ht="15" customHeight="1" x14ac:dyDescent="0.2">
      <c r="A43" s="28" t="s">
        <v>38</v>
      </c>
      <c r="B43" s="21" t="s">
        <v>55</v>
      </c>
      <c r="C43" s="41"/>
      <c r="D43" s="239">
        <v>350000</v>
      </c>
      <c r="E43" s="336">
        <v>0</v>
      </c>
      <c r="F43" s="334">
        <v>0</v>
      </c>
      <c r="G43" s="334">
        <f t="shared" si="1"/>
        <v>0</v>
      </c>
      <c r="H43" s="336">
        <v>350000</v>
      </c>
      <c r="I43" s="785">
        <f>350000</f>
        <v>350000</v>
      </c>
    </row>
    <row r="44" spans="1:9" ht="15" customHeight="1" x14ac:dyDescent="0.2">
      <c r="A44" s="28" t="s">
        <v>39</v>
      </c>
      <c r="B44" s="21" t="s">
        <v>56</v>
      </c>
      <c r="C44" s="41"/>
      <c r="D44" s="239">
        <v>250000</v>
      </c>
      <c r="E44" s="336">
        <v>0</v>
      </c>
      <c r="F44" s="334">
        <v>0</v>
      </c>
      <c r="G44" s="334">
        <f t="shared" si="1"/>
        <v>-250000</v>
      </c>
      <c r="H44" s="336">
        <v>0</v>
      </c>
      <c r="I44" s="785"/>
    </row>
    <row r="45" spans="1:9" ht="15" customHeight="1" x14ac:dyDescent="0.2">
      <c r="A45" s="28" t="s">
        <v>40</v>
      </c>
      <c r="B45" s="21" t="s">
        <v>208</v>
      </c>
      <c r="C45" s="41"/>
      <c r="D45" s="239">
        <v>5878505</v>
      </c>
      <c r="E45" s="336">
        <v>0</v>
      </c>
      <c r="F45" s="334">
        <v>0</v>
      </c>
      <c r="G45" s="334">
        <f t="shared" si="1"/>
        <v>0</v>
      </c>
      <c r="H45" s="336">
        <v>5878505</v>
      </c>
      <c r="I45" s="785">
        <f>540500+934755+489250+489250+489250+1467750+1467750</f>
        <v>5878505</v>
      </c>
    </row>
    <row r="46" spans="1:9" ht="15" customHeight="1" x14ac:dyDescent="0.2">
      <c r="A46" s="28" t="s">
        <v>45</v>
      </c>
      <c r="B46" s="21" t="s">
        <v>57</v>
      </c>
      <c r="C46" s="41"/>
      <c r="D46" s="239">
        <v>2000000</v>
      </c>
      <c r="E46" s="336">
        <v>0</v>
      </c>
      <c r="F46" s="334">
        <v>0</v>
      </c>
      <c r="G46" s="334">
        <f t="shared" si="1"/>
        <v>428350</v>
      </c>
      <c r="H46" s="336">
        <v>2428350</v>
      </c>
      <c r="I46" s="785">
        <f>500000+500000+500000+928350</f>
        <v>2428350</v>
      </c>
    </row>
    <row r="47" spans="1:9" ht="15" customHeight="1" x14ac:dyDescent="0.2">
      <c r="A47" s="28" t="s">
        <v>47</v>
      </c>
      <c r="B47" s="21" t="s">
        <v>58</v>
      </c>
      <c r="C47" s="41"/>
      <c r="D47" s="239">
        <v>950000</v>
      </c>
      <c r="E47" s="336">
        <v>20000</v>
      </c>
      <c r="F47" s="334">
        <v>30000</v>
      </c>
      <c r="G47" s="334">
        <f t="shared" si="1"/>
        <v>-768332</v>
      </c>
      <c r="H47" s="336">
        <v>231668</v>
      </c>
      <c r="I47" s="785">
        <f>20000+105000+106668</f>
        <v>231668</v>
      </c>
    </row>
    <row r="48" spans="1:9" ht="15" customHeight="1" x14ac:dyDescent="0.2">
      <c r="A48" s="28" t="s">
        <v>48</v>
      </c>
      <c r="B48" s="786" t="s">
        <v>382</v>
      </c>
      <c r="C48" s="41"/>
      <c r="D48" s="239">
        <v>60000</v>
      </c>
      <c r="E48" s="336">
        <v>0</v>
      </c>
      <c r="F48" s="334">
        <v>0</v>
      </c>
      <c r="G48" s="334">
        <f t="shared" si="1"/>
        <v>0</v>
      </c>
      <c r="H48" s="336">
        <v>60000</v>
      </c>
      <c r="I48" s="785">
        <f>60000</f>
        <v>60000</v>
      </c>
    </row>
    <row r="49" spans="1:9" ht="15" customHeight="1" x14ac:dyDescent="0.2">
      <c r="A49" s="28" t="s">
        <v>49</v>
      </c>
      <c r="B49" s="21" t="s">
        <v>59</v>
      </c>
      <c r="C49" s="41"/>
      <c r="D49" s="239">
        <v>400000</v>
      </c>
      <c r="E49" s="336">
        <v>0</v>
      </c>
      <c r="F49" s="334">
        <v>0</v>
      </c>
      <c r="G49" s="334">
        <f t="shared" si="1"/>
        <v>-320000</v>
      </c>
      <c r="H49" s="336">
        <v>80000</v>
      </c>
      <c r="I49" s="785">
        <f>80000</f>
        <v>80000</v>
      </c>
    </row>
    <row r="50" spans="1:9" ht="14.25" customHeight="1" x14ac:dyDescent="0.2">
      <c r="A50" s="28" t="s">
        <v>50</v>
      </c>
      <c r="B50" s="21" t="s">
        <v>60</v>
      </c>
      <c r="C50" s="41"/>
      <c r="D50" s="239">
        <v>1150000</v>
      </c>
      <c r="E50" s="336">
        <v>55000</v>
      </c>
      <c r="F50" s="334">
        <v>0</v>
      </c>
      <c r="G50" s="334">
        <f t="shared" si="1"/>
        <v>326950</v>
      </c>
      <c r="H50" s="336">
        <v>1531950</v>
      </c>
      <c r="I50" s="785">
        <f>55000+115000+115000+115000+115000+345000+671950</f>
        <v>1531950</v>
      </c>
    </row>
    <row r="51" spans="1:9" ht="15" customHeight="1" x14ac:dyDescent="0.2">
      <c r="A51" s="28" t="s">
        <v>23</v>
      </c>
      <c r="B51" s="21" t="s">
        <v>209</v>
      </c>
      <c r="C51" s="41"/>
      <c r="D51" s="239">
        <v>1150000</v>
      </c>
      <c r="E51" s="336">
        <v>0</v>
      </c>
      <c r="F51" s="334">
        <v>150000</v>
      </c>
      <c r="G51" s="334">
        <f t="shared" si="1"/>
        <v>161600</v>
      </c>
      <c r="H51" s="336">
        <v>1461600</v>
      </c>
      <c r="I51" s="785">
        <f>345000+115000+495000+506600</f>
        <v>1461600</v>
      </c>
    </row>
    <row r="52" spans="1:9" ht="15" customHeight="1" x14ac:dyDescent="0.2">
      <c r="A52" s="28" t="s">
        <v>24</v>
      </c>
      <c r="B52" s="21" t="s">
        <v>61</v>
      </c>
      <c r="C52" s="41"/>
      <c r="D52" s="239">
        <v>250000</v>
      </c>
      <c r="E52" s="336">
        <v>0</v>
      </c>
      <c r="F52" s="334">
        <v>0</v>
      </c>
      <c r="G52" s="334">
        <f t="shared" si="1"/>
        <v>0</v>
      </c>
      <c r="H52" s="336">
        <v>250000</v>
      </c>
      <c r="I52" s="785">
        <f>250000</f>
        <v>250000</v>
      </c>
    </row>
    <row r="53" spans="1:9" ht="15" customHeight="1" x14ac:dyDescent="0.2">
      <c r="A53" s="28" t="s">
        <v>28</v>
      </c>
      <c r="B53" s="21" t="s">
        <v>62</v>
      </c>
      <c r="C53" s="41"/>
      <c r="D53" s="239">
        <v>500000</v>
      </c>
      <c r="E53" s="336">
        <v>0</v>
      </c>
      <c r="F53" s="334">
        <v>0</v>
      </c>
      <c r="G53" s="334">
        <f t="shared" si="1"/>
        <v>-500000</v>
      </c>
      <c r="H53" s="336">
        <v>0</v>
      </c>
      <c r="I53" s="785"/>
    </row>
    <row r="54" spans="1:9" ht="15" customHeight="1" x14ac:dyDescent="0.2">
      <c r="A54" s="28" t="s">
        <v>25</v>
      </c>
      <c r="B54" s="21" t="s">
        <v>63</v>
      </c>
      <c r="C54" s="41"/>
      <c r="D54" s="239">
        <v>15400000</v>
      </c>
      <c r="E54" s="336">
        <v>0</v>
      </c>
      <c r="F54" s="334">
        <v>60000</v>
      </c>
      <c r="G54" s="334">
        <f t="shared" si="1"/>
        <v>-9728600</v>
      </c>
      <c r="H54" s="336">
        <v>5731400</v>
      </c>
      <c r="I54" s="785">
        <f>350000+175000+175000+175000+990000+330000+175000+1575000+1786400</f>
        <v>5731400</v>
      </c>
    </row>
    <row r="55" spans="1:9" ht="15" customHeight="1" x14ac:dyDescent="0.2">
      <c r="A55" s="28" t="s">
        <v>53</v>
      </c>
      <c r="B55" s="21" t="s">
        <v>69</v>
      </c>
      <c r="C55" s="41"/>
      <c r="D55" s="239">
        <v>0</v>
      </c>
      <c r="E55" s="336">
        <v>0</v>
      </c>
      <c r="F55" s="334">
        <v>0</v>
      </c>
      <c r="G55" s="334">
        <f t="shared" si="1"/>
        <v>0</v>
      </c>
      <c r="H55" s="336">
        <v>0</v>
      </c>
      <c r="I55" s="785"/>
    </row>
    <row r="56" spans="1:9" ht="15" customHeight="1" x14ac:dyDescent="0.2">
      <c r="A56" s="28" t="s">
        <v>64</v>
      </c>
      <c r="B56" s="21" t="s">
        <v>210</v>
      </c>
      <c r="C56" s="41"/>
      <c r="D56" s="239">
        <v>12000</v>
      </c>
      <c r="E56" s="336">
        <v>0</v>
      </c>
      <c r="F56" s="334">
        <v>0</v>
      </c>
      <c r="G56" s="334">
        <f t="shared" si="1"/>
        <v>0</v>
      </c>
      <c r="H56" s="336">
        <v>12000</v>
      </c>
      <c r="I56" s="785">
        <v>12000</v>
      </c>
    </row>
    <row r="57" spans="1:9" ht="15" customHeight="1" x14ac:dyDescent="0.2">
      <c r="A57" s="28" t="s">
        <v>26</v>
      </c>
      <c r="B57" s="13" t="s">
        <v>282</v>
      </c>
      <c r="C57" s="41"/>
      <c r="D57" s="239">
        <v>500000</v>
      </c>
      <c r="E57" s="336">
        <v>0</v>
      </c>
      <c r="F57" s="334">
        <v>0</v>
      </c>
      <c r="G57" s="334">
        <f t="shared" si="1"/>
        <v>150000</v>
      </c>
      <c r="H57" s="336">
        <v>650000</v>
      </c>
      <c r="I57" s="785">
        <f>500000+150000</f>
        <v>650000</v>
      </c>
    </row>
    <row r="58" spans="1:9" ht="15" customHeight="1" x14ac:dyDescent="0.2">
      <c r="A58" s="28" t="s">
        <v>65</v>
      </c>
      <c r="B58" s="786" t="s">
        <v>283</v>
      </c>
      <c r="C58" s="41"/>
      <c r="D58" s="239">
        <v>300000</v>
      </c>
      <c r="E58" s="336">
        <v>0</v>
      </c>
      <c r="F58" s="334">
        <v>0</v>
      </c>
      <c r="G58" s="334">
        <f t="shared" si="1"/>
        <v>0</v>
      </c>
      <c r="H58" s="336">
        <v>300000</v>
      </c>
      <c r="I58" s="785">
        <f>300000</f>
        <v>300000</v>
      </c>
    </row>
    <row r="59" spans="1:9" ht="18" customHeight="1" x14ac:dyDescent="0.2">
      <c r="A59" s="640" t="s">
        <v>8</v>
      </c>
      <c r="B59" s="641"/>
      <c r="C59" s="42" t="s">
        <v>356</v>
      </c>
      <c r="D59" s="330">
        <f>D35+D37+D40</f>
        <v>33629305</v>
      </c>
      <c r="E59" s="330">
        <f t="shared" ref="E59:I59" si="12">E35+E37+E40</f>
        <v>75000</v>
      </c>
      <c r="F59" s="330">
        <v>240000</v>
      </c>
      <c r="G59" s="330">
        <f t="shared" si="1"/>
        <v>265895</v>
      </c>
      <c r="H59" s="330">
        <f t="shared" si="12"/>
        <v>34210200</v>
      </c>
      <c r="I59" s="24">
        <f>I35+I37+I40</f>
        <v>34210200</v>
      </c>
    </row>
    <row r="60" spans="1:9" ht="18" customHeight="1" thickBot="1" x14ac:dyDescent="0.25">
      <c r="A60" s="650" t="s">
        <v>285</v>
      </c>
      <c r="B60" s="651"/>
      <c r="C60" s="40"/>
      <c r="D60" s="332">
        <f>D32+D59</f>
        <v>280992978</v>
      </c>
      <c r="E60" s="332">
        <f t="shared" ref="E60:I60" si="13">E32+E59</f>
        <v>75000</v>
      </c>
      <c r="F60" s="332">
        <v>255000</v>
      </c>
      <c r="G60" s="332">
        <f t="shared" si="1"/>
        <v>-23058669</v>
      </c>
      <c r="H60" s="332">
        <f t="shared" si="13"/>
        <v>258264309</v>
      </c>
      <c r="I60" s="11">
        <f t="shared" si="13"/>
        <v>258264309</v>
      </c>
    </row>
  </sheetData>
  <mergeCells count="13">
    <mergeCell ref="A1:I1"/>
    <mergeCell ref="A34:D34"/>
    <mergeCell ref="A59:B59"/>
    <mergeCell ref="A60:B60"/>
    <mergeCell ref="A4:B5"/>
    <mergeCell ref="A33:D33"/>
    <mergeCell ref="A27:B27"/>
    <mergeCell ref="A28:D28"/>
    <mergeCell ref="A31:B31"/>
    <mergeCell ref="A32:B32"/>
    <mergeCell ref="C4:C5"/>
    <mergeCell ref="D4:I4"/>
    <mergeCell ref="A2:H2"/>
  </mergeCells>
  <phoneticPr fontId="7" type="noConversion"/>
  <pageMargins left="0.61" right="0.16" top="0.54" bottom="0.41" header="0.26" footer="0.18"/>
  <pageSetup paperSize="9" scale="87" fitToHeight="0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  <pageSetUpPr fitToPage="1"/>
  </sheetPr>
  <dimension ref="A1:L73"/>
  <sheetViews>
    <sheetView zoomScaleNormal="100" workbookViewId="0">
      <selection activeCell="E4" sqref="E4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56" style="2" bestFit="1" customWidth="1"/>
    <col min="6" max="6" width="8.140625" style="19" bestFit="1" customWidth="1"/>
    <col min="7" max="7" width="10.85546875" style="165" bestFit="1" customWidth="1"/>
    <col min="8" max="8" width="7.42578125" style="165" bestFit="1" customWidth="1"/>
    <col min="9" max="9" width="9.42578125" style="165" bestFit="1" customWidth="1"/>
    <col min="10" max="10" width="11.42578125" style="165" bestFit="1" customWidth="1"/>
    <col min="11" max="11" width="9.85546875" style="165" bestFit="1" customWidth="1"/>
    <col min="12" max="12" width="11.140625" style="165" bestFit="1" customWidth="1"/>
    <col min="13" max="16384" width="9.140625" style="2"/>
  </cols>
  <sheetData>
    <row r="1" spans="1:12" ht="15" customHeight="1" x14ac:dyDescent="0.2">
      <c r="A1" s="556" t="s">
        <v>452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</row>
    <row r="2" spans="1:12" ht="19.5" customHeight="1" x14ac:dyDescent="0.2">
      <c r="A2" s="556" t="s">
        <v>46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238" t="s">
        <v>375</v>
      </c>
    </row>
    <row r="3" spans="1:12" ht="15" customHeight="1" x14ac:dyDescent="0.2">
      <c r="A3" s="3"/>
      <c r="B3" s="3"/>
      <c r="C3" s="12"/>
      <c r="D3" s="12"/>
      <c r="E3" s="3"/>
      <c r="F3" s="20"/>
      <c r="G3" s="231"/>
      <c r="H3" s="231"/>
      <c r="I3" s="231"/>
      <c r="J3" s="231"/>
      <c r="K3" s="231"/>
      <c r="L3" s="231"/>
    </row>
    <row r="4" spans="1:12" ht="10.5" customHeight="1" thickBot="1" x14ac:dyDescent="0.25"/>
    <row r="5" spans="1:12" ht="42.75" customHeight="1" thickBot="1" x14ac:dyDescent="0.25">
      <c r="A5" s="659" t="s">
        <v>35</v>
      </c>
      <c r="B5" s="660"/>
      <c r="C5" s="660"/>
      <c r="D5" s="660"/>
      <c r="E5" s="660"/>
      <c r="F5" s="169" t="s">
        <v>34</v>
      </c>
      <c r="G5" s="265" t="s">
        <v>474</v>
      </c>
      <c r="H5" s="265" t="s">
        <v>419</v>
      </c>
      <c r="I5" s="265" t="s">
        <v>433</v>
      </c>
      <c r="J5" s="265" t="s">
        <v>449</v>
      </c>
      <c r="K5" s="265" t="s">
        <v>420</v>
      </c>
      <c r="L5" s="265" t="s">
        <v>421</v>
      </c>
    </row>
    <row r="6" spans="1:12" ht="18" customHeight="1" x14ac:dyDescent="0.2">
      <c r="A6" s="665" t="s">
        <v>36</v>
      </c>
      <c r="B6" s="668" t="s">
        <v>29</v>
      </c>
      <c r="C6" s="669"/>
      <c r="D6" s="669"/>
      <c r="E6" s="669"/>
      <c r="F6" s="669"/>
      <c r="G6" s="670"/>
      <c r="H6" s="10"/>
      <c r="I6" s="10"/>
      <c r="J6" s="10"/>
      <c r="K6" s="2"/>
      <c r="L6" s="2"/>
    </row>
    <row r="7" spans="1:12" ht="15" customHeight="1" x14ac:dyDescent="0.2">
      <c r="A7" s="666"/>
      <c r="B7" s="663" t="s">
        <v>36</v>
      </c>
      <c r="C7" s="671" t="s">
        <v>33</v>
      </c>
      <c r="D7" s="672"/>
      <c r="E7" s="673"/>
      <c r="F7" s="45" t="s">
        <v>399</v>
      </c>
      <c r="G7" s="255">
        <f>SUM(G8:G9)</f>
        <v>0</v>
      </c>
      <c r="H7" s="255">
        <v>0</v>
      </c>
      <c r="I7" s="255"/>
      <c r="J7" s="255">
        <f t="shared" ref="J7:J15" si="0">K7-I7-H7-G7</f>
        <v>0</v>
      </c>
      <c r="K7" s="255">
        <f t="shared" ref="K7:L7" si="1">SUM(K8:K9)</f>
        <v>0</v>
      </c>
      <c r="L7" s="255">
        <f t="shared" si="1"/>
        <v>0</v>
      </c>
    </row>
    <row r="8" spans="1:12" s="12" customFormat="1" ht="15" customHeight="1" x14ac:dyDescent="0.2">
      <c r="A8" s="666"/>
      <c r="B8" s="664"/>
      <c r="C8" s="34" t="s">
        <v>36</v>
      </c>
      <c r="D8" s="661" t="s">
        <v>16</v>
      </c>
      <c r="E8" s="662"/>
      <c r="F8" s="46"/>
      <c r="G8" s="244">
        <v>0</v>
      </c>
      <c r="H8" s="244"/>
      <c r="I8" s="244"/>
      <c r="J8" s="244">
        <f t="shared" si="0"/>
        <v>0</v>
      </c>
      <c r="K8" s="244"/>
      <c r="L8" s="244"/>
    </row>
    <row r="9" spans="1:12" s="12" customFormat="1" ht="15" customHeight="1" x14ac:dyDescent="0.2">
      <c r="A9" s="666"/>
      <c r="B9" s="664"/>
      <c r="C9" s="62" t="s">
        <v>37</v>
      </c>
      <c r="D9" s="661" t="s">
        <v>15</v>
      </c>
      <c r="E9" s="662"/>
      <c r="F9" s="46"/>
      <c r="G9" s="244">
        <v>0</v>
      </c>
      <c r="H9" s="244"/>
      <c r="I9" s="244"/>
      <c r="J9" s="244">
        <f t="shared" si="0"/>
        <v>0</v>
      </c>
      <c r="K9" s="341"/>
      <c r="L9" s="341"/>
    </row>
    <row r="10" spans="1:12" ht="15" customHeight="1" x14ac:dyDescent="0.2">
      <c r="A10" s="666"/>
      <c r="B10" s="663" t="s">
        <v>37</v>
      </c>
      <c r="C10" s="671" t="s">
        <v>400</v>
      </c>
      <c r="D10" s="672"/>
      <c r="E10" s="673"/>
      <c r="F10" s="47" t="s">
        <v>80</v>
      </c>
      <c r="G10" s="256">
        <f>G11+G13+G15+G19</f>
        <v>619815229</v>
      </c>
      <c r="H10" s="256">
        <v>0</v>
      </c>
      <c r="I10" s="256"/>
      <c r="J10" s="256">
        <f t="shared" si="0"/>
        <v>-581205845</v>
      </c>
      <c r="K10" s="256">
        <f t="shared" ref="K10:L10" si="2">K11+K13+K15+K19</f>
        <v>38609384</v>
      </c>
      <c r="L10" s="256">
        <f t="shared" si="2"/>
        <v>38609384</v>
      </c>
    </row>
    <row r="11" spans="1:12" s="12" customFormat="1" ht="15" customHeight="1" x14ac:dyDescent="0.2">
      <c r="A11" s="666"/>
      <c r="B11" s="664"/>
      <c r="C11" s="16" t="s">
        <v>36</v>
      </c>
      <c r="D11" s="661" t="s">
        <v>43</v>
      </c>
      <c r="E11" s="662"/>
      <c r="F11" s="46"/>
      <c r="G11" s="244"/>
      <c r="H11" s="244"/>
      <c r="I11" s="244"/>
      <c r="J11" s="244">
        <f t="shared" si="0"/>
        <v>0</v>
      </c>
      <c r="K11" s="244"/>
      <c r="L11" s="244"/>
    </row>
    <row r="12" spans="1:12" s="12" customFormat="1" ht="15" customHeight="1" x14ac:dyDescent="0.25">
      <c r="A12" s="666"/>
      <c r="B12" s="664"/>
      <c r="C12" s="52"/>
      <c r="D12" s="347" t="s">
        <v>36</v>
      </c>
      <c r="E12" s="51"/>
      <c r="F12" s="46"/>
      <c r="G12" s="257"/>
      <c r="H12" s="257"/>
      <c r="I12" s="257"/>
      <c r="J12" s="257">
        <f t="shared" si="0"/>
        <v>0</v>
      </c>
      <c r="K12" s="257"/>
      <c r="L12" s="257"/>
    </row>
    <row r="13" spans="1:12" s="12" customFormat="1" ht="15" customHeight="1" x14ac:dyDescent="0.2">
      <c r="A13" s="666"/>
      <c r="B13" s="664"/>
      <c r="C13" s="663" t="s">
        <v>37</v>
      </c>
      <c r="D13" s="661" t="s">
        <v>44</v>
      </c>
      <c r="E13" s="662"/>
      <c r="F13" s="46"/>
      <c r="G13" s="244">
        <f>SUM(G14:G14)</f>
        <v>0</v>
      </c>
      <c r="H13" s="244"/>
      <c r="I13" s="244"/>
      <c r="J13" s="244">
        <f t="shared" si="0"/>
        <v>0</v>
      </c>
      <c r="K13" s="244"/>
      <c r="L13" s="244"/>
    </row>
    <row r="14" spans="1:12" ht="15" customHeight="1" x14ac:dyDescent="0.2">
      <c r="A14" s="666"/>
      <c r="B14" s="664"/>
      <c r="C14" s="664"/>
      <c r="D14" s="22" t="s">
        <v>36</v>
      </c>
      <c r="E14" s="348"/>
      <c r="F14" s="48"/>
      <c r="G14" s="257"/>
      <c r="H14" s="257"/>
      <c r="I14" s="257"/>
      <c r="J14" s="257">
        <f t="shared" si="0"/>
        <v>0</v>
      </c>
      <c r="K14" s="257"/>
      <c r="L14" s="257"/>
    </row>
    <row r="15" spans="1:12" s="12" customFormat="1" ht="15" customHeight="1" x14ac:dyDescent="0.2">
      <c r="A15" s="666"/>
      <c r="B15" s="664"/>
      <c r="C15" s="663" t="s">
        <v>38</v>
      </c>
      <c r="D15" s="661" t="s">
        <v>9</v>
      </c>
      <c r="E15" s="662"/>
      <c r="F15" s="46"/>
      <c r="G15" s="244">
        <f>SUM(G16:G18)</f>
        <v>570866142</v>
      </c>
      <c r="H15" s="244">
        <v>0</v>
      </c>
      <c r="I15" s="244"/>
      <c r="J15" s="244">
        <f t="shared" si="0"/>
        <v>-550825533</v>
      </c>
      <c r="K15" s="244">
        <f>SUM(K16:K18)</f>
        <v>20040609</v>
      </c>
      <c r="L15" s="244">
        <f>SUM(L16:L18)</f>
        <v>20040609</v>
      </c>
    </row>
    <row r="16" spans="1:12" s="12" customFormat="1" ht="15" customHeight="1" x14ac:dyDescent="0.2">
      <c r="A16" s="666"/>
      <c r="B16" s="664"/>
      <c r="C16" s="664"/>
      <c r="D16" s="347" t="s">
        <v>36</v>
      </c>
      <c r="E16" s="348" t="s">
        <v>284</v>
      </c>
      <c r="F16" s="46" t="s">
        <v>80</v>
      </c>
      <c r="G16" s="257">
        <v>511811024</v>
      </c>
      <c r="H16" s="257">
        <v>0</v>
      </c>
      <c r="I16" s="257"/>
      <c r="J16" s="257">
        <f>K16-I16-H16-G16</f>
        <v>-493050415</v>
      </c>
      <c r="K16" s="257">
        <v>18760609</v>
      </c>
      <c r="L16" s="257">
        <f>18760609</f>
        <v>18760609</v>
      </c>
    </row>
    <row r="17" spans="1:12" s="12" customFormat="1" ht="15" customHeight="1" x14ac:dyDescent="0.2">
      <c r="A17" s="666"/>
      <c r="B17" s="664"/>
      <c r="C17" s="349"/>
      <c r="D17" s="347" t="s">
        <v>37</v>
      </c>
      <c r="E17" s="348" t="s">
        <v>390</v>
      </c>
      <c r="F17" s="46"/>
      <c r="G17" s="257">
        <f>35433071+23622047</f>
        <v>59055118</v>
      </c>
      <c r="H17" s="257">
        <v>0</v>
      </c>
      <c r="I17" s="257"/>
      <c r="J17" s="257">
        <f t="shared" ref="J17:J67" si="3">K17-I17-H17-G17</f>
        <v>-57775118</v>
      </c>
      <c r="K17" s="257">
        <v>1280000</v>
      </c>
      <c r="L17" s="257">
        <f>150000+580000+50000+500000</f>
        <v>1280000</v>
      </c>
    </row>
    <row r="18" spans="1:12" s="12" customFormat="1" ht="15" customHeight="1" x14ac:dyDescent="0.2">
      <c r="A18" s="666"/>
      <c r="B18" s="664"/>
      <c r="C18" s="349"/>
      <c r="D18" s="347">
        <v>3</v>
      </c>
      <c r="E18" s="348" t="s">
        <v>409</v>
      </c>
      <c r="F18" s="46"/>
      <c r="G18" s="257"/>
      <c r="H18" s="257"/>
      <c r="I18" s="257"/>
      <c r="J18" s="257">
        <f t="shared" si="3"/>
        <v>0</v>
      </c>
      <c r="K18" s="257">
        <v>0</v>
      </c>
      <c r="L18" s="257"/>
    </row>
    <row r="19" spans="1:12" s="12" customFormat="1" ht="15" customHeight="1" x14ac:dyDescent="0.2">
      <c r="A19" s="666"/>
      <c r="B19" s="664"/>
      <c r="C19" s="663" t="s">
        <v>39</v>
      </c>
      <c r="D19" s="661" t="s">
        <v>10</v>
      </c>
      <c r="E19" s="662"/>
      <c r="F19" s="46" t="s">
        <v>80</v>
      </c>
      <c r="G19" s="244">
        <f>SUM(G20:G26)</f>
        <v>48949087</v>
      </c>
      <c r="H19" s="244">
        <v>0</v>
      </c>
      <c r="I19" s="244"/>
      <c r="J19" s="244">
        <f t="shared" si="3"/>
        <v>-30380312</v>
      </c>
      <c r="K19" s="244">
        <f t="shared" ref="K19:L19" si="4">SUM(K20:K26)</f>
        <v>18568775</v>
      </c>
      <c r="L19" s="244">
        <f t="shared" si="4"/>
        <v>18568775</v>
      </c>
    </row>
    <row r="20" spans="1:12" s="12" customFormat="1" ht="16.5" customHeight="1" x14ac:dyDescent="0.25">
      <c r="A20" s="666"/>
      <c r="B20" s="664"/>
      <c r="C20" s="664"/>
      <c r="D20" s="347" t="s">
        <v>36</v>
      </c>
      <c r="E20" s="51" t="s">
        <v>384</v>
      </c>
      <c r="F20" s="46"/>
      <c r="G20" s="257">
        <v>20160302</v>
      </c>
      <c r="H20" s="257">
        <v>0</v>
      </c>
      <c r="I20" s="257"/>
      <c r="J20" s="257">
        <f t="shared" si="3"/>
        <v>-7596739</v>
      </c>
      <c r="K20" s="257">
        <v>12563563</v>
      </c>
      <c r="L20" s="257">
        <f>12563563</f>
        <v>12563563</v>
      </c>
    </row>
    <row r="21" spans="1:12" s="12" customFormat="1" x14ac:dyDescent="0.25">
      <c r="A21" s="666"/>
      <c r="B21" s="664"/>
      <c r="C21" s="664"/>
      <c r="D21" s="347" t="s">
        <v>37</v>
      </c>
      <c r="E21" s="53" t="s">
        <v>385</v>
      </c>
      <c r="F21" s="46"/>
      <c r="G21" s="257">
        <v>6299213</v>
      </c>
      <c r="H21" s="257">
        <v>0</v>
      </c>
      <c r="I21" s="257"/>
      <c r="J21" s="257">
        <f t="shared" si="3"/>
        <v>-6299213</v>
      </c>
      <c r="K21" s="257">
        <v>0</v>
      </c>
      <c r="L21" s="257"/>
    </row>
    <row r="22" spans="1:12" s="12" customFormat="1" x14ac:dyDescent="0.25">
      <c r="A22" s="666"/>
      <c r="B22" s="664"/>
      <c r="C22" s="664"/>
      <c r="D22" s="347" t="s">
        <v>38</v>
      </c>
      <c r="E22" s="53" t="s">
        <v>386</v>
      </c>
      <c r="F22" s="46"/>
      <c r="G22" s="257">
        <v>15748031</v>
      </c>
      <c r="H22" s="257">
        <v>0</v>
      </c>
      <c r="I22" s="257"/>
      <c r="J22" s="257">
        <f t="shared" si="3"/>
        <v>-15748031</v>
      </c>
      <c r="K22" s="257">
        <v>0</v>
      </c>
      <c r="L22" s="257"/>
    </row>
    <row r="23" spans="1:12" s="12" customFormat="1" x14ac:dyDescent="0.25">
      <c r="A23" s="666"/>
      <c r="B23" s="664"/>
      <c r="C23" s="664"/>
      <c r="D23" s="347" t="s">
        <v>39</v>
      </c>
      <c r="E23" s="53" t="s">
        <v>387</v>
      </c>
      <c r="F23" s="46"/>
      <c r="G23" s="257">
        <v>2095872</v>
      </c>
      <c r="H23" s="257">
        <v>0</v>
      </c>
      <c r="I23" s="257"/>
      <c r="J23" s="257">
        <f t="shared" si="3"/>
        <v>2295441</v>
      </c>
      <c r="K23" s="257">
        <v>4391313</v>
      </c>
      <c r="L23" s="257">
        <f>3074563+1316750</f>
        <v>4391313</v>
      </c>
    </row>
    <row r="24" spans="1:12" s="12" customFormat="1" x14ac:dyDescent="0.25">
      <c r="A24" s="666"/>
      <c r="B24" s="664"/>
      <c r="C24" s="664"/>
      <c r="D24" s="347" t="s">
        <v>40</v>
      </c>
      <c r="E24" s="53" t="s">
        <v>389</v>
      </c>
      <c r="F24" s="46"/>
      <c r="G24" s="257">
        <v>708661</v>
      </c>
      <c r="H24" s="257">
        <v>0</v>
      </c>
      <c r="I24" s="257"/>
      <c r="J24" s="257">
        <f t="shared" si="3"/>
        <v>-708661</v>
      </c>
      <c r="K24" s="257">
        <v>0</v>
      </c>
      <c r="L24" s="257"/>
    </row>
    <row r="25" spans="1:12" s="12" customFormat="1" ht="16.5" customHeight="1" x14ac:dyDescent="0.25">
      <c r="A25" s="666"/>
      <c r="B25" s="664"/>
      <c r="C25" s="664"/>
      <c r="D25" s="347" t="s">
        <v>45</v>
      </c>
      <c r="E25" s="53" t="s">
        <v>388</v>
      </c>
      <c r="F25" s="46"/>
      <c r="G25" s="257">
        <v>3937008</v>
      </c>
      <c r="H25" s="257">
        <v>0</v>
      </c>
      <c r="I25" s="257"/>
      <c r="J25" s="257">
        <f t="shared" si="3"/>
        <v>-3937008</v>
      </c>
      <c r="K25" s="257">
        <v>0</v>
      </c>
      <c r="L25" s="257"/>
    </row>
    <row r="26" spans="1:12" s="12" customFormat="1" ht="16.5" customHeight="1" x14ac:dyDescent="0.25">
      <c r="A26" s="666"/>
      <c r="B26" s="349"/>
      <c r="C26" s="289"/>
      <c r="D26" s="290">
        <v>7</v>
      </c>
      <c r="E26" s="291" t="s">
        <v>428</v>
      </c>
      <c r="F26" s="46"/>
      <c r="G26" s="257"/>
      <c r="H26" s="257">
        <v>0</v>
      </c>
      <c r="I26" s="257"/>
      <c r="J26" s="257">
        <f t="shared" si="3"/>
        <v>1613899</v>
      </c>
      <c r="K26" s="257">
        <v>1613899</v>
      </c>
      <c r="L26" s="257">
        <v>1613899</v>
      </c>
    </row>
    <row r="27" spans="1:12" ht="18.75" customHeight="1" x14ac:dyDescent="0.2">
      <c r="A27" s="666"/>
      <c r="B27" s="663" t="s">
        <v>38</v>
      </c>
      <c r="C27" s="671" t="s">
        <v>396</v>
      </c>
      <c r="D27" s="672"/>
      <c r="E27" s="673"/>
      <c r="F27" s="47" t="s">
        <v>397</v>
      </c>
      <c r="G27" s="256">
        <f>G28+G31+G45+G46</f>
        <v>13738035</v>
      </c>
      <c r="H27" s="256">
        <v>274610</v>
      </c>
      <c r="I27" s="256"/>
      <c r="J27" s="256">
        <f t="shared" si="3"/>
        <v>5420658</v>
      </c>
      <c r="K27" s="256">
        <f>K28+K31+K45</f>
        <v>19433303</v>
      </c>
      <c r="L27" s="256">
        <f>L28+L31+L45+L46</f>
        <v>16314833</v>
      </c>
    </row>
    <row r="28" spans="1:12" s="12" customFormat="1" ht="15" customHeight="1" x14ac:dyDescent="0.2">
      <c r="A28" s="666"/>
      <c r="B28" s="664"/>
      <c r="C28" s="16" t="s">
        <v>36</v>
      </c>
      <c r="D28" s="687" t="s">
        <v>394</v>
      </c>
      <c r="E28" s="688"/>
      <c r="F28" s="46" t="s">
        <v>211</v>
      </c>
      <c r="G28" s="295">
        <f>SUM(G29:G30)</f>
        <v>1291496</v>
      </c>
      <c r="H28" s="295">
        <v>274610</v>
      </c>
      <c r="I28" s="295"/>
      <c r="J28" s="295">
        <f t="shared" si="3"/>
        <v>88328</v>
      </c>
      <c r="K28" s="244">
        <f t="shared" ref="K28:L28" si="5">SUM(K29:K30)</f>
        <v>1654434</v>
      </c>
      <c r="L28" s="244">
        <f t="shared" si="5"/>
        <v>1654464</v>
      </c>
    </row>
    <row r="29" spans="1:12" ht="38.25" x14ac:dyDescent="0.2">
      <c r="A29" s="666"/>
      <c r="B29" s="664"/>
      <c r="C29" s="674"/>
      <c r="D29" s="9" t="s">
        <v>36</v>
      </c>
      <c r="E29" s="13" t="s">
        <v>454</v>
      </c>
      <c r="F29" s="48"/>
      <c r="G29" s="343">
        <f>740316+551180</f>
        <v>1291496</v>
      </c>
      <c r="H29" s="343">
        <v>274610</v>
      </c>
      <c r="I29" s="343"/>
      <c r="J29" s="343">
        <f t="shared" si="3"/>
        <v>47118</v>
      </c>
      <c r="K29" s="257">
        <v>1613224</v>
      </c>
      <c r="L29" s="257">
        <f>1566106+25118+15500+6500</f>
        <v>1613224</v>
      </c>
    </row>
    <row r="30" spans="1:12" ht="12.75" x14ac:dyDescent="0.2">
      <c r="A30" s="666"/>
      <c r="B30" s="664"/>
      <c r="C30" s="675"/>
      <c r="D30" s="9">
        <v>2</v>
      </c>
      <c r="E30" s="13" t="s">
        <v>453</v>
      </c>
      <c r="F30" s="48"/>
      <c r="G30" s="257">
        <v>0</v>
      </c>
      <c r="H30" s="257"/>
      <c r="I30" s="257"/>
      <c r="J30" s="257">
        <f t="shared" si="3"/>
        <v>41210</v>
      </c>
      <c r="K30" s="257">
        <v>41210</v>
      </c>
      <c r="L30" s="257">
        <f>22560+18680</f>
        <v>41240</v>
      </c>
    </row>
    <row r="31" spans="1:12" s="12" customFormat="1" ht="26.25" customHeight="1" x14ac:dyDescent="0.2">
      <c r="A31" s="666"/>
      <c r="B31" s="664"/>
      <c r="C31" s="663" t="s">
        <v>37</v>
      </c>
      <c r="D31" s="661" t="s">
        <v>395</v>
      </c>
      <c r="E31" s="662"/>
      <c r="F31" s="46" t="s">
        <v>81</v>
      </c>
      <c r="G31" s="244">
        <f>SUM(G32:G42)</f>
        <v>12446539</v>
      </c>
      <c r="H31" s="244">
        <f t="shared" ref="H31:J31" si="6">SUM(H32:H42)</f>
        <v>0</v>
      </c>
      <c r="I31" s="244">
        <f t="shared" si="6"/>
        <v>0</v>
      </c>
      <c r="J31" s="244">
        <f t="shared" si="6"/>
        <v>1148510</v>
      </c>
      <c r="K31" s="244">
        <f>SUM(K32:K44)</f>
        <v>14778869</v>
      </c>
      <c r="L31" s="244">
        <f>SUM(L32:L44)</f>
        <v>11660369</v>
      </c>
    </row>
    <row r="32" spans="1:12" s="12" customFormat="1" ht="12.75" x14ac:dyDescent="0.2">
      <c r="A32" s="666"/>
      <c r="B32" s="664"/>
      <c r="C32" s="664"/>
      <c r="D32" s="38" t="s">
        <v>36</v>
      </c>
      <c r="E32" s="5" t="s">
        <v>391</v>
      </c>
      <c r="F32" s="46"/>
      <c r="G32" s="257">
        <v>94488</v>
      </c>
      <c r="H32" s="257">
        <v>0</v>
      </c>
      <c r="I32" s="257"/>
      <c r="J32" s="257">
        <f t="shared" si="3"/>
        <v>-7953</v>
      </c>
      <c r="K32" s="257">
        <v>86535</v>
      </c>
      <c r="L32" s="257">
        <v>86535</v>
      </c>
    </row>
    <row r="33" spans="1:12" s="12" customFormat="1" ht="12.75" x14ac:dyDescent="0.2">
      <c r="A33" s="666"/>
      <c r="B33" s="664"/>
      <c r="C33" s="664"/>
      <c r="D33" s="38" t="s">
        <v>37</v>
      </c>
      <c r="E33" s="54" t="s">
        <v>392</v>
      </c>
      <c r="F33" s="46"/>
      <c r="G33" s="257">
        <f>3151457+2938857+1</f>
        <v>6090315</v>
      </c>
      <c r="H33" s="257">
        <v>0</v>
      </c>
      <c r="I33" s="257"/>
      <c r="J33" s="257">
        <f t="shared" si="3"/>
        <v>-194429</v>
      </c>
      <c r="K33" s="257">
        <v>5895886</v>
      </c>
      <c r="L33" s="257">
        <f>2947943+2947943</f>
        <v>5895886</v>
      </c>
    </row>
    <row r="34" spans="1:12" s="12" customFormat="1" ht="12.75" x14ac:dyDescent="0.2">
      <c r="A34" s="666"/>
      <c r="B34" s="664"/>
      <c r="C34" s="664"/>
      <c r="D34" s="38" t="s">
        <v>38</v>
      </c>
      <c r="E34" s="5" t="s">
        <v>393</v>
      </c>
      <c r="F34" s="46"/>
      <c r="G34" s="257">
        <v>4320000</v>
      </c>
      <c r="H34" s="257">
        <v>0</v>
      </c>
      <c r="I34" s="257"/>
      <c r="J34" s="257">
        <f t="shared" si="3"/>
        <v>135000</v>
      </c>
      <c r="K34" s="257">
        <f>1336500+3118500</f>
        <v>4455000</v>
      </c>
      <c r="L34" s="263">
        <f>1336500</f>
        <v>1336500</v>
      </c>
    </row>
    <row r="35" spans="1:12" s="12" customFormat="1" ht="25.5" x14ac:dyDescent="0.2">
      <c r="A35" s="666"/>
      <c r="B35" s="664"/>
      <c r="C35" s="664"/>
      <c r="D35" s="38" t="s">
        <v>39</v>
      </c>
      <c r="E35" s="13" t="s">
        <v>415</v>
      </c>
      <c r="F35" s="46"/>
      <c r="G35" s="257">
        <f>1303937+7878</f>
        <v>1311815</v>
      </c>
      <c r="H35" s="257">
        <v>0</v>
      </c>
      <c r="I35" s="257"/>
      <c r="J35" s="257">
        <f t="shared" si="3"/>
        <v>-783020</v>
      </c>
      <c r="K35" s="257">
        <v>528795</v>
      </c>
      <c r="L35" s="257">
        <f>24795+504000</f>
        <v>528795</v>
      </c>
    </row>
    <row r="36" spans="1:12" s="12" customFormat="1" ht="25.5" x14ac:dyDescent="0.2">
      <c r="A36" s="666"/>
      <c r="B36" s="664"/>
      <c r="C36" s="664"/>
      <c r="D36" s="282" t="s">
        <v>40</v>
      </c>
      <c r="E36" s="13" t="s">
        <v>456</v>
      </c>
      <c r="F36" s="46"/>
      <c r="G36" s="257">
        <v>629921</v>
      </c>
      <c r="H36" s="257">
        <v>0</v>
      </c>
      <c r="I36" s="257"/>
      <c r="J36" s="257">
        <f t="shared" si="3"/>
        <v>-281236</v>
      </c>
      <c r="K36" s="257">
        <v>348685</v>
      </c>
      <c r="L36" s="257">
        <f>88898+70787+189000</f>
        <v>348685</v>
      </c>
    </row>
    <row r="37" spans="1:12" ht="38.25" x14ac:dyDescent="0.2">
      <c r="A37" s="666"/>
      <c r="B37" s="664"/>
      <c r="C37" s="664"/>
      <c r="D37" s="282" t="s">
        <v>45</v>
      </c>
      <c r="E37" s="54" t="s">
        <v>458</v>
      </c>
      <c r="F37" s="38"/>
      <c r="G37" s="257"/>
      <c r="H37" s="257"/>
      <c r="I37" s="257"/>
      <c r="J37" s="257">
        <f t="shared" si="3"/>
        <v>540760</v>
      </c>
      <c r="K37" s="257">
        <v>540760</v>
      </c>
      <c r="L37" s="257">
        <f>7079+310000+17322+28031+2976+39362+39370+96620</f>
        <v>540760</v>
      </c>
    </row>
    <row r="38" spans="1:12" ht="12.75" x14ac:dyDescent="0.2">
      <c r="A38" s="666"/>
      <c r="B38" s="664"/>
      <c r="C38" s="308"/>
      <c r="D38" s="307" t="s">
        <v>47</v>
      </c>
      <c r="E38" s="344" t="s">
        <v>440</v>
      </c>
      <c r="F38" s="345"/>
      <c r="G38" s="257"/>
      <c r="H38" s="257"/>
      <c r="I38" s="257"/>
      <c r="J38" s="257">
        <f t="shared" si="3"/>
        <v>0</v>
      </c>
      <c r="K38" s="257">
        <v>0</v>
      </c>
      <c r="L38" s="257"/>
    </row>
    <row r="39" spans="1:12" ht="12.75" x14ac:dyDescent="0.2">
      <c r="A39" s="666"/>
      <c r="B39" s="664"/>
      <c r="C39" s="308"/>
      <c r="D39" s="307">
        <v>8</v>
      </c>
      <c r="E39" s="344" t="s">
        <v>441</v>
      </c>
      <c r="F39" s="345"/>
      <c r="G39" s="257"/>
      <c r="H39" s="257"/>
      <c r="I39" s="257"/>
      <c r="J39" s="257">
        <f t="shared" si="3"/>
        <v>0</v>
      </c>
      <c r="K39" s="257">
        <v>0</v>
      </c>
      <c r="L39" s="257"/>
    </row>
    <row r="40" spans="1:12" ht="12.75" x14ac:dyDescent="0.2">
      <c r="A40" s="666"/>
      <c r="B40" s="664"/>
      <c r="C40" s="308"/>
      <c r="D40" s="307" t="s">
        <v>49</v>
      </c>
      <c r="E40" s="344" t="s">
        <v>442</v>
      </c>
      <c r="F40" s="345"/>
      <c r="G40" s="257"/>
      <c r="H40" s="257"/>
      <c r="I40" s="257"/>
      <c r="J40" s="257">
        <f t="shared" si="3"/>
        <v>1508500</v>
      </c>
      <c r="K40" s="257">
        <v>1508500</v>
      </c>
      <c r="L40" s="257">
        <f>1110000+398500</f>
        <v>1508500</v>
      </c>
    </row>
    <row r="41" spans="1:12" ht="12.75" x14ac:dyDescent="0.2">
      <c r="A41" s="666"/>
      <c r="B41" s="664"/>
      <c r="C41" s="308"/>
      <c r="D41" s="307" t="s">
        <v>50</v>
      </c>
      <c r="E41" s="344" t="s">
        <v>443</v>
      </c>
      <c r="F41" s="345"/>
      <c r="G41" s="257"/>
      <c r="H41" s="257"/>
      <c r="I41" s="257"/>
      <c r="J41" s="257">
        <f t="shared" si="3"/>
        <v>112980</v>
      </c>
      <c r="K41" s="257">
        <v>112980</v>
      </c>
      <c r="L41" s="257">
        <f>75200+37780</f>
        <v>112980</v>
      </c>
    </row>
    <row r="42" spans="1:12" ht="12.75" x14ac:dyDescent="0.2">
      <c r="A42" s="666"/>
      <c r="B42" s="664"/>
      <c r="C42" s="308"/>
      <c r="D42" s="307" t="s">
        <v>23</v>
      </c>
      <c r="E42" s="344" t="s">
        <v>444</v>
      </c>
      <c r="F42" s="345"/>
      <c r="G42" s="257"/>
      <c r="H42" s="257"/>
      <c r="I42" s="257"/>
      <c r="J42" s="257">
        <f t="shared" si="3"/>
        <v>117908</v>
      </c>
      <c r="K42" s="257">
        <v>117908</v>
      </c>
      <c r="L42" s="257">
        <f>18533+99375</f>
        <v>117908</v>
      </c>
    </row>
    <row r="43" spans="1:12" ht="12.75" x14ac:dyDescent="0.2">
      <c r="A43" s="666"/>
      <c r="B43" s="664"/>
      <c r="C43" s="349"/>
      <c r="D43" s="347" t="s">
        <v>24</v>
      </c>
      <c r="E43" s="344" t="s">
        <v>455</v>
      </c>
      <c r="F43" s="345"/>
      <c r="G43" s="257"/>
      <c r="H43" s="257"/>
      <c r="I43" s="257"/>
      <c r="J43" s="257">
        <f t="shared" si="3"/>
        <v>823050</v>
      </c>
      <c r="K43" s="257">
        <v>823050</v>
      </c>
      <c r="L43" s="257">
        <f>823050</f>
        <v>823050</v>
      </c>
    </row>
    <row r="44" spans="1:12" ht="12.75" x14ac:dyDescent="0.2">
      <c r="A44" s="666"/>
      <c r="B44" s="664"/>
      <c r="C44" s="349"/>
      <c r="D44" s="347" t="s">
        <v>28</v>
      </c>
      <c r="E44" s="344" t="s">
        <v>457</v>
      </c>
      <c r="F44" s="345"/>
      <c r="G44" s="257"/>
      <c r="H44" s="257"/>
      <c r="I44" s="257"/>
      <c r="J44" s="257">
        <f t="shared" si="3"/>
        <v>360770</v>
      </c>
      <c r="K44" s="257">
        <v>360770</v>
      </c>
      <c r="L44" s="257">
        <f>98000+262770</f>
        <v>360770</v>
      </c>
    </row>
    <row r="45" spans="1:12" s="12" customFormat="1" ht="15" customHeight="1" x14ac:dyDescent="0.2">
      <c r="A45" s="666"/>
      <c r="B45" s="664"/>
      <c r="C45" s="16" t="s">
        <v>38</v>
      </c>
      <c r="D45" s="661" t="s">
        <v>459</v>
      </c>
      <c r="E45" s="662"/>
      <c r="F45" s="46" t="s">
        <v>460</v>
      </c>
      <c r="G45" s="244">
        <v>0</v>
      </c>
      <c r="H45" s="244"/>
      <c r="I45" s="244"/>
      <c r="J45" s="244">
        <f t="shared" si="3"/>
        <v>3000000</v>
      </c>
      <c r="K45" s="244">
        <v>3000000</v>
      </c>
      <c r="L45" s="244">
        <v>3000000</v>
      </c>
    </row>
    <row r="46" spans="1:12" s="12" customFormat="1" ht="15" customHeight="1" x14ac:dyDescent="0.2">
      <c r="A46" s="667"/>
      <c r="B46" s="686"/>
      <c r="C46" s="16"/>
      <c r="D46" s="661"/>
      <c r="E46" s="662"/>
      <c r="F46" s="46"/>
      <c r="G46" s="244"/>
      <c r="H46" s="244"/>
      <c r="I46" s="244"/>
      <c r="J46" s="244">
        <f t="shared" si="3"/>
        <v>0</v>
      </c>
      <c r="K46" s="341"/>
      <c r="L46" s="341"/>
    </row>
    <row r="47" spans="1:12" ht="15" customHeight="1" x14ac:dyDescent="0.2">
      <c r="A47" s="679"/>
      <c r="B47" s="18" t="s">
        <v>39</v>
      </c>
      <c r="C47" s="681" t="s">
        <v>398</v>
      </c>
      <c r="D47" s="682"/>
      <c r="E47" s="683"/>
      <c r="F47" s="47" t="s">
        <v>401</v>
      </c>
      <c r="G47" s="256">
        <v>171059382</v>
      </c>
      <c r="H47" s="256">
        <v>0</v>
      </c>
      <c r="I47" s="256">
        <v>3401572</v>
      </c>
      <c r="J47" s="256">
        <f t="shared" si="3"/>
        <v>-163160867</v>
      </c>
      <c r="K47" s="256">
        <v>11300087</v>
      </c>
      <c r="L47" s="256">
        <f>435753+417721+795945+1911+23365+6695+830132+5065364+6782+299700+107595+20304+10201+5004+26831+2404789</f>
        <v>10458092</v>
      </c>
    </row>
    <row r="48" spans="1:12" ht="18" customHeight="1" thickBot="1" x14ac:dyDescent="0.25">
      <c r="A48" s="680"/>
      <c r="B48" s="684" t="s">
        <v>27</v>
      </c>
      <c r="C48" s="685"/>
      <c r="D48" s="685"/>
      <c r="E48" s="651"/>
      <c r="F48" s="49"/>
      <c r="G48" s="258">
        <f>G7+G10+G27+G47+G45</f>
        <v>804612646</v>
      </c>
      <c r="H48" s="258">
        <f t="shared" ref="H48:I48" si="7">H7+H10+H27+H47+H45</f>
        <v>274610</v>
      </c>
      <c r="I48" s="258">
        <f t="shared" si="7"/>
        <v>3401572</v>
      </c>
      <c r="J48" s="258">
        <f>J7+J10+J27+J47</f>
        <v>-738946054</v>
      </c>
      <c r="K48" s="258">
        <f>K7+K10+K27+K47</f>
        <v>69342774</v>
      </c>
      <c r="L48" s="258">
        <f>L7+L10+L27+L47</f>
        <v>65382309</v>
      </c>
    </row>
    <row r="49" spans="1:12" ht="31.5" customHeight="1" x14ac:dyDescent="0.2">
      <c r="A49" s="665" t="s">
        <v>37</v>
      </c>
      <c r="B49" s="676" t="s">
        <v>2</v>
      </c>
      <c r="C49" s="677"/>
      <c r="D49" s="677"/>
      <c r="E49" s="677"/>
      <c r="F49" s="677"/>
      <c r="G49" s="677"/>
      <c r="H49" s="10"/>
      <c r="I49" s="10"/>
      <c r="J49" s="10">
        <f t="shared" si="3"/>
        <v>0</v>
      </c>
      <c r="K49" s="342"/>
      <c r="L49" s="342"/>
    </row>
    <row r="50" spans="1:12" ht="15" customHeight="1" x14ac:dyDescent="0.2">
      <c r="A50" s="666"/>
      <c r="B50" s="663" t="s">
        <v>36</v>
      </c>
      <c r="C50" s="678" t="s">
        <v>3</v>
      </c>
      <c r="D50" s="678"/>
      <c r="E50" s="678"/>
      <c r="F50" s="39" t="s">
        <v>82</v>
      </c>
      <c r="G50" s="453">
        <f>G51+G54</f>
        <v>96876854</v>
      </c>
      <c r="H50" s="453">
        <v>0</v>
      </c>
      <c r="I50" s="453">
        <v>-5354950</v>
      </c>
      <c r="J50" s="453">
        <f t="shared" si="3"/>
        <v>-80452776</v>
      </c>
      <c r="K50" s="453">
        <f t="shared" ref="K50:L50" si="8">K51+K54</f>
        <v>11069128</v>
      </c>
      <c r="L50" s="453">
        <f t="shared" si="8"/>
        <v>11069128</v>
      </c>
    </row>
    <row r="51" spans="1:12" s="12" customFormat="1" ht="15" customHeight="1" x14ac:dyDescent="0.2">
      <c r="A51" s="666"/>
      <c r="B51" s="664"/>
      <c r="C51" s="37" t="s">
        <v>36</v>
      </c>
      <c r="D51" s="661" t="s">
        <v>4</v>
      </c>
      <c r="E51" s="662"/>
      <c r="F51" s="16" t="s">
        <v>83</v>
      </c>
      <c r="G51" s="454">
        <f>SUM(G52:G53)</f>
        <v>4907730</v>
      </c>
      <c r="H51" s="454">
        <v>0</v>
      </c>
      <c r="I51" s="454"/>
      <c r="J51" s="454">
        <f t="shared" si="3"/>
        <v>-142245</v>
      </c>
      <c r="K51" s="454">
        <f t="shared" ref="K51:L51" si="9">SUM(K52:K53)</f>
        <v>4765485</v>
      </c>
      <c r="L51" s="454">
        <f t="shared" si="9"/>
        <v>4765485</v>
      </c>
    </row>
    <row r="52" spans="1:12" ht="14.25" customHeight="1" x14ac:dyDescent="0.2">
      <c r="A52" s="666"/>
      <c r="B52" s="664"/>
      <c r="C52" s="56"/>
      <c r="D52" s="38" t="s">
        <v>36</v>
      </c>
      <c r="E52" s="2" t="s">
        <v>407</v>
      </c>
      <c r="F52" s="9"/>
      <c r="G52" s="260">
        <v>4907730</v>
      </c>
      <c r="H52" s="260">
        <v>0</v>
      </c>
      <c r="I52" s="260">
        <v>0</v>
      </c>
      <c r="J52" s="260">
        <f t="shared" si="3"/>
        <v>-1236005</v>
      </c>
      <c r="K52" s="260">
        <v>3671725</v>
      </c>
      <c r="L52" s="260">
        <f>3671725</f>
        <v>3671725</v>
      </c>
    </row>
    <row r="53" spans="1:12" s="25" customFormat="1" ht="12.75" x14ac:dyDescent="0.2">
      <c r="A53" s="666"/>
      <c r="B53" s="664"/>
      <c r="C53" s="15"/>
      <c r="D53" s="38"/>
      <c r="E53" s="8" t="s">
        <v>461</v>
      </c>
      <c r="F53" s="9"/>
      <c r="G53" s="260"/>
      <c r="H53" s="260"/>
      <c r="I53" s="260"/>
      <c r="J53" s="260">
        <f t="shared" si="3"/>
        <v>1093760</v>
      </c>
      <c r="K53" s="260">
        <v>1093760</v>
      </c>
      <c r="L53" s="260">
        <v>1093760</v>
      </c>
    </row>
    <row r="54" spans="1:12" s="12" customFormat="1" ht="15" customHeight="1" x14ac:dyDescent="0.2">
      <c r="A54" s="666"/>
      <c r="B54" s="664"/>
      <c r="C54" s="663" t="s">
        <v>37</v>
      </c>
      <c r="D54" s="661" t="s">
        <v>5</v>
      </c>
      <c r="E54" s="662"/>
      <c r="F54" s="16" t="s">
        <v>82</v>
      </c>
      <c r="G54" s="454">
        <f>SUM(G55:G56)</f>
        <v>91969124</v>
      </c>
      <c r="H54" s="454">
        <v>0</v>
      </c>
      <c r="I54" s="454">
        <v>-5354950</v>
      </c>
      <c r="J54" s="454">
        <f t="shared" si="3"/>
        <v>-80310531</v>
      </c>
      <c r="K54" s="454">
        <f>SUM(K55+K56)</f>
        <v>6303643</v>
      </c>
      <c r="L54" s="454">
        <f t="shared" ref="L54" si="10">SUM(L55:L56)</f>
        <v>6303643</v>
      </c>
    </row>
    <row r="55" spans="1:12" s="12" customFormat="1" ht="15" customHeight="1" x14ac:dyDescent="0.2">
      <c r="A55" s="666"/>
      <c r="B55" s="664"/>
      <c r="C55" s="664"/>
      <c r="D55" s="38" t="s">
        <v>36</v>
      </c>
      <c r="E55" s="36" t="s">
        <v>408</v>
      </c>
      <c r="F55" s="46"/>
      <c r="G55" s="261">
        <f>15748031+70866142+1</f>
        <v>86614174</v>
      </c>
      <c r="H55" s="260">
        <v>0</v>
      </c>
      <c r="I55" s="260">
        <v>0</v>
      </c>
      <c r="J55" s="261">
        <f t="shared" si="3"/>
        <v>-86614174</v>
      </c>
      <c r="K55" s="261">
        <v>0</v>
      </c>
      <c r="L55" s="261"/>
    </row>
    <row r="56" spans="1:12" s="12" customFormat="1" ht="15" customHeight="1" x14ac:dyDescent="0.2">
      <c r="A56" s="666"/>
      <c r="B56" s="664"/>
      <c r="C56" s="664"/>
      <c r="D56" s="38" t="s">
        <v>37</v>
      </c>
      <c r="E56" s="36" t="s">
        <v>445</v>
      </c>
      <c r="F56" s="46"/>
      <c r="G56" s="261">
        <v>5354950</v>
      </c>
      <c r="H56" s="260">
        <v>0</v>
      </c>
      <c r="I56" s="260">
        <v>-5354950</v>
      </c>
      <c r="J56" s="261">
        <f t="shared" si="3"/>
        <v>6303643</v>
      </c>
      <c r="K56" s="261">
        <v>6303643</v>
      </c>
      <c r="L56" s="261">
        <f>6303643</f>
        <v>6303643</v>
      </c>
    </row>
    <row r="57" spans="1:12" ht="15" customHeight="1" x14ac:dyDescent="0.2">
      <c r="A57" s="679"/>
      <c r="B57" s="691" t="s">
        <v>37</v>
      </c>
      <c r="C57" s="678" t="s">
        <v>402</v>
      </c>
      <c r="D57" s="678"/>
      <c r="E57" s="678"/>
      <c r="F57" s="39" t="s">
        <v>403</v>
      </c>
      <c r="G57" s="453">
        <f>SUM(G58:G58)</f>
        <v>0</v>
      </c>
      <c r="H57" s="453">
        <v>0</v>
      </c>
      <c r="I57" s="453">
        <v>0</v>
      </c>
      <c r="J57" s="453">
        <f t="shared" si="3"/>
        <v>0</v>
      </c>
      <c r="K57" s="453">
        <f t="shared" ref="K57:L57" si="11">SUM(K58:K58)</f>
        <v>0</v>
      </c>
      <c r="L57" s="453">
        <f t="shared" si="11"/>
        <v>0</v>
      </c>
    </row>
    <row r="58" spans="1:12" ht="15" customHeight="1" x14ac:dyDescent="0.2">
      <c r="A58" s="666"/>
      <c r="B58" s="691"/>
      <c r="C58" s="9" t="s">
        <v>36</v>
      </c>
      <c r="D58" s="692"/>
      <c r="E58" s="693"/>
      <c r="F58" s="9"/>
      <c r="G58" s="260"/>
      <c r="H58" s="260"/>
      <c r="I58" s="260"/>
      <c r="J58" s="260">
        <f t="shared" si="3"/>
        <v>0</v>
      </c>
      <c r="K58" s="260"/>
      <c r="L58" s="260"/>
    </row>
    <row r="59" spans="1:12" s="12" customFormat="1" ht="15" customHeight="1" x14ac:dyDescent="0.2">
      <c r="A59" s="666"/>
      <c r="B59" s="15" t="s">
        <v>38</v>
      </c>
      <c r="C59" s="671" t="s">
        <v>404</v>
      </c>
      <c r="D59" s="672"/>
      <c r="E59" s="673"/>
      <c r="F59" s="39"/>
      <c r="G59" s="453">
        <v>0</v>
      </c>
      <c r="H59" s="453"/>
      <c r="I59" s="453"/>
      <c r="J59" s="453">
        <f t="shared" si="3"/>
        <v>0</v>
      </c>
      <c r="K59" s="453"/>
      <c r="L59" s="453"/>
    </row>
    <row r="60" spans="1:12" s="12" customFormat="1" ht="15" customHeight="1" x14ac:dyDescent="0.2">
      <c r="A60" s="666"/>
      <c r="B60" s="243" t="s">
        <v>39</v>
      </c>
      <c r="C60" s="671" t="s">
        <v>405</v>
      </c>
      <c r="D60" s="695"/>
      <c r="E60" s="696"/>
      <c r="F60" s="259" t="s">
        <v>406</v>
      </c>
      <c r="G60" s="452">
        <v>26156750</v>
      </c>
      <c r="H60" s="452"/>
      <c r="I60" s="452">
        <v>-1445837</v>
      </c>
      <c r="J60" s="452">
        <f t="shared" si="3"/>
        <v>-23424232</v>
      </c>
      <c r="K60" s="452">
        <v>1286681</v>
      </c>
      <c r="L60" s="452">
        <f>991366+295315</f>
        <v>1286681</v>
      </c>
    </row>
    <row r="61" spans="1:12" ht="18" customHeight="1" thickBot="1" x14ac:dyDescent="0.25">
      <c r="A61" s="680"/>
      <c r="B61" s="694" t="s">
        <v>31</v>
      </c>
      <c r="C61" s="694"/>
      <c r="D61" s="694"/>
      <c r="E61" s="694"/>
      <c r="F61" s="50"/>
      <c r="G61" s="455">
        <f>G50+G57+G59+G60</f>
        <v>123033604</v>
      </c>
      <c r="H61" s="455">
        <v>0</v>
      </c>
      <c r="I61" s="455">
        <v>-6800787</v>
      </c>
      <c r="J61" s="455">
        <f t="shared" si="3"/>
        <v>-103877008</v>
      </c>
      <c r="K61" s="455">
        <f t="shared" ref="K61:L61" si="12">K50+K57+K59+K60</f>
        <v>12355809</v>
      </c>
      <c r="L61" s="455">
        <f t="shared" si="12"/>
        <v>12355809</v>
      </c>
    </row>
    <row r="62" spans="1:12" ht="26.25" customHeight="1" x14ac:dyDescent="0.2">
      <c r="A62" s="215" t="s">
        <v>38</v>
      </c>
      <c r="B62" s="219" t="s">
        <v>365</v>
      </c>
      <c r="C62" s="220"/>
      <c r="D62" s="220"/>
      <c r="E62" s="220"/>
      <c r="F62" s="220"/>
      <c r="G62" s="232"/>
      <c r="H62" s="232"/>
      <c r="I62" s="232"/>
      <c r="J62" s="456">
        <f t="shared" si="3"/>
        <v>0</v>
      </c>
      <c r="K62" s="456"/>
      <c r="L62" s="456"/>
    </row>
    <row r="63" spans="1:12" ht="15" customHeight="1" x14ac:dyDescent="0.2">
      <c r="A63" s="215"/>
      <c r="B63" s="221" t="s">
        <v>36</v>
      </c>
      <c r="C63" s="671" t="s">
        <v>41</v>
      </c>
      <c r="D63" s="672"/>
      <c r="E63" s="673"/>
      <c r="F63" s="45" t="s">
        <v>75</v>
      </c>
      <c r="G63" s="255">
        <f>SUM(G64:G64)</f>
        <v>2000000</v>
      </c>
      <c r="H63" s="255">
        <v>0</v>
      </c>
      <c r="I63" s="255"/>
      <c r="J63" s="255">
        <f t="shared" si="3"/>
        <v>-2000000</v>
      </c>
      <c r="K63" s="255">
        <f t="shared" ref="K63:L63" si="13">SUM(K64:K64)</f>
        <v>0</v>
      </c>
      <c r="L63" s="255">
        <f t="shared" si="13"/>
        <v>0</v>
      </c>
    </row>
    <row r="64" spans="1:12" s="12" customFormat="1" ht="15" customHeight="1" x14ac:dyDescent="0.2">
      <c r="A64" s="215"/>
      <c r="B64" s="222"/>
      <c r="C64" s="34" t="s">
        <v>36</v>
      </c>
      <c r="D64" s="661" t="s">
        <v>52</v>
      </c>
      <c r="E64" s="662"/>
      <c r="F64" s="46"/>
      <c r="G64" s="295">
        <v>2000000</v>
      </c>
      <c r="H64" s="260">
        <v>0</v>
      </c>
      <c r="I64" s="261"/>
      <c r="J64" s="261">
        <f t="shared" si="3"/>
        <v>-2000000</v>
      </c>
      <c r="K64" s="244">
        <v>0</v>
      </c>
      <c r="L64" s="244">
        <v>0</v>
      </c>
    </row>
    <row r="65" spans="1:12" ht="18" customHeight="1" thickBot="1" x14ac:dyDescent="0.25">
      <c r="A65" s="215"/>
      <c r="B65" s="690" t="s">
        <v>22</v>
      </c>
      <c r="C65" s="690"/>
      <c r="D65" s="690"/>
      <c r="E65" s="690"/>
      <c r="F65" s="40"/>
      <c r="G65" s="262">
        <f>G63</f>
        <v>2000000</v>
      </c>
      <c r="H65" s="262">
        <v>0</v>
      </c>
      <c r="I65" s="262"/>
      <c r="J65" s="262">
        <f t="shared" si="3"/>
        <v>-2000000</v>
      </c>
      <c r="K65" s="262">
        <f t="shared" ref="K65:L65" si="14">K63</f>
        <v>0</v>
      </c>
      <c r="L65" s="262">
        <f t="shared" si="14"/>
        <v>0</v>
      </c>
    </row>
    <row r="66" spans="1:12" s="226" customFormat="1" ht="15" customHeight="1" thickBot="1" x14ac:dyDescent="0.3">
      <c r="A66" s="223"/>
      <c r="B66" s="224"/>
      <c r="C66" s="227"/>
      <c r="D66" s="228"/>
      <c r="E66" s="229"/>
      <c r="F66" s="225"/>
      <c r="G66" s="263"/>
      <c r="H66" s="263"/>
      <c r="I66" s="263"/>
      <c r="J66" s="263">
        <f t="shared" si="3"/>
        <v>0</v>
      </c>
      <c r="K66" s="263"/>
      <c r="L66" s="263"/>
    </row>
    <row r="67" spans="1:12" ht="21" customHeight="1" thickBot="1" x14ac:dyDescent="0.25">
      <c r="A67" s="55"/>
      <c r="B67" s="689" t="s">
        <v>364</v>
      </c>
      <c r="C67" s="689"/>
      <c r="D67" s="689"/>
      <c r="E67" s="689"/>
      <c r="F67" s="43"/>
      <c r="G67" s="264">
        <f>G48+G61+G65</f>
        <v>929646250</v>
      </c>
      <c r="H67" s="264">
        <v>274610</v>
      </c>
      <c r="I67" s="264">
        <v>-3399215</v>
      </c>
      <c r="J67" s="264">
        <f t="shared" si="3"/>
        <v>-844823062</v>
      </c>
      <c r="K67" s="264">
        <f t="shared" ref="K67:L67" si="15">K48+K61+K65</f>
        <v>81698583</v>
      </c>
      <c r="L67" s="264">
        <f t="shared" si="15"/>
        <v>77738118</v>
      </c>
    </row>
    <row r="72" spans="1:12" ht="21" customHeight="1" x14ac:dyDescent="0.2">
      <c r="A72" s="3"/>
    </row>
    <row r="73" spans="1:12" ht="15" customHeight="1" x14ac:dyDescent="0.2">
      <c r="A73" s="3"/>
    </row>
  </sheetData>
  <mergeCells count="47">
    <mergeCell ref="A1:L1"/>
    <mergeCell ref="A2:K2"/>
    <mergeCell ref="A57:A61"/>
    <mergeCell ref="B57:B58"/>
    <mergeCell ref="C57:E57"/>
    <mergeCell ref="D58:E58"/>
    <mergeCell ref="C59:E59"/>
    <mergeCell ref="B61:E61"/>
    <mergeCell ref="C60:E60"/>
    <mergeCell ref="D28:E28"/>
    <mergeCell ref="C31:C37"/>
    <mergeCell ref="D45:E45"/>
    <mergeCell ref="D46:E46"/>
    <mergeCell ref="B67:E67"/>
    <mergeCell ref="C63:E63"/>
    <mergeCell ref="D64:E64"/>
    <mergeCell ref="B65:E65"/>
    <mergeCell ref="C15:C16"/>
    <mergeCell ref="D15:E15"/>
    <mergeCell ref="C13:C14"/>
    <mergeCell ref="C29:C30"/>
    <mergeCell ref="A49:A56"/>
    <mergeCell ref="B49:G49"/>
    <mergeCell ref="B50:B56"/>
    <mergeCell ref="C50:E50"/>
    <mergeCell ref="D51:E51"/>
    <mergeCell ref="C54:C56"/>
    <mergeCell ref="D54:E54"/>
    <mergeCell ref="A47:A48"/>
    <mergeCell ref="C47:E47"/>
    <mergeCell ref="B48:E48"/>
    <mergeCell ref="B27:B46"/>
    <mergeCell ref="C27:E27"/>
    <mergeCell ref="A5:E5"/>
    <mergeCell ref="D13:E13"/>
    <mergeCell ref="C19:C25"/>
    <mergeCell ref="D19:E19"/>
    <mergeCell ref="A6:A46"/>
    <mergeCell ref="B6:G6"/>
    <mergeCell ref="B7:B9"/>
    <mergeCell ref="C7:E7"/>
    <mergeCell ref="D8:E8"/>
    <mergeCell ref="C10:E10"/>
    <mergeCell ref="D11:E11"/>
    <mergeCell ref="D31:E31"/>
    <mergeCell ref="D9:E9"/>
    <mergeCell ref="B10:B25"/>
  </mergeCells>
  <phoneticPr fontId="7" type="noConversion"/>
  <pageMargins left="0.70866141732283461" right="0.70866141732283461" top="0.74803149606299213" bottom="0.74803149606299213" header="0.31496062992125984" footer="0.31496062992125984"/>
  <pageSetup paperSize="9" scale="66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FF51-AA41-4F43-AE05-57A1FA665546}">
  <sheetPr>
    <pageSetUpPr fitToPage="1"/>
  </sheetPr>
  <dimension ref="A1:J20"/>
  <sheetViews>
    <sheetView workbookViewId="0">
      <selection activeCell="P20" sqref="P20"/>
    </sheetView>
  </sheetViews>
  <sheetFormatPr defaultRowHeight="12.75" x14ac:dyDescent="0.2"/>
  <cols>
    <col min="1" max="1" width="5.85546875" style="233" customWidth="1"/>
    <col min="2" max="2" width="30.85546875" style="234" customWidth="1"/>
    <col min="3" max="3" width="14.5703125" style="234" customWidth="1"/>
    <col min="4" max="9" width="11" style="234" customWidth="1"/>
    <col min="10" max="10" width="11.85546875" style="234" customWidth="1"/>
    <col min="11" max="11" width="9.140625" style="234"/>
    <col min="12" max="13" width="11.140625" style="234" bestFit="1" customWidth="1"/>
    <col min="14" max="256" width="9.140625" style="234"/>
    <col min="257" max="257" width="5.85546875" style="234" customWidth="1"/>
    <col min="258" max="258" width="30.85546875" style="234" customWidth="1"/>
    <col min="259" max="259" width="14.5703125" style="234" customWidth="1"/>
    <col min="260" max="265" width="11" style="234" customWidth="1"/>
    <col min="266" max="266" width="11.85546875" style="234" customWidth="1"/>
    <col min="267" max="512" width="9.140625" style="234"/>
    <col min="513" max="513" width="5.85546875" style="234" customWidth="1"/>
    <col min="514" max="514" width="30.85546875" style="234" customWidth="1"/>
    <col min="515" max="515" width="14.5703125" style="234" customWidth="1"/>
    <col min="516" max="521" width="11" style="234" customWidth="1"/>
    <col min="522" max="522" width="11.85546875" style="234" customWidth="1"/>
    <col min="523" max="768" width="9.140625" style="234"/>
    <col min="769" max="769" width="5.85546875" style="234" customWidth="1"/>
    <col min="770" max="770" width="30.85546875" style="234" customWidth="1"/>
    <col min="771" max="771" width="14.5703125" style="234" customWidth="1"/>
    <col min="772" max="777" width="11" style="234" customWidth="1"/>
    <col min="778" max="778" width="11.85546875" style="234" customWidth="1"/>
    <col min="779" max="1024" width="9.140625" style="234"/>
    <col min="1025" max="1025" width="5.85546875" style="234" customWidth="1"/>
    <col min="1026" max="1026" width="30.85546875" style="234" customWidth="1"/>
    <col min="1027" max="1027" width="14.5703125" style="234" customWidth="1"/>
    <col min="1028" max="1033" width="11" style="234" customWidth="1"/>
    <col min="1034" max="1034" width="11.85546875" style="234" customWidth="1"/>
    <col min="1035" max="1280" width="9.140625" style="234"/>
    <col min="1281" max="1281" width="5.85546875" style="234" customWidth="1"/>
    <col min="1282" max="1282" width="30.85546875" style="234" customWidth="1"/>
    <col min="1283" max="1283" width="14.5703125" style="234" customWidth="1"/>
    <col min="1284" max="1289" width="11" style="234" customWidth="1"/>
    <col min="1290" max="1290" width="11.85546875" style="234" customWidth="1"/>
    <col min="1291" max="1536" width="9.140625" style="234"/>
    <col min="1537" max="1537" width="5.85546875" style="234" customWidth="1"/>
    <col min="1538" max="1538" width="30.85546875" style="234" customWidth="1"/>
    <col min="1539" max="1539" width="14.5703125" style="234" customWidth="1"/>
    <col min="1540" max="1545" width="11" style="234" customWidth="1"/>
    <col min="1546" max="1546" width="11.85546875" style="234" customWidth="1"/>
    <col min="1547" max="1792" width="9.140625" style="234"/>
    <col min="1793" max="1793" width="5.85546875" style="234" customWidth="1"/>
    <col min="1794" max="1794" width="30.85546875" style="234" customWidth="1"/>
    <col min="1795" max="1795" width="14.5703125" style="234" customWidth="1"/>
    <col min="1796" max="1801" width="11" style="234" customWidth="1"/>
    <col min="1802" max="1802" width="11.85546875" style="234" customWidth="1"/>
    <col min="1803" max="2048" width="9.140625" style="234"/>
    <col min="2049" max="2049" width="5.85546875" style="234" customWidth="1"/>
    <col min="2050" max="2050" width="30.85546875" style="234" customWidth="1"/>
    <col min="2051" max="2051" width="14.5703125" style="234" customWidth="1"/>
    <col min="2052" max="2057" width="11" style="234" customWidth="1"/>
    <col min="2058" max="2058" width="11.85546875" style="234" customWidth="1"/>
    <col min="2059" max="2304" width="9.140625" style="234"/>
    <col min="2305" max="2305" width="5.85546875" style="234" customWidth="1"/>
    <col min="2306" max="2306" width="30.85546875" style="234" customWidth="1"/>
    <col min="2307" max="2307" width="14.5703125" style="234" customWidth="1"/>
    <col min="2308" max="2313" width="11" style="234" customWidth="1"/>
    <col min="2314" max="2314" width="11.85546875" style="234" customWidth="1"/>
    <col min="2315" max="2560" width="9.140625" style="234"/>
    <col min="2561" max="2561" width="5.85546875" style="234" customWidth="1"/>
    <col min="2562" max="2562" width="30.85546875" style="234" customWidth="1"/>
    <col min="2563" max="2563" width="14.5703125" style="234" customWidth="1"/>
    <col min="2564" max="2569" width="11" style="234" customWidth="1"/>
    <col min="2570" max="2570" width="11.85546875" style="234" customWidth="1"/>
    <col min="2571" max="2816" width="9.140625" style="234"/>
    <col min="2817" max="2817" width="5.85546875" style="234" customWidth="1"/>
    <col min="2818" max="2818" width="30.85546875" style="234" customWidth="1"/>
    <col min="2819" max="2819" width="14.5703125" style="234" customWidth="1"/>
    <col min="2820" max="2825" width="11" style="234" customWidth="1"/>
    <col min="2826" max="2826" width="11.85546875" style="234" customWidth="1"/>
    <col min="2827" max="3072" width="9.140625" style="234"/>
    <col min="3073" max="3073" width="5.85546875" style="234" customWidth="1"/>
    <col min="3074" max="3074" width="30.85546875" style="234" customWidth="1"/>
    <col min="3075" max="3075" width="14.5703125" style="234" customWidth="1"/>
    <col min="3076" max="3081" width="11" style="234" customWidth="1"/>
    <col min="3082" max="3082" width="11.85546875" style="234" customWidth="1"/>
    <col min="3083" max="3328" width="9.140625" style="234"/>
    <col min="3329" max="3329" width="5.85546875" style="234" customWidth="1"/>
    <col min="3330" max="3330" width="30.85546875" style="234" customWidth="1"/>
    <col min="3331" max="3331" width="14.5703125" style="234" customWidth="1"/>
    <col min="3332" max="3337" width="11" style="234" customWidth="1"/>
    <col min="3338" max="3338" width="11.85546875" style="234" customWidth="1"/>
    <col min="3339" max="3584" width="9.140625" style="234"/>
    <col min="3585" max="3585" width="5.85546875" style="234" customWidth="1"/>
    <col min="3586" max="3586" width="30.85546875" style="234" customWidth="1"/>
    <col min="3587" max="3587" width="14.5703125" style="234" customWidth="1"/>
    <col min="3588" max="3593" width="11" style="234" customWidth="1"/>
    <col min="3594" max="3594" width="11.85546875" style="234" customWidth="1"/>
    <col min="3595" max="3840" width="9.140625" style="234"/>
    <col min="3841" max="3841" width="5.85546875" style="234" customWidth="1"/>
    <col min="3842" max="3842" width="30.85546875" style="234" customWidth="1"/>
    <col min="3843" max="3843" width="14.5703125" style="234" customWidth="1"/>
    <col min="3844" max="3849" width="11" style="234" customWidth="1"/>
    <col min="3850" max="3850" width="11.85546875" style="234" customWidth="1"/>
    <col min="3851" max="4096" width="9.140625" style="234"/>
    <col min="4097" max="4097" width="5.85546875" style="234" customWidth="1"/>
    <col min="4098" max="4098" width="30.85546875" style="234" customWidth="1"/>
    <col min="4099" max="4099" width="14.5703125" style="234" customWidth="1"/>
    <col min="4100" max="4105" width="11" style="234" customWidth="1"/>
    <col min="4106" max="4106" width="11.85546875" style="234" customWidth="1"/>
    <col min="4107" max="4352" width="9.140625" style="234"/>
    <col min="4353" max="4353" width="5.85546875" style="234" customWidth="1"/>
    <col min="4354" max="4354" width="30.85546875" style="234" customWidth="1"/>
    <col min="4355" max="4355" width="14.5703125" style="234" customWidth="1"/>
    <col min="4356" max="4361" width="11" style="234" customWidth="1"/>
    <col min="4362" max="4362" width="11.85546875" style="234" customWidth="1"/>
    <col min="4363" max="4608" width="9.140625" style="234"/>
    <col min="4609" max="4609" width="5.85546875" style="234" customWidth="1"/>
    <col min="4610" max="4610" width="30.85546875" style="234" customWidth="1"/>
    <col min="4611" max="4611" width="14.5703125" style="234" customWidth="1"/>
    <col min="4612" max="4617" width="11" style="234" customWidth="1"/>
    <col min="4618" max="4618" width="11.85546875" style="234" customWidth="1"/>
    <col min="4619" max="4864" width="9.140625" style="234"/>
    <col min="4865" max="4865" width="5.85546875" style="234" customWidth="1"/>
    <col min="4866" max="4866" width="30.85546875" style="234" customWidth="1"/>
    <col min="4867" max="4867" width="14.5703125" style="234" customWidth="1"/>
    <col min="4868" max="4873" width="11" style="234" customWidth="1"/>
    <col min="4874" max="4874" width="11.85546875" style="234" customWidth="1"/>
    <col min="4875" max="5120" width="9.140625" style="234"/>
    <col min="5121" max="5121" width="5.85546875" style="234" customWidth="1"/>
    <col min="5122" max="5122" width="30.85546875" style="234" customWidth="1"/>
    <col min="5123" max="5123" width="14.5703125" style="234" customWidth="1"/>
    <col min="5124" max="5129" width="11" style="234" customWidth="1"/>
    <col min="5130" max="5130" width="11.85546875" style="234" customWidth="1"/>
    <col min="5131" max="5376" width="9.140625" style="234"/>
    <col min="5377" max="5377" width="5.85546875" style="234" customWidth="1"/>
    <col min="5378" max="5378" width="30.85546875" style="234" customWidth="1"/>
    <col min="5379" max="5379" width="14.5703125" style="234" customWidth="1"/>
    <col min="5380" max="5385" width="11" style="234" customWidth="1"/>
    <col min="5386" max="5386" width="11.85546875" style="234" customWidth="1"/>
    <col min="5387" max="5632" width="9.140625" style="234"/>
    <col min="5633" max="5633" width="5.85546875" style="234" customWidth="1"/>
    <col min="5634" max="5634" width="30.85546875" style="234" customWidth="1"/>
    <col min="5635" max="5635" width="14.5703125" style="234" customWidth="1"/>
    <col min="5636" max="5641" width="11" style="234" customWidth="1"/>
    <col min="5642" max="5642" width="11.85546875" style="234" customWidth="1"/>
    <col min="5643" max="5888" width="9.140625" style="234"/>
    <col min="5889" max="5889" width="5.85546875" style="234" customWidth="1"/>
    <col min="5890" max="5890" width="30.85546875" style="234" customWidth="1"/>
    <col min="5891" max="5891" width="14.5703125" style="234" customWidth="1"/>
    <col min="5892" max="5897" width="11" style="234" customWidth="1"/>
    <col min="5898" max="5898" width="11.85546875" style="234" customWidth="1"/>
    <col min="5899" max="6144" width="9.140625" style="234"/>
    <col min="6145" max="6145" width="5.85546875" style="234" customWidth="1"/>
    <col min="6146" max="6146" width="30.85546875" style="234" customWidth="1"/>
    <col min="6147" max="6147" width="14.5703125" style="234" customWidth="1"/>
    <col min="6148" max="6153" width="11" style="234" customWidth="1"/>
    <col min="6154" max="6154" width="11.85546875" style="234" customWidth="1"/>
    <col min="6155" max="6400" width="9.140625" style="234"/>
    <col min="6401" max="6401" width="5.85546875" style="234" customWidth="1"/>
    <col min="6402" max="6402" width="30.85546875" style="234" customWidth="1"/>
    <col min="6403" max="6403" width="14.5703125" style="234" customWidth="1"/>
    <col min="6404" max="6409" width="11" style="234" customWidth="1"/>
    <col min="6410" max="6410" width="11.85546875" style="234" customWidth="1"/>
    <col min="6411" max="6656" width="9.140625" style="234"/>
    <col min="6657" max="6657" width="5.85546875" style="234" customWidth="1"/>
    <col min="6658" max="6658" width="30.85546875" style="234" customWidth="1"/>
    <col min="6659" max="6659" width="14.5703125" style="234" customWidth="1"/>
    <col min="6660" max="6665" width="11" style="234" customWidth="1"/>
    <col min="6666" max="6666" width="11.85546875" style="234" customWidth="1"/>
    <col min="6667" max="6912" width="9.140625" style="234"/>
    <col min="6913" max="6913" width="5.85546875" style="234" customWidth="1"/>
    <col min="6914" max="6914" width="30.85546875" style="234" customWidth="1"/>
    <col min="6915" max="6915" width="14.5703125" style="234" customWidth="1"/>
    <col min="6916" max="6921" width="11" style="234" customWidth="1"/>
    <col min="6922" max="6922" width="11.85546875" style="234" customWidth="1"/>
    <col min="6923" max="7168" width="9.140625" style="234"/>
    <col min="7169" max="7169" width="5.85546875" style="234" customWidth="1"/>
    <col min="7170" max="7170" width="30.85546875" style="234" customWidth="1"/>
    <col min="7171" max="7171" width="14.5703125" style="234" customWidth="1"/>
    <col min="7172" max="7177" width="11" style="234" customWidth="1"/>
    <col min="7178" max="7178" width="11.85546875" style="234" customWidth="1"/>
    <col min="7179" max="7424" width="9.140625" style="234"/>
    <col min="7425" max="7425" width="5.85546875" style="234" customWidth="1"/>
    <col min="7426" max="7426" width="30.85546875" style="234" customWidth="1"/>
    <col min="7427" max="7427" width="14.5703125" style="234" customWidth="1"/>
    <col min="7428" max="7433" width="11" style="234" customWidth="1"/>
    <col min="7434" max="7434" width="11.85546875" style="234" customWidth="1"/>
    <col min="7435" max="7680" width="9.140625" style="234"/>
    <col min="7681" max="7681" width="5.85546875" style="234" customWidth="1"/>
    <col min="7682" max="7682" width="30.85546875" style="234" customWidth="1"/>
    <col min="7683" max="7683" width="14.5703125" style="234" customWidth="1"/>
    <col min="7684" max="7689" width="11" style="234" customWidth="1"/>
    <col min="7690" max="7690" width="11.85546875" style="234" customWidth="1"/>
    <col min="7691" max="7936" width="9.140625" style="234"/>
    <col min="7937" max="7937" width="5.85546875" style="234" customWidth="1"/>
    <col min="7938" max="7938" width="30.85546875" style="234" customWidth="1"/>
    <col min="7939" max="7939" width="14.5703125" style="234" customWidth="1"/>
    <col min="7940" max="7945" width="11" style="234" customWidth="1"/>
    <col min="7946" max="7946" width="11.85546875" style="234" customWidth="1"/>
    <col min="7947" max="8192" width="9.140625" style="234"/>
    <col min="8193" max="8193" width="5.85546875" style="234" customWidth="1"/>
    <col min="8194" max="8194" width="30.85546875" style="234" customWidth="1"/>
    <col min="8195" max="8195" width="14.5703125" style="234" customWidth="1"/>
    <col min="8196" max="8201" width="11" style="234" customWidth="1"/>
    <col min="8202" max="8202" width="11.85546875" style="234" customWidth="1"/>
    <col min="8203" max="8448" width="9.140625" style="234"/>
    <col min="8449" max="8449" width="5.85546875" style="234" customWidth="1"/>
    <col min="8450" max="8450" width="30.85546875" style="234" customWidth="1"/>
    <col min="8451" max="8451" width="14.5703125" style="234" customWidth="1"/>
    <col min="8452" max="8457" width="11" style="234" customWidth="1"/>
    <col min="8458" max="8458" width="11.85546875" style="234" customWidth="1"/>
    <col min="8459" max="8704" width="9.140625" style="234"/>
    <col min="8705" max="8705" width="5.85546875" style="234" customWidth="1"/>
    <col min="8706" max="8706" width="30.85546875" style="234" customWidth="1"/>
    <col min="8707" max="8707" width="14.5703125" style="234" customWidth="1"/>
    <col min="8708" max="8713" width="11" style="234" customWidth="1"/>
    <col min="8714" max="8714" width="11.85546875" style="234" customWidth="1"/>
    <col min="8715" max="8960" width="9.140625" style="234"/>
    <col min="8961" max="8961" width="5.85546875" style="234" customWidth="1"/>
    <col min="8962" max="8962" width="30.85546875" style="234" customWidth="1"/>
    <col min="8963" max="8963" width="14.5703125" style="234" customWidth="1"/>
    <col min="8964" max="8969" width="11" style="234" customWidth="1"/>
    <col min="8970" max="8970" width="11.85546875" style="234" customWidth="1"/>
    <col min="8971" max="9216" width="9.140625" style="234"/>
    <col min="9217" max="9217" width="5.85546875" style="234" customWidth="1"/>
    <col min="9218" max="9218" width="30.85546875" style="234" customWidth="1"/>
    <col min="9219" max="9219" width="14.5703125" style="234" customWidth="1"/>
    <col min="9220" max="9225" width="11" style="234" customWidth="1"/>
    <col min="9226" max="9226" width="11.85546875" style="234" customWidth="1"/>
    <col min="9227" max="9472" width="9.140625" style="234"/>
    <col min="9473" max="9473" width="5.85546875" style="234" customWidth="1"/>
    <col min="9474" max="9474" width="30.85546875" style="234" customWidth="1"/>
    <col min="9475" max="9475" width="14.5703125" style="234" customWidth="1"/>
    <col min="9476" max="9481" width="11" style="234" customWidth="1"/>
    <col min="9482" max="9482" width="11.85546875" style="234" customWidth="1"/>
    <col min="9483" max="9728" width="9.140625" style="234"/>
    <col min="9729" max="9729" width="5.85546875" style="234" customWidth="1"/>
    <col min="9730" max="9730" width="30.85546875" style="234" customWidth="1"/>
    <col min="9731" max="9731" width="14.5703125" style="234" customWidth="1"/>
    <col min="9732" max="9737" width="11" style="234" customWidth="1"/>
    <col min="9738" max="9738" width="11.85546875" style="234" customWidth="1"/>
    <col min="9739" max="9984" width="9.140625" style="234"/>
    <col min="9985" max="9985" width="5.85546875" style="234" customWidth="1"/>
    <col min="9986" max="9986" width="30.85546875" style="234" customWidth="1"/>
    <col min="9987" max="9987" width="14.5703125" style="234" customWidth="1"/>
    <col min="9988" max="9993" width="11" style="234" customWidth="1"/>
    <col min="9994" max="9994" width="11.85546875" style="234" customWidth="1"/>
    <col min="9995" max="10240" width="9.140625" style="234"/>
    <col min="10241" max="10241" width="5.85546875" style="234" customWidth="1"/>
    <col min="10242" max="10242" width="30.85546875" style="234" customWidth="1"/>
    <col min="10243" max="10243" width="14.5703125" style="234" customWidth="1"/>
    <col min="10244" max="10249" width="11" style="234" customWidth="1"/>
    <col min="10250" max="10250" width="11.85546875" style="234" customWidth="1"/>
    <col min="10251" max="10496" width="9.140625" style="234"/>
    <col min="10497" max="10497" width="5.85546875" style="234" customWidth="1"/>
    <col min="10498" max="10498" width="30.85546875" style="234" customWidth="1"/>
    <col min="10499" max="10499" width="14.5703125" style="234" customWidth="1"/>
    <col min="10500" max="10505" width="11" style="234" customWidth="1"/>
    <col min="10506" max="10506" width="11.85546875" style="234" customWidth="1"/>
    <col min="10507" max="10752" width="9.140625" style="234"/>
    <col min="10753" max="10753" width="5.85546875" style="234" customWidth="1"/>
    <col min="10754" max="10754" width="30.85546875" style="234" customWidth="1"/>
    <col min="10755" max="10755" width="14.5703125" style="234" customWidth="1"/>
    <col min="10756" max="10761" width="11" style="234" customWidth="1"/>
    <col min="10762" max="10762" width="11.85546875" style="234" customWidth="1"/>
    <col min="10763" max="11008" width="9.140625" style="234"/>
    <col min="11009" max="11009" width="5.85546875" style="234" customWidth="1"/>
    <col min="11010" max="11010" width="30.85546875" style="234" customWidth="1"/>
    <col min="11011" max="11011" width="14.5703125" style="234" customWidth="1"/>
    <col min="11012" max="11017" width="11" style="234" customWidth="1"/>
    <col min="11018" max="11018" width="11.85546875" style="234" customWidth="1"/>
    <col min="11019" max="11264" width="9.140625" style="234"/>
    <col min="11265" max="11265" width="5.85546875" style="234" customWidth="1"/>
    <col min="11266" max="11266" width="30.85546875" style="234" customWidth="1"/>
    <col min="11267" max="11267" width="14.5703125" style="234" customWidth="1"/>
    <col min="11268" max="11273" width="11" style="234" customWidth="1"/>
    <col min="11274" max="11274" width="11.85546875" style="234" customWidth="1"/>
    <col min="11275" max="11520" width="9.140625" style="234"/>
    <col min="11521" max="11521" width="5.85546875" style="234" customWidth="1"/>
    <col min="11522" max="11522" width="30.85546875" style="234" customWidth="1"/>
    <col min="11523" max="11523" width="14.5703125" style="234" customWidth="1"/>
    <col min="11524" max="11529" width="11" style="234" customWidth="1"/>
    <col min="11530" max="11530" width="11.85546875" style="234" customWidth="1"/>
    <col min="11531" max="11776" width="9.140625" style="234"/>
    <col min="11777" max="11777" width="5.85546875" style="234" customWidth="1"/>
    <col min="11778" max="11778" width="30.85546875" style="234" customWidth="1"/>
    <col min="11779" max="11779" width="14.5703125" style="234" customWidth="1"/>
    <col min="11780" max="11785" width="11" style="234" customWidth="1"/>
    <col min="11786" max="11786" width="11.85546875" style="234" customWidth="1"/>
    <col min="11787" max="12032" width="9.140625" style="234"/>
    <col min="12033" max="12033" width="5.85546875" style="234" customWidth="1"/>
    <col min="12034" max="12034" width="30.85546875" style="234" customWidth="1"/>
    <col min="12035" max="12035" width="14.5703125" style="234" customWidth="1"/>
    <col min="12036" max="12041" width="11" style="234" customWidth="1"/>
    <col min="12042" max="12042" width="11.85546875" style="234" customWidth="1"/>
    <col min="12043" max="12288" width="9.140625" style="234"/>
    <col min="12289" max="12289" width="5.85546875" style="234" customWidth="1"/>
    <col min="12290" max="12290" width="30.85546875" style="234" customWidth="1"/>
    <col min="12291" max="12291" width="14.5703125" style="234" customWidth="1"/>
    <col min="12292" max="12297" width="11" style="234" customWidth="1"/>
    <col min="12298" max="12298" width="11.85546875" style="234" customWidth="1"/>
    <col min="12299" max="12544" width="9.140625" style="234"/>
    <col min="12545" max="12545" width="5.85546875" style="234" customWidth="1"/>
    <col min="12546" max="12546" width="30.85546875" style="234" customWidth="1"/>
    <col min="12547" max="12547" width="14.5703125" style="234" customWidth="1"/>
    <col min="12548" max="12553" width="11" style="234" customWidth="1"/>
    <col min="12554" max="12554" width="11.85546875" style="234" customWidth="1"/>
    <col min="12555" max="12800" width="9.140625" style="234"/>
    <col min="12801" max="12801" width="5.85546875" style="234" customWidth="1"/>
    <col min="12802" max="12802" width="30.85546875" style="234" customWidth="1"/>
    <col min="12803" max="12803" width="14.5703125" style="234" customWidth="1"/>
    <col min="12804" max="12809" width="11" style="234" customWidth="1"/>
    <col min="12810" max="12810" width="11.85546875" style="234" customWidth="1"/>
    <col min="12811" max="13056" width="9.140625" style="234"/>
    <col min="13057" max="13057" width="5.85546875" style="234" customWidth="1"/>
    <col min="13058" max="13058" width="30.85546875" style="234" customWidth="1"/>
    <col min="13059" max="13059" width="14.5703125" style="234" customWidth="1"/>
    <col min="13060" max="13065" width="11" style="234" customWidth="1"/>
    <col min="13066" max="13066" width="11.85546875" style="234" customWidth="1"/>
    <col min="13067" max="13312" width="9.140625" style="234"/>
    <col min="13313" max="13313" width="5.85546875" style="234" customWidth="1"/>
    <col min="13314" max="13314" width="30.85546875" style="234" customWidth="1"/>
    <col min="13315" max="13315" width="14.5703125" style="234" customWidth="1"/>
    <col min="13316" max="13321" width="11" style="234" customWidth="1"/>
    <col min="13322" max="13322" width="11.85546875" style="234" customWidth="1"/>
    <col min="13323" max="13568" width="9.140625" style="234"/>
    <col min="13569" max="13569" width="5.85546875" style="234" customWidth="1"/>
    <col min="13570" max="13570" width="30.85546875" style="234" customWidth="1"/>
    <col min="13571" max="13571" width="14.5703125" style="234" customWidth="1"/>
    <col min="13572" max="13577" width="11" style="234" customWidth="1"/>
    <col min="13578" max="13578" width="11.85546875" style="234" customWidth="1"/>
    <col min="13579" max="13824" width="9.140625" style="234"/>
    <col min="13825" max="13825" width="5.85546875" style="234" customWidth="1"/>
    <col min="13826" max="13826" width="30.85546875" style="234" customWidth="1"/>
    <col min="13827" max="13827" width="14.5703125" style="234" customWidth="1"/>
    <col min="13828" max="13833" width="11" style="234" customWidth="1"/>
    <col min="13834" max="13834" width="11.85546875" style="234" customWidth="1"/>
    <col min="13835" max="14080" width="9.140625" style="234"/>
    <col min="14081" max="14081" width="5.85546875" style="234" customWidth="1"/>
    <col min="14082" max="14082" width="30.85546875" style="234" customWidth="1"/>
    <col min="14083" max="14083" width="14.5703125" style="234" customWidth="1"/>
    <col min="14084" max="14089" width="11" style="234" customWidth="1"/>
    <col min="14090" max="14090" width="11.85546875" style="234" customWidth="1"/>
    <col min="14091" max="14336" width="9.140625" style="234"/>
    <col min="14337" max="14337" width="5.85546875" style="234" customWidth="1"/>
    <col min="14338" max="14338" width="30.85546875" style="234" customWidth="1"/>
    <col min="14339" max="14339" width="14.5703125" style="234" customWidth="1"/>
    <col min="14340" max="14345" width="11" style="234" customWidth="1"/>
    <col min="14346" max="14346" width="11.85546875" style="234" customWidth="1"/>
    <col min="14347" max="14592" width="9.140625" style="234"/>
    <col min="14593" max="14593" width="5.85546875" style="234" customWidth="1"/>
    <col min="14594" max="14594" width="30.85546875" style="234" customWidth="1"/>
    <col min="14595" max="14595" width="14.5703125" style="234" customWidth="1"/>
    <col min="14596" max="14601" width="11" style="234" customWidth="1"/>
    <col min="14602" max="14602" width="11.85546875" style="234" customWidth="1"/>
    <col min="14603" max="14848" width="9.140625" style="234"/>
    <col min="14849" max="14849" width="5.85546875" style="234" customWidth="1"/>
    <col min="14850" max="14850" width="30.85546875" style="234" customWidth="1"/>
    <col min="14851" max="14851" width="14.5703125" style="234" customWidth="1"/>
    <col min="14852" max="14857" width="11" style="234" customWidth="1"/>
    <col min="14858" max="14858" width="11.85546875" style="234" customWidth="1"/>
    <col min="14859" max="15104" width="9.140625" style="234"/>
    <col min="15105" max="15105" width="5.85546875" style="234" customWidth="1"/>
    <col min="15106" max="15106" width="30.85546875" style="234" customWidth="1"/>
    <col min="15107" max="15107" width="14.5703125" style="234" customWidth="1"/>
    <col min="15108" max="15113" width="11" style="234" customWidth="1"/>
    <col min="15114" max="15114" width="11.85546875" style="234" customWidth="1"/>
    <col min="15115" max="15360" width="9.140625" style="234"/>
    <col min="15361" max="15361" width="5.85546875" style="234" customWidth="1"/>
    <col min="15362" max="15362" width="30.85546875" style="234" customWidth="1"/>
    <col min="15363" max="15363" width="14.5703125" style="234" customWidth="1"/>
    <col min="15364" max="15369" width="11" style="234" customWidth="1"/>
    <col min="15370" max="15370" width="11.85546875" style="234" customWidth="1"/>
    <col min="15371" max="15616" width="9.140625" style="234"/>
    <col min="15617" max="15617" width="5.85546875" style="234" customWidth="1"/>
    <col min="15618" max="15618" width="30.85546875" style="234" customWidth="1"/>
    <col min="15619" max="15619" width="14.5703125" style="234" customWidth="1"/>
    <col min="15620" max="15625" width="11" style="234" customWidth="1"/>
    <col min="15626" max="15626" width="11.85546875" style="234" customWidth="1"/>
    <col min="15627" max="15872" width="9.140625" style="234"/>
    <col min="15873" max="15873" width="5.85546875" style="234" customWidth="1"/>
    <col min="15874" max="15874" width="30.85546875" style="234" customWidth="1"/>
    <col min="15875" max="15875" width="14.5703125" style="234" customWidth="1"/>
    <col min="15876" max="15881" width="11" style="234" customWidth="1"/>
    <col min="15882" max="15882" width="11.85546875" style="234" customWidth="1"/>
    <col min="15883" max="16128" width="9.140625" style="234"/>
    <col min="16129" max="16129" width="5.85546875" style="234" customWidth="1"/>
    <col min="16130" max="16130" width="30.85546875" style="234" customWidth="1"/>
    <col min="16131" max="16131" width="14.5703125" style="234" customWidth="1"/>
    <col min="16132" max="16137" width="11" style="234" customWidth="1"/>
    <col min="16138" max="16138" width="11.85546875" style="234" customWidth="1"/>
    <col min="16139" max="16384" width="9.140625" style="234"/>
  </cols>
  <sheetData>
    <row r="1" spans="1:10" ht="21" customHeight="1" x14ac:dyDescent="0.2">
      <c r="A1" s="556" t="s">
        <v>370</v>
      </c>
      <c r="B1" s="556"/>
      <c r="C1" s="556"/>
      <c r="D1" s="556"/>
      <c r="E1" s="556"/>
      <c r="F1" s="556"/>
      <c r="G1" s="556"/>
      <c r="H1" s="556"/>
      <c r="I1" s="556"/>
      <c r="J1" s="556"/>
    </row>
    <row r="2" spans="1:10" ht="13.5" thickBot="1" x14ac:dyDescent="0.25">
      <c r="J2" s="238" t="s">
        <v>375</v>
      </c>
    </row>
    <row r="3" spans="1:10" s="174" customFormat="1" ht="14.25" x14ac:dyDescent="0.2">
      <c r="A3" s="699" t="s">
        <v>99</v>
      </c>
      <c r="B3" s="701" t="s">
        <v>289</v>
      </c>
      <c r="C3" s="701" t="s">
        <v>290</v>
      </c>
      <c r="D3" s="701" t="s">
        <v>291</v>
      </c>
      <c r="E3" s="701" t="s">
        <v>372</v>
      </c>
      <c r="F3" s="171" t="s">
        <v>292</v>
      </c>
      <c r="G3" s="172"/>
      <c r="H3" s="172"/>
      <c r="I3" s="173"/>
      <c r="J3" s="697" t="s">
        <v>293</v>
      </c>
    </row>
    <row r="4" spans="1:10" s="178" customFormat="1" ht="24.75" thickBot="1" x14ac:dyDescent="0.25">
      <c r="A4" s="700"/>
      <c r="B4" s="702"/>
      <c r="C4" s="702"/>
      <c r="D4" s="703"/>
      <c r="E4" s="703"/>
      <c r="F4" s="175" t="s">
        <v>305</v>
      </c>
      <c r="G4" s="176" t="s">
        <v>306</v>
      </c>
      <c r="H4" s="176" t="s">
        <v>373</v>
      </c>
      <c r="I4" s="177" t="s">
        <v>374</v>
      </c>
      <c r="J4" s="698"/>
    </row>
    <row r="5" spans="1:10" s="183" customFormat="1" ht="11.25" thickBot="1" x14ac:dyDescent="0.25">
      <c r="A5" s="179">
        <v>1</v>
      </c>
      <c r="B5" s="180">
        <v>2</v>
      </c>
      <c r="C5" s="181">
        <v>3</v>
      </c>
      <c r="D5" s="181">
        <v>4</v>
      </c>
      <c r="E5" s="181">
        <v>5</v>
      </c>
      <c r="F5" s="181">
        <v>6</v>
      </c>
      <c r="G5" s="181">
        <v>7</v>
      </c>
      <c r="H5" s="181">
        <v>8</v>
      </c>
      <c r="I5" s="181">
        <v>9</v>
      </c>
      <c r="J5" s="182" t="s">
        <v>294</v>
      </c>
    </row>
    <row r="6" spans="1:10" ht="21" x14ac:dyDescent="0.2">
      <c r="A6" s="184" t="s">
        <v>36</v>
      </c>
      <c r="B6" s="185" t="s">
        <v>295</v>
      </c>
      <c r="C6" s="186"/>
      <c r="D6" s="187">
        <f t="shared" ref="D6:I6" si="0">SUM(D7:D8)</f>
        <v>0</v>
      </c>
      <c r="E6" s="187">
        <f t="shared" si="0"/>
        <v>0</v>
      </c>
      <c r="F6" s="187">
        <f t="shared" si="0"/>
        <v>0</v>
      </c>
      <c r="G6" s="187">
        <f t="shared" si="0"/>
        <v>0</v>
      </c>
      <c r="H6" s="187">
        <f t="shared" si="0"/>
        <v>0</v>
      </c>
      <c r="I6" s="188">
        <f t="shared" si="0"/>
        <v>0</v>
      </c>
      <c r="J6" s="189">
        <f t="shared" ref="J6:J19" si="1">SUM(F6:I6)</f>
        <v>0</v>
      </c>
    </row>
    <row r="7" spans="1:10" x14ac:dyDescent="0.2">
      <c r="A7" s="190" t="s">
        <v>37</v>
      </c>
      <c r="B7" s="191" t="s">
        <v>296</v>
      </c>
      <c r="C7" s="192"/>
      <c r="D7" s="193"/>
      <c r="E7" s="193"/>
      <c r="F7" s="193"/>
      <c r="G7" s="193"/>
      <c r="H7" s="193"/>
      <c r="I7" s="194"/>
      <c r="J7" s="195">
        <f t="shared" si="1"/>
        <v>0</v>
      </c>
    </row>
    <row r="8" spans="1:10" x14ac:dyDescent="0.2">
      <c r="A8" s="190" t="s">
        <v>38</v>
      </c>
      <c r="B8" s="191" t="s">
        <v>296</v>
      </c>
      <c r="C8" s="192"/>
      <c r="D8" s="193"/>
      <c r="E8" s="193"/>
      <c r="F8" s="193"/>
      <c r="G8" s="193"/>
      <c r="H8" s="193"/>
      <c r="I8" s="194"/>
      <c r="J8" s="195">
        <f t="shared" si="1"/>
        <v>0</v>
      </c>
    </row>
    <row r="9" spans="1:10" ht="21" x14ac:dyDescent="0.2">
      <c r="A9" s="190" t="s">
        <v>39</v>
      </c>
      <c r="B9" s="196" t="s">
        <v>297</v>
      </c>
      <c r="C9" s="197"/>
      <c r="D9" s="198">
        <f t="shared" ref="D9:I9" si="2">SUM(D10:D11)</f>
        <v>786665991</v>
      </c>
      <c r="E9" s="198">
        <f t="shared" si="2"/>
        <v>14396417</v>
      </c>
      <c r="F9" s="198">
        <f t="shared" si="2"/>
        <v>19177708</v>
      </c>
      <c r="G9" s="198">
        <f t="shared" si="2"/>
        <v>67552771</v>
      </c>
      <c r="H9" s="198">
        <f t="shared" si="2"/>
        <v>82016443</v>
      </c>
      <c r="I9" s="199">
        <f t="shared" si="2"/>
        <v>603522652</v>
      </c>
      <c r="J9" s="200">
        <f>SUM(F9:I9)</f>
        <v>772269574</v>
      </c>
    </row>
    <row r="10" spans="1:10" x14ac:dyDescent="0.2">
      <c r="A10" s="190" t="s">
        <v>40</v>
      </c>
      <c r="B10" s="191" t="s">
        <v>298</v>
      </c>
      <c r="C10" s="192">
        <v>2020</v>
      </c>
      <c r="D10" s="193">
        <v>650000000</v>
      </c>
      <c r="E10" s="235">
        <v>0</v>
      </c>
      <c r="F10" s="235">
        <v>0</v>
      </c>
      <c r="G10" s="235">
        <v>48750300</v>
      </c>
      <c r="H10" s="235">
        <v>65000400</v>
      </c>
      <c r="I10" s="236">
        <v>536249300</v>
      </c>
      <c r="J10" s="200">
        <f t="shared" ref="J10:J11" si="3">SUM(F10:I10)</f>
        <v>650000000</v>
      </c>
    </row>
    <row r="11" spans="1:10" x14ac:dyDescent="0.2">
      <c r="A11" s="190" t="s">
        <v>45</v>
      </c>
      <c r="B11" s="191" t="s">
        <v>299</v>
      </c>
      <c r="C11" s="192">
        <v>2020</v>
      </c>
      <c r="D11" s="193">
        <v>136665991</v>
      </c>
      <c r="E11" s="193">
        <v>14396417</v>
      </c>
      <c r="F11" s="193">
        <v>19177708</v>
      </c>
      <c r="G11" s="193">
        <v>18802471</v>
      </c>
      <c r="H11" s="193">
        <v>17016043</v>
      </c>
      <c r="I11" s="194">
        <v>67273352</v>
      </c>
      <c r="J11" s="200">
        <f t="shared" si="3"/>
        <v>122269574</v>
      </c>
    </row>
    <row r="12" spans="1:10" x14ac:dyDescent="0.2">
      <c r="A12" s="190" t="s">
        <v>47</v>
      </c>
      <c r="B12" s="201" t="s">
        <v>300</v>
      </c>
      <c r="C12" s="197"/>
      <c r="D12" s="198">
        <f t="shared" ref="D12:I12" si="4">SUM(D13:D13)</f>
        <v>0</v>
      </c>
      <c r="E12" s="198">
        <f t="shared" si="4"/>
        <v>0</v>
      </c>
      <c r="F12" s="198">
        <f t="shared" si="4"/>
        <v>0</v>
      </c>
      <c r="G12" s="198">
        <f t="shared" si="4"/>
        <v>0</v>
      </c>
      <c r="H12" s="198">
        <f t="shared" si="4"/>
        <v>0</v>
      </c>
      <c r="I12" s="199">
        <f t="shared" si="4"/>
        <v>0</v>
      </c>
      <c r="J12" s="200">
        <f t="shared" si="1"/>
        <v>0</v>
      </c>
    </row>
    <row r="13" spans="1:10" ht="21" customHeight="1" x14ac:dyDescent="0.2">
      <c r="A13" s="190" t="s">
        <v>48</v>
      </c>
      <c r="B13" s="191"/>
      <c r="C13" s="192"/>
      <c r="D13" s="193"/>
      <c r="E13" s="193"/>
      <c r="F13" s="193"/>
      <c r="G13" s="193"/>
      <c r="H13" s="193"/>
      <c r="I13" s="194"/>
      <c r="J13" s="195">
        <f t="shared" si="1"/>
        <v>0</v>
      </c>
    </row>
    <row r="14" spans="1:10" ht="21" customHeight="1" x14ac:dyDescent="0.2">
      <c r="A14" s="190"/>
      <c r="B14" s="191"/>
      <c r="C14" s="192"/>
      <c r="D14" s="193"/>
      <c r="E14" s="193">
        <v>0</v>
      </c>
      <c r="F14" s="193"/>
      <c r="G14" s="193"/>
      <c r="H14" s="193"/>
      <c r="I14" s="194"/>
      <c r="J14" s="195">
        <f t="shared" si="1"/>
        <v>0</v>
      </c>
    </row>
    <row r="15" spans="1:10" x14ac:dyDescent="0.2">
      <c r="A15" s="190" t="s">
        <v>49</v>
      </c>
      <c r="B15" s="201" t="s">
        <v>304</v>
      </c>
      <c r="C15" s="197"/>
      <c r="D15" s="198">
        <f t="shared" ref="D15:I15" si="5">SUM(D16:D16)</f>
        <v>786665991</v>
      </c>
      <c r="E15" s="198">
        <f t="shared" si="5"/>
        <v>14396417</v>
      </c>
      <c r="F15" s="198">
        <f>SUM(F16:F16)</f>
        <v>19177708</v>
      </c>
      <c r="G15" s="198">
        <f t="shared" si="5"/>
        <v>67552771</v>
      </c>
      <c r="H15" s="198">
        <f t="shared" si="5"/>
        <v>82016443</v>
      </c>
      <c r="I15" s="199">
        <f t="shared" si="5"/>
        <v>603522652</v>
      </c>
      <c r="J15" s="200">
        <f t="shared" si="1"/>
        <v>772269574</v>
      </c>
    </row>
    <row r="16" spans="1:10" x14ac:dyDescent="0.2">
      <c r="A16" s="190" t="s">
        <v>50</v>
      </c>
      <c r="B16" s="191" t="s">
        <v>303</v>
      </c>
      <c r="C16" s="192">
        <v>2020</v>
      </c>
      <c r="D16" s="193">
        <v>786665991</v>
      </c>
      <c r="E16" s="193">
        <f>E9</f>
        <v>14396417</v>
      </c>
      <c r="F16" s="193">
        <f t="shared" ref="F16:I16" si="6">F9</f>
        <v>19177708</v>
      </c>
      <c r="G16" s="193">
        <f t="shared" si="6"/>
        <v>67552771</v>
      </c>
      <c r="H16" s="193">
        <f t="shared" si="6"/>
        <v>82016443</v>
      </c>
      <c r="I16" s="193">
        <f t="shared" si="6"/>
        <v>603522652</v>
      </c>
      <c r="J16" s="195">
        <f t="shared" si="1"/>
        <v>772269574</v>
      </c>
    </row>
    <row r="17" spans="1:10" ht="21" customHeight="1" x14ac:dyDescent="0.2">
      <c r="A17" s="202" t="s">
        <v>23</v>
      </c>
      <c r="B17" s="203" t="s">
        <v>301</v>
      </c>
      <c r="C17" s="204"/>
      <c r="D17" s="205">
        <f t="shared" ref="D17:I17" si="7">SUM(D18:D19)</f>
        <v>0</v>
      </c>
      <c r="E17" s="205">
        <f t="shared" si="7"/>
        <v>0</v>
      </c>
      <c r="F17" s="205">
        <f t="shared" si="7"/>
        <v>0</v>
      </c>
      <c r="G17" s="205">
        <f t="shared" si="7"/>
        <v>0</v>
      </c>
      <c r="H17" s="205">
        <f t="shared" si="7"/>
        <v>0</v>
      </c>
      <c r="I17" s="206">
        <f t="shared" si="7"/>
        <v>0</v>
      </c>
      <c r="J17" s="200">
        <f t="shared" si="1"/>
        <v>0</v>
      </c>
    </row>
    <row r="18" spans="1:10" x14ac:dyDescent="0.2">
      <c r="A18" s="202" t="s">
        <v>24</v>
      </c>
      <c r="B18" s="191" t="s">
        <v>296</v>
      </c>
      <c r="C18" s="192"/>
      <c r="D18" s="193"/>
      <c r="E18" s="193"/>
      <c r="F18" s="193"/>
      <c r="G18" s="193"/>
      <c r="H18" s="193"/>
      <c r="I18" s="194"/>
      <c r="J18" s="195">
        <f t="shared" si="1"/>
        <v>0</v>
      </c>
    </row>
    <row r="19" spans="1:10" ht="13.5" thickBot="1" x14ac:dyDescent="0.25">
      <c r="A19" s="202" t="s">
        <v>28</v>
      </c>
      <c r="B19" s="191" t="s">
        <v>296</v>
      </c>
      <c r="C19" s="207"/>
      <c r="D19" s="208"/>
      <c r="E19" s="208"/>
      <c r="F19" s="208"/>
      <c r="G19" s="208"/>
      <c r="H19" s="208"/>
      <c r="I19" s="209"/>
      <c r="J19" s="195">
        <f t="shared" si="1"/>
        <v>0</v>
      </c>
    </row>
    <row r="20" spans="1:10" ht="13.5" thickBot="1" x14ac:dyDescent="0.25">
      <c r="A20" s="210" t="s">
        <v>25</v>
      </c>
      <c r="B20" s="211" t="s">
        <v>302</v>
      </c>
      <c r="C20" s="212"/>
      <c r="D20" s="213">
        <f>D6+D9+D12</f>
        <v>786665991</v>
      </c>
      <c r="E20" s="213">
        <f t="shared" ref="E20:I20" si="8">E6+E9+E12</f>
        <v>14396417</v>
      </c>
      <c r="F20" s="213">
        <f t="shared" si="8"/>
        <v>19177708</v>
      </c>
      <c r="G20" s="213">
        <f t="shared" si="8"/>
        <v>67552771</v>
      </c>
      <c r="H20" s="213">
        <f t="shared" si="8"/>
        <v>82016443</v>
      </c>
      <c r="I20" s="213">
        <f t="shared" si="8"/>
        <v>603522652</v>
      </c>
      <c r="J20" s="214">
        <f>J6+J9+J12</f>
        <v>772269574</v>
      </c>
    </row>
  </sheetData>
  <mergeCells count="7">
    <mergeCell ref="A1:J1"/>
    <mergeCell ref="J3:J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'1. Bevételek'!Nyomtatási_cím</vt:lpstr>
      <vt:lpstr>'2. Kiadások'!Nyomtatási_cím</vt:lpstr>
    </vt:vector>
  </TitlesOfParts>
  <Company>Budaörs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Magyarne.Olgi</cp:lastModifiedBy>
  <cp:lastPrinted>2021-03-05T11:07:08Z</cp:lastPrinted>
  <dcterms:created xsi:type="dcterms:W3CDTF">2005-12-27T13:42:28Z</dcterms:created>
  <dcterms:modified xsi:type="dcterms:W3CDTF">2021-03-05T11:13:36Z</dcterms:modified>
</cp:coreProperties>
</file>