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\Hivatali Dokumentumok\_KÖZÖS DOKUMENTUMOK\_PÉNZÜGY\2020. év\Költségvetés\Börcs\2020. évi testületi anyag\IV.n.év\Egységes szerkezetben\"/>
    </mc:Choice>
  </mc:AlternateContent>
  <xr:revisionPtr revIDLastSave="0" documentId="13_ncr:1_{D861BB10-6C72-4978-BBCD-DB063722DD2A}" xr6:coauthVersionLast="46" xr6:coauthVersionMax="46" xr10:uidLastSave="{00000000-0000-0000-0000-000000000000}"/>
  <bookViews>
    <workbookView xWindow="28680" yWindow="-120" windowWidth="29040" windowHeight="15840" tabRatio="944" activeTab="5" xr2:uid="{00000000-000D-0000-FFFF-FFFF00000000}"/>
  </bookViews>
  <sheets>
    <sheet name="1. Bevételek" sheetId="41" r:id="rId1"/>
    <sheet name="1.1.Bevételek (KÖT, ÖNV,Áll.i)" sheetId="202" r:id="rId2"/>
    <sheet name="2. Kiadások" sheetId="5" r:id="rId3"/>
    <sheet name="2.1.Kiadások (KÖT, ÖNV, Áll.i)" sheetId="201" r:id="rId4"/>
    <sheet name="3.Működési mérleg" sheetId="196" r:id="rId5"/>
    <sheet name="4. Felhalmozási mérleg" sheetId="197" r:id="rId6"/>
    <sheet name="5. Pénzeszköz átadás" sheetId="190" r:id="rId7"/>
    <sheet name="6 .Felhalmozási k." sheetId="194" r:id="rId8"/>
    <sheet name="7. Létszám" sheetId="195" r:id="rId9"/>
    <sheet name="8. Adósságk." sheetId="198" r:id="rId10"/>
  </sheets>
  <externalReferences>
    <externalReference r:id="rId11"/>
    <externalReference r:id="rId12"/>
    <externalReference r:id="rId13"/>
  </externalReferences>
  <definedNames>
    <definedName name="beruh">'[1]4.1. táj.'!#REF!</definedName>
    <definedName name="intézmények">'[2]4.1. táj.'!#REF!</definedName>
    <definedName name="_xlnm.Print_Titles" localSheetId="0">'1. Bevételek'!$3:$6</definedName>
    <definedName name="_xlnm.Print_Titles" localSheetId="2">'2. Kiadások'!$3:$3</definedName>
  </definedNames>
  <calcPr calcId="181029"/>
</workbook>
</file>

<file path=xl/calcChain.xml><?xml version="1.0" encoding="utf-8"?>
<calcChain xmlns="http://schemas.openxmlformats.org/spreadsheetml/2006/main">
  <c r="K36" i="197" l="1"/>
  <c r="L36" i="197"/>
  <c r="M36" i="197"/>
  <c r="N36" i="197"/>
  <c r="O36" i="197"/>
  <c r="K31" i="196"/>
  <c r="L31" i="196"/>
  <c r="M31" i="196"/>
  <c r="N31" i="196"/>
  <c r="O31" i="196"/>
  <c r="L28" i="201"/>
  <c r="L16" i="201"/>
  <c r="L8" i="201"/>
  <c r="P32" i="201"/>
  <c r="P28" i="201"/>
  <c r="P21" i="201"/>
  <c r="P16" i="201"/>
  <c r="P8" i="201"/>
  <c r="P29" i="201" s="1"/>
  <c r="P33" i="201" s="1"/>
  <c r="O32" i="201"/>
  <c r="O28" i="201"/>
  <c r="O21" i="201"/>
  <c r="O16" i="201"/>
  <c r="O8" i="201"/>
  <c r="O29" i="201" s="1"/>
  <c r="O33" i="201" s="1"/>
  <c r="N32" i="201"/>
  <c r="N28" i="201"/>
  <c r="N21" i="201"/>
  <c r="N16" i="201"/>
  <c r="N8" i="201"/>
  <c r="N29" i="201" s="1"/>
  <c r="N33" i="201" s="1"/>
  <c r="K32" i="201"/>
  <c r="K28" i="201"/>
  <c r="K21" i="201"/>
  <c r="K16" i="201"/>
  <c r="K8" i="201"/>
  <c r="K29" i="201" s="1"/>
  <c r="K33" i="201" s="1"/>
  <c r="J32" i="201"/>
  <c r="J28" i="201"/>
  <c r="J21" i="201"/>
  <c r="J16" i="201"/>
  <c r="J8" i="201"/>
  <c r="J29" i="201" s="1"/>
  <c r="J33" i="201" s="1"/>
  <c r="P51" i="202"/>
  <c r="P47" i="202"/>
  <c r="P52" i="202" s="1"/>
  <c r="P45" i="202"/>
  <c r="P42" i="202"/>
  <c r="P37" i="202"/>
  <c r="P28" i="202"/>
  <c r="P26" i="202"/>
  <c r="P21" i="202"/>
  <c r="P17" i="202"/>
  <c r="P12" i="202"/>
  <c r="P18" i="202" s="1"/>
  <c r="P43" i="202" s="1"/>
  <c r="P53" i="202" s="1"/>
  <c r="O52" i="202"/>
  <c r="O51" i="202"/>
  <c r="O47" i="202"/>
  <c r="O45" i="202"/>
  <c r="O42" i="202"/>
  <c r="O37" i="202"/>
  <c r="O26" i="202"/>
  <c r="O28" i="202" s="1"/>
  <c r="O21" i="202"/>
  <c r="O17" i="202"/>
  <c r="O12" i="202"/>
  <c r="O18" i="202" s="1"/>
  <c r="O43" i="202" s="1"/>
  <c r="O53" i="202" s="1"/>
  <c r="N52" i="202"/>
  <c r="N51" i="202"/>
  <c r="N47" i="202"/>
  <c r="N45" i="202"/>
  <c r="N42" i="202"/>
  <c r="N37" i="202"/>
  <c r="N26" i="202"/>
  <c r="N28" i="202" s="1"/>
  <c r="N21" i="202"/>
  <c r="N17" i="202"/>
  <c r="N12" i="202"/>
  <c r="N18" i="202" s="1"/>
  <c r="N43" i="202" s="1"/>
  <c r="N53" i="202" s="1"/>
  <c r="J51" i="202"/>
  <c r="J47" i="202"/>
  <c r="J52" i="202" s="1"/>
  <c r="J45" i="202"/>
  <c r="J42" i="202"/>
  <c r="J37" i="202"/>
  <c r="J26" i="202"/>
  <c r="J28" i="202" s="1"/>
  <c r="J21" i="202"/>
  <c r="J17" i="202"/>
  <c r="J12" i="202"/>
  <c r="J18" i="202" s="1"/>
  <c r="K51" i="202"/>
  <c r="K47" i="202"/>
  <c r="K52" i="202" s="1"/>
  <c r="K45" i="202"/>
  <c r="K42" i="202"/>
  <c r="K37" i="202"/>
  <c r="K26" i="202"/>
  <c r="K28" i="202" s="1"/>
  <c r="K21" i="202"/>
  <c r="K17" i="202"/>
  <c r="K12" i="202"/>
  <c r="K18" i="202" s="1"/>
  <c r="M12" i="202"/>
  <c r="I12" i="202"/>
  <c r="I32" i="201"/>
  <c r="I28" i="201"/>
  <c r="I8" i="201"/>
  <c r="H19" i="197"/>
  <c r="G19" i="197"/>
  <c r="Q23" i="202"/>
  <c r="H52" i="41"/>
  <c r="J43" i="202" l="1"/>
  <c r="J53" i="202" s="1"/>
  <c r="K43" i="202"/>
  <c r="K53" i="202" s="1"/>
  <c r="L21" i="201"/>
  <c r="L29" i="201" s="1"/>
  <c r="L33" i="201" s="1"/>
  <c r="F21" i="201"/>
  <c r="G21" i="201"/>
  <c r="H21" i="201"/>
  <c r="K47" i="194" l="1"/>
  <c r="J51" i="194"/>
  <c r="L58" i="194"/>
  <c r="L51" i="194"/>
  <c r="L49" i="194"/>
  <c r="J43" i="194"/>
  <c r="L43" i="194"/>
  <c r="L14" i="194"/>
  <c r="F52" i="190"/>
  <c r="F53" i="190" s="1"/>
  <c r="J60" i="194"/>
  <c r="J54" i="194"/>
  <c r="J50" i="194"/>
  <c r="J48" i="194"/>
  <c r="J45" i="194"/>
  <c r="J41" i="194"/>
  <c r="J37" i="194"/>
  <c r="J36" i="194"/>
  <c r="J35" i="194"/>
  <c r="J34" i="194"/>
  <c r="J33" i="194"/>
  <c r="J32" i="194"/>
  <c r="J30" i="194"/>
  <c r="J29" i="194"/>
  <c r="J28" i="194"/>
  <c r="J27" i="194"/>
  <c r="J26" i="194"/>
  <c r="J25" i="194"/>
  <c r="J23" i="194"/>
  <c r="J18" i="194"/>
  <c r="J17" i="194"/>
  <c r="J9" i="194"/>
  <c r="J7" i="194"/>
  <c r="J6" i="194"/>
  <c r="G47" i="190"/>
  <c r="G46" i="190"/>
  <c r="G45" i="190"/>
  <c r="G44" i="190"/>
  <c r="G43" i="190"/>
  <c r="G42" i="190"/>
  <c r="G41" i="190"/>
  <c r="G40" i="190"/>
  <c r="G39" i="190"/>
  <c r="G38" i="190"/>
  <c r="G37" i="190"/>
  <c r="G36" i="190"/>
  <c r="G35" i="190"/>
  <c r="G33" i="190"/>
  <c r="I47" i="190"/>
  <c r="I42" i="190"/>
  <c r="I39" i="190"/>
  <c r="I37" i="190"/>
  <c r="G31" i="190"/>
  <c r="G25" i="190"/>
  <c r="G23" i="190"/>
  <c r="G21" i="190"/>
  <c r="G19" i="190"/>
  <c r="G18" i="190"/>
  <c r="G17" i="190"/>
  <c r="G16" i="190"/>
  <c r="G15" i="190"/>
  <c r="G13" i="190"/>
  <c r="G11" i="190"/>
  <c r="G9" i="190"/>
  <c r="M27" i="196"/>
  <c r="K19" i="197" l="1"/>
  <c r="K33" i="197" s="1"/>
  <c r="L19" i="197"/>
  <c r="L33" i="197" s="1"/>
  <c r="L35" i="197" s="1"/>
  <c r="N19" i="197"/>
  <c r="N33" i="197" s="1"/>
  <c r="O19" i="197"/>
  <c r="O33" i="197" s="1"/>
  <c r="M17" i="197"/>
  <c r="M16" i="197"/>
  <c r="M15" i="197"/>
  <c r="M14" i="197"/>
  <c r="M13" i="197"/>
  <c r="M12" i="197"/>
  <c r="M11" i="197"/>
  <c r="M10" i="197"/>
  <c r="M9" i="197"/>
  <c r="M7" i="197"/>
  <c r="K18" i="196"/>
  <c r="L18" i="196"/>
  <c r="N18" i="196"/>
  <c r="O18" i="196"/>
  <c r="M15" i="196"/>
  <c r="M14" i="196"/>
  <c r="M13" i="196"/>
  <c r="M12" i="196"/>
  <c r="D27" i="196"/>
  <c r="E27" i="196"/>
  <c r="E28" i="196" s="1"/>
  <c r="E30" i="196" s="1"/>
  <c r="F20" i="196"/>
  <c r="D19" i="196"/>
  <c r="E19" i="196"/>
  <c r="F21" i="197"/>
  <c r="D20" i="197"/>
  <c r="D32" i="197" s="1"/>
  <c r="E20" i="197"/>
  <c r="E32" i="197" s="1"/>
  <c r="G20" i="197"/>
  <c r="H20" i="197"/>
  <c r="E19" i="197"/>
  <c r="F15" i="197"/>
  <c r="F14" i="197"/>
  <c r="F13" i="197"/>
  <c r="F12" i="197"/>
  <c r="F26" i="196"/>
  <c r="F25" i="196"/>
  <c r="F22" i="196"/>
  <c r="F21" i="196"/>
  <c r="F17" i="196"/>
  <c r="F16" i="196"/>
  <c r="F15" i="196"/>
  <c r="F14" i="196"/>
  <c r="F13" i="196"/>
  <c r="F12" i="196"/>
  <c r="F11" i="196"/>
  <c r="F8" i="196"/>
  <c r="F32" i="201"/>
  <c r="G32" i="201"/>
  <c r="H32" i="201"/>
  <c r="F28" i="201"/>
  <c r="G28" i="201"/>
  <c r="H28" i="201"/>
  <c r="F16" i="201"/>
  <c r="G16" i="201"/>
  <c r="H16" i="201"/>
  <c r="F8" i="201"/>
  <c r="G8" i="201"/>
  <c r="H8" i="201"/>
  <c r="F19" i="5"/>
  <c r="G19" i="5"/>
  <c r="I19" i="5"/>
  <c r="J19" i="5"/>
  <c r="E19" i="5"/>
  <c r="H29" i="5"/>
  <c r="H28" i="5"/>
  <c r="H25" i="5"/>
  <c r="H24" i="5"/>
  <c r="H23" i="5"/>
  <c r="H22" i="5"/>
  <c r="H21" i="5"/>
  <c r="H20" i="5"/>
  <c r="H18" i="5"/>
  <c r="H17" i="5"/>
  <c r="H19" i="5" s="1"/>
  <c r="H16" i="5"/>
  <c r="H15" i="5"/>
  <c r="H13" i="5"/>
  <c r="H12" i="5"/>
  <c r="H11" i="5"/>
  <c r="H10" i="5"/>
  <c r="H9" i="5"/>
  <c r="H8" i="5"/>
  <c r="H6" i="5"/>
  <c r="H5" i="5"/>
  <c r="I51" i="202"/>
  <c r="L51" i="202"/>
  <c r="M51" i="202"/>
  <c r="H52" i="202"/>
  <c r="F51" i="202"/>
  <c r="G51" i="202"/>
  <c r="H51" i="202"/>
  <c r="F49" i="202"/>
  <c r="G49" i="202"/>
  <c r="H49" i="202"/>
  <c r="F47" i="202"/>
  <c r="G47" i="202"/>
  <c r="G52" i="202" s="1"/>
  <c r="H47" i="202"/>
  <c r="L43" i="202"/>
  <c r="L53" i="202" s="1"/>
  <c r="L42" i="202"/>
  <c r="F42" i="202"/>
  <c r="G42" i="202"/>
  <c r="H42" i="202"/>
  <c r="F39" i="202"/>
  <c r="G39" i="202"/>
  <c r="H39" i="202"/>
  <c r="F37" i="202"/>
  <c r="G37" i="202"/>
  <c r="H37" i="202"/>
  <c r="F28" i="202"/>
  <c r="G28" i="202"/>
  <c r="F26" i="202"/>
  <c r="G26" i="202"/>
  <c r="H26" i="202"/>
  <c r="H28" i="202" s="1"/>
  <c r="F21" i="202"/>
  <c r="G21" i="202"/>
  <c r="H21" i="202"/>
  <c r="E21" i="202"/>
  <c r="Q19" i="202"/>
  <c r="F17" i="202"/>
  <c r="G17" i="202"/>
  <c r="H17" i="202"/>
  <c r="G12" i="202"/>
  <c r="G18" i="202" s="1"/>
  <c r="G43" i="202" s="1"/>
  <c r="H12" i="202"/>
  <c r="Q11" i="202"/>
  <c r="H12" i="41"/>
  <c r="H14" i="41"/>
  <c r="H49" i="41"/>
  <c r="H47" i="41"/>
  <c r="H45" i="41"/>
  <c r="H43" i="41"/>
  <c r="H40" i="41"/>
  <c r="H39" i="41"/>
  <c r="H37" i="41"/>
  <c r="H35" i="41"/>
  <c r="H34" i="41"/>
  <c r="H33" i="41"/>
  <c r="H32" i="41"/>
  <c r="H31" i="41"/>
  <c r="H30" i="41"/>
  <c r="H29" i="41"/>
  <c r="H28" i="41"/>
  <c r="H26" i="41"/>
  <c r="H24" i="41"/>
  <c r="H23" i="41"/>
  <c r="H22" i="41"/>
  <c r="H21" i="41"/>
  <c r="H19" i="41"/>
  <c r="H18" i="41"/>
  <c r="H15" i="41"/>
  <c r="H13" i="41"/>
  <c r="H10" i="41"/>
  <c r="H9" i="41"/>
  <c r="H8" i="41"/>
  <c r="H7" i="41"/>
  <c r="H6" i="41"/>
  <c r="H5" i="41"/>
  <c r="E11" i="41"/>
  <c r="J58" i="194"/>
  <c r="J49" i="194"/>
  <c r="J53" i="194"/>
  <c r="L50" i="194"/>
  <c r="L35" i="194"/>
  <c r="L37" i="194"/>
  <c r="L36" i="194"/>
  <c r="L34" i="194"/>
  <c r="L27" i="194"/>
  <c r="L31" i="194"/>
  <c r="L29" i="194"/>
  <c r="J22" i="194"/>
  <c r="L22" i="194"/>
  <c r="H55" i="194"/>
  <c r="H52" i="194"/>
  <c r="H47" i="194"/>
  <c r="H24" i="194"/>
  <c r="H21" i="194"/>
  <c r="H16" i="194"/>
  <c r="H13" i="194"/>
  <c r="I41" i="190"/>
  <c r="I20" i="190"/>
  <c r="I9" i="190"/>
  <c r="E6" i="190"/>
  <c r="H6" i="190"/>
  <c r="I6" i="190"/>
  <c r="E50" i="190"/>
  <c r="E34" i="190"/>
  <c r="E32" i="190"/>
  <c r="E30" i="190"/>
  <c r="E48" i="190" s="1"/>
  <c r="F29" i="201" l="1"/>
  <c r="F33" i="201" s="1"/>
  <c r="H29" i="201"/>
  <c r="H33" i="201" s="1"/>
  <c r="G29" i="201"/>
  <c r="G33" i="201" s="1"/>
  <c r="H18" i="202"/>
  <c r="H43" i="202" s="1"/>
  <c r="H53" i="202" s="1"/>
  <c r="G53" i="202"/>
  <c r="E52" i="190"/>
  <c r="E53" i="190" s="1"/>
  <c r="E33" i="197"/>
  <c r="E35" i="197" s="1"/>
  <c r="K52" i="194"/>
  <c r="H32" i="197"/>
  <c r="G32" i="197"/>
  <c r="H46" i="194"/>
  <c r="H59" i="194" s="1"/>
  <c r="H20" i="194"/>
  <c r="H8" i="194"/>
  <c r="F30" i="5" l="1"/>
  <c r="F26" i="5"/>
  <c r="F14" i="5"/>
  <c r="F7" i="5"/>
  <c r="F27" i="5" s="1"/>
  <c r="F31" i="5" s="1"/>
  <c r="F20" i="41"/>
  <c r="I20" i="41"/>
  <c r="J20" i="41"/>
  <c r="E20" i="41"/>
  <c r="H20" i="41" l="1"/>
  <c r="C24" i="197"/>
  <c r="F45" i="202"/>
  <c r="F52" i="202" s="1"/>
  <c r="Q27" i="202"/>
  <c r="C20" i="197" l="1"/>
  <c r="F24" i="197"/>
  <c r="F20" i="197" s="1"/>
  <c r="H13" i="198"/>
  <c r="I13" i="198"/>
  <c r="I14" i="198" s="1"/>
  <c r="H14" i="198" l="1"/>
  <c r="F32" i="197"/>
  <c r="L53" i="194"/>
  <c r="L52" i="194" s="1"/>
  <c r="L48" i="194"/>
  <c r="L47" i="194" s="1"/>
  <c r="G47" i="194"/>
  <c r="K24" i="194"/>
  <c r="L25" i="194"/>
  <c r="L28" i="194"/>
  <c r="K55" i="194"/>
  <c r="L55" i="194"/>
  <c r="K21" i="194"/>
  <c r="L21" i="194"/>
  <c r="K16" i="194"/>
  <c r="L16" i="194"/>
  <c r="K13" i="194"/>
  <c r="L13" i="194"/>
  <c r="H5" i="194"/>
  <c r="H44" i="194" s="1"/>
  <c r="H61" i="194" s="1"/>
  <c r="K5" i="194"/>
  <c r="L5" i="194"/>
  <c r="J47" i="194" l="1"/>
  <c r="L24" i="194"/>
  <c r="L20" i="194" s="1"/>
  <c r="L8" i="194"/>
  <c r="L46" i="194"/>
  <c r="L59" i="194" s="1"/>
  <c r="K46" i="194"/>
  <c r="K20" i="194"/>
  <c r="K8" i="194"/>
  <c r="I38" i="190"/>
  <c r="H50" i="190"/>
  <c r="I50" i="190"/>
  <c r="H34" i="190"/>
  <c r="H32" i="190"/>
  <c r="I32" i="190"/>
  <c r="H30" i="190"/>
  <c r="I30" i="190"/>
  <c r="H24" i="190"/>
  <c r="I24" i="190"/>
  <c r="I26" i="190" s="1"/>
  <c r="H10" i="190"/>
  <c r="I10" i="190"/>
  <c r="D10" i="190"/>
  <c r="H20" i="190"/>
  <c r="H12" i="190"/>
  <c r="I12" i="190"/>
  <c r="H8" i="190"/>
  <c r="I8" i="190"/>
  <c r="N27" i="196"/>
  <c r="O27" i="196"/>
  <c r="G19" i="196"/>
  <c r="H19" i="196"/>
  <c r="F12" i="202"/>
  <c r="F18" i="202" s="1"/>
  <c r="F43" i="202" s="1"/>
  <c r="F53" i="202" s="1"/>
  <c r="E12" i="202"/>
  <c r="G10" i="190" l="1"/>
  <c r="H26" i="190"/>
  <c r="K59" i="194"/>
  <c r="L44" i="194"/>
  <c r="L61" i="194" s="1"/>
  <c r="H48" i="190"/>
  <c r="H52" i="190" s="1"/>
  <c r="H36" i="197"/>
  <c r="H37" i="197"/>
  <c r="H33" i="197"/>
  <c r="H35" i="197" s="1"/>
  <c r="G36" i="197"/>
  <c r="G37" i="197"/>
  <c r="G33" i="197"/>
  <c r="G35" i="197" s="1"/>
  <c r="O28" i="196"/>
  <c r="O30" i="196" s="1"/>
  <c r="H27" i="196"/>
  <c r="H28" i="196" s="1"/>
  <c r="G27" i="196"/>
  <c r="H22" i="190"/>
  <c r="I22" i="190"/>
  <c r="I27" i="190" s="1"/>
  <c r="N35" i="197"/>
  <c r="N28" i="196"/>
  <c r="N30" i="196" s="1"/>
  <c r="O35" i="197"/>
  <c r="I34" i="190"/>
  <c r="I48" i="190" s="1"/>
  <c r="I52" i="190" s="1"/>
  <c r="K44" i="194"/>
  <c r="G18" i="196"/>
  <c r="G31" i="196" s="1"/>
  <c r="H18" i="196"/>
  <c r="I21" i="201"/>
  <c r="H30" i="196" l="1"/>
  <c r="G28" i="196"/>
  <c r="G30" i="196" s="1"/>
  <c r="I53" i="190"/>
  <c r="H31" i="196"/>
  <c r="K61" i="194"/>
  <c r="H27" i="190"/>
  <c r="H53" i="190" s="1"/>
  <c r="H32" i="196"/>
  <c r="G32" i="196"/>
  <c r="I16" i="201"/>
  <c r="I29" i="201" s="1"/>
  <c r="I33" i="201" s="1"/>
  <c r="M16" i="201"/>
  <c r="I30" i="5"/>
  <c r="J30" i="5"/>
  <c r="I26" i="5"/>
  <c r="J26" i="5"/>
  <c r="I14" i="5"/>
  <c r="J14" i="5"/>
  <c r="I7" i="5"/>
  <c r="J7" i="5"/>
  <c r="I37" i="202"/>
  <c r="M37" i="202"/>
  <c r="I26" i="202"/>
  <c r="M26" i="202"/>
  <c r="M28" i="202" s="1"/>
  <c r="I21" i="202"/>
  <c r="M21" i="202"/>
  <c r="I17" i="202"/>
  <c r="I18" i="202" s="1"/>
  <c r="M17" i="202"/>
  <c r="I27" i="5" l="1"/>
  <c r="J27" i="5"/>
  <c r="J31" i="5" s="1"/>
  <c r="M18" i="202"/>
  <c r="Q20" i="202"/>
  <c r="Q21" i="202" s="1"/>
  <c r="I31" i="5" l="1"/>
  <c r="J16" i="41"/>
  <c r="I16" i="41"/>
  <c r="J11" i="41"/>
  <c r="I11" i="41"/>
  <c r="H11" i="41" s="1"/>
  <c r="I50" i="41" l="1"/>
  <c r="J50" i="41"/>
  <c r="I48" i="41"/>
  <c r="J48" i="41"/>
  <c r="I46" i="41"/>
  <c r="J46" i="41"/>
  <c r="I44" i="41"/>
  <c r="J44" i="41"/>
  <c r="I41" i="41"/>
  <c r="J41" i="41"/>
  <c r="I38" i="41"/>
  <c r="J38" i="41"/>
  <c r="I36" i="41"/>
  <c r="J36" i="41"/>
  <c r="I25" i="41"/>
  <c r="J25" i="41"/>
  <c r="J27" i="41" s="1"/>
  <c r="I17" i="41"/>
  <c r="I27" i="41" l="1"/>
  <c r="I42" i="41" s="1"/>
  <c r="J51" i="41"/>
  <c r="I51" i="41"/>
  <c r="J17" i="41"/>
  <c r="J42" i="41" s="1"/>
  <c r="D12" i="198"/>
  <c r="G12" i="198" s="1"/>
  <c r="D11" i="198"/>
  <c r="G11" i="198" s="1"/>
  <c r="D10" i="198"/>
  <c r="G10" i="198" s="1"/>
  <c r="D9" i="198"/>
  <c r="G9" i="198" s="1"/>
  <c r="J52" i="41" l="1"/>
  <c r="D13" i="198"/>
  <c r="E13" i="198"/>
  <c r="E14" i="198" s="1"/>
  <c r="I52" i="41"/>
  <c r="C13" i="195"/>
  <c r="G55" i="194"/>
  <c r="J55" i="194" s="1"/>
  <c r="G52" i="194"/>
  <c r="G31" i="194"/>
  <c r="J31" i="194" s="1"/>
  <c r="G21" i="194"/>
  <c r="J21" i="194" s="1"/>
  <c r="G16" i="194"/>
  <c r="J16" i="194" s="1"/>
  <c r="G14" i="194"/>
  <c r="J14" i="194" s="1"/>
  <c r="G11" i="194"/>
  <c r="J11" i="194" s="1"/>
  <c r="G5" i="194"/>
  <c r="J5" i="194" s="1"/>
  <c r="D14" i="198" l="1"/>
  <c r="G14" i="198" s="1"/>
  <c r="G13" i="198"/>
  <c r="G46" i="194"/>
  <c r="J46" i="194" s="1"/>
  <c r="J52" i="194"/>
  <c r="G13" i="194"/>
  <c r="G24" i="194"/>
  <c r="G59" i="194"/>
  <c r="J59" i="194" s="1"/>
  <c r="D14" i="190"/>
  <c r="G14" i="190" s="1"/>
  <c r="D34" i="190"/>
  <c r="G34" i="190" s="1"/>
  <c r="D50" i="190"/>
  <c r="G50" i="190" s="1"/>
  <c r="D32" i="190"/>
  <c r="G32" i="190" s="1"/>
  <c r="D30" i="190"/>
  <c r="D24" i="190"/>
  <c r="D20" i="190"/>
  <c r="G20" i="190" s="1"/>
  <c r="D8" i="190"/>
  <c r="D6" i="190"/>
  <c r="D26" i="190" l="1"/>
  <c r="G26" i="190" s="1"/>
  <c r="G24" i="190"/>
  <c r="G20" i="194"/>
  <c r="J20" i="194" s="1"/>
  <c r="J24" i="194"/>
  <c r="G8" i="194"/>
  <c r="J8" i="194" s="1"/>
  <c r="J13" i="194"/>
  <c r="D12" i="190"/>
  <c r="D48" i="190"/>
  <c r="E20" i="201"/>
  <c r="Q20" i="201" s="1"/>
  <c r="E26" i="201"/>
  <c r="Q26" i="201" s="1"/>
  <c r="E12" i="201"/>
  <c r="Q12" i="201" s="1"/>
  <c r="M32" i="201"/>
  <c r="M28" i="201"/>
  <c r="Q13" i="201"/>
  <c r="M8" i="201"/>
  <c r="Q50" i="202"/>
  <c r="Q51" i="202" s="1"/>
  <c r="Q48" i="202"/>
  <c r="Q49" i="202" s="1"/>
  <c r="Q46" i="202"/>
  <c r="Q47" i="202" s="1"/>
  <c r="Q44" i="202"/>
  <c r="Q45" i="202" s="1"/>
  <c r="Q41" i="202"/>
  <c r="Q40" i="202"/>
  <c r="Q38" i="202"/>
  <c r="Q39" i="202" s="1"/>
  <c r="Q30" i="202"/>
  <c r="Q31" i="202"/>
  <c r="Q32" i="202"/>
  <c r="Q33" i="202"/>
  <c r="Q34" i="202"/>
  <c r="Q35" i="202"/>
  <c r="Q36" i="202"/>
  <c r="Q29" i="202"/>
  <c r="Q24" i="202"/>
  <c r="Q25" i="202"/>
  <c r="Q22" i="202"/>
  <c r="Q16" i="202"/>
  <c r="Q15" i="202"/>
  <c r="Q14" i="202"/>
  <c r="Q13" i="202"/>
  <c r="Q7" i="202"/>
  <c r="Q8" i="202"/>
  <c r="Q9" i="202"/>
  <c r="Q6" i="202"/>
  <c r="I49" i="202"/>
  <c r="I47" i="202"/>
  <c r="M47" i="202"/>
  <c r="I45" i="202"/>
  <c r="M45" i="202"/>
  <c r="I42" i="202"/>
  <c r="I43" i="202" s="1"/>
  <c r="M42" i="202"/>
  <c r="E51" i="202"/>
  <c r="E49" i="202"/>
  <c r="E47" i="202"/>
  <c r="E45" i="202"/>
  <c r="E42" i="202"/>
  <c r="E39" i="202"/>
  <c r="E37" i="202"/>
  <c r="E26" i="202"/>
  <c r="E28" i="202" s="1"/>
  <c r="E17" i="202"/>
  <c r="Q12" i="202"/>
  <c r="E36" i="41"/>
  <c r="H36" i="41" s="1"/>
  <c r="D52" i="190" l="1"/>
  <c r="G48" i="190"/>
  <c r="G52" i="190" s="1"/>
  <c r="D22" i="190"/>
  <c r="G12" i="190"/>
  <c r="G44" i="194"/>
  <c r="E52" i="202"/>
  <c r="Q26" i="202"/>
  <c r="Q28" i="202" s="1"/>
  <c r="M52" i="202"/>
  <c r="I52" i="202"/>
  <c r="I53" i="202" s="1"/>
  <c r="M43" i="202"/>
  <c r="Q42" i="202"/>
  <c r="Q17" i="202"/>
  <c r="Q18" i="202" s="1"/>
  <c r="Q37" i="202"/>
  <c r="Q52" i="202"/>
  <c r="E18" i="202"/>
  <c r="E43" i="202" s="1"/>
  <c r="M53" i="202" l="1"/>
  <c r="D27" i="190"/>
  <c r="G22" i="190"/>
  <c r="G61" i="194"/>
  <c r="J61" i="194" s="1"/>
  <c r="J44" i="194"/>
  <c r="Q43" i="202"/>
  <c r="Q53" i="202" s="1"/>
  <c r="E53" i="202"/>
  <c r="D30" i="5"/>
  <c r="D29" i="5"/>
  <c r="D28" i="5"/>
  <c r="D27" i="5"/>
  <c r="D26" i="5"/>
  <c r="D25" i="5"/>
  <c r="D24" i="5"/>
  <c r="D23" i="5"/>
  <c r="D22" i="5"/>
  <c r="D21" i="5"/>
  <c r="D20" i="5"/>
  <c r="D18" i="5"/>
  <c r="D17" i="5"/>
  <c r="D16" i="5"/>
  <c r="D15" i="5"/>
  <c r="D9" i="5"/>
  <c r="D14" i="5"/>
  <c r="D13" i="5"/>
  <c r="D12" i="5"/>
  <c r="D11" i="5"/>
  <c r="D10" i="5"/>
  <c r="D8" i="5"/>
  <c r="D7" i="5"/>
  <c r="D6" i="5"/>
  <c r="D5" i="5"/>
  <c r="J18" i="197"/>
  <c r="C17" i="197"/>
  <c r="F17" i="197" s="1"/>
  <c r="C16" i="197"/>
  <c r="F16" i="197" s="1"/>
  <c r="F19" i="197" s="1"/>
  <c r="C6" i="197"/>
  <c r="J25" i="196"/>
  <c r="J26" i="196"/>
  <c r="K26" i="196" s="1"/>
  <c r="K27" i="196" s="1"/>
  <c r="K28" i="196" s="1"/>
  <c r="K30" i="196" s="1"/>
  <c r="J14" i="196"/>
  <c r="J9" i="196"/>
  <c r="M9" i="196" s="1"/>
  <c r="J7" i="196"/>
  <c r="M7" i="196" s="1"/>
  <c r="C24" i="196"/>
  <c r="F24" i="196" s="1"/>
  <c r="C23" i="196"/>
  <c r="F23" i="196" s="1"/>
  <c r="F19" i="196" s="1"/>
  <c r="F27" i="196" s="1"/>
  <c r="G27" i="190" l="1"/>
  <c r="G53" i="190" s="1"/>
  <c r="D53" i="190"/>
  <c r="F36" i="197"/>
  <c r="F37" i="197"/>
  <c r="F33" i="197"/>
  <c r="F35" i="197" s="1"/>
  <c r="L26" i="196"/>
  <c r="L27" i="196" s="1"/>
  <c r="L28" i="196" s="1"/>
  <c r="L30" i="196" s="1"/>
  <c r="D19" i="197"/>
  <c r="C19" i="197"/>
  <c r="J27" i="196"/>
  <c r="C19" i="196"/>
  <c r="C27" i="196" s="1"/>
  <c r="D33" i="197" l="1"/>
  <c r="D35" i="197" s="1"/>
  <c r="J8" i="197"/>
  <c r="M8" i="197" s="1"/>
  <c r="J6" i="197"/>
  <c r="M6" i="197" s="1"/>
  <c r="M19" i="197" s="1"/>
  <c r="M33" i="197" s="1"/>
  <c r="M35" i="197" s="1"/>
  <c r="D36" i="197" l="1"/>
  <c r="J19" i="197"/>
  <c r="C36" i="197" s="1"/>
  <c r="E36" i="197" l="1"/>
  <c r="J37" i="197"/>
  <c r="J33" i="197"/>
  <c r="J35" i="197" s="1"/>
  <c r="J36" i="197"/>
  <c r="D37" i="197"/>
  <c r="C37" i="197"/>
  <c r="E37" i="197" l="1"/>
  <c r="K35" i="197"/>
  <c r="C27" i="197"/>
  <c r="C26" i="197" s="1"/>
  <c r="C32" i="197" l="1"/>
  <c r="C33" i="197" s="1"/>
  <c r="C35" i="197" s="1"/>
  <c r="J11" i="196"/>
  <c r="M11" i="196" s="1"/>
  <c r="E14" i="5"/>
  <c r="J8" i="196" l="1"/>
  <c r="M8" i="196" s="1"/>
  <c r="H14" i="5"/>
  <c r="E22" i="201"/>
  <c r="Q22" i="201" s="1"/>
  <c r="E31" i="201"/>
  <c r="Q31" i="201" s="1"/>
  <c r="E30" i="201"/>
  <c r="Q30" i="201" s="1"/>
  <c r="E27" i="201"/>
  <c r="Q27" i="201" s="1"/>
  <c r="E25" i="201"/>
  <c r="Q25" i="201" s="1"/>
  <c r="E24" i="201"/>
  <c r="Q24" i="201" s="1"/>
  <c r="E23" i="201"/>
  <c r="Q23" i="201" s="1"/>
  <c r="E19" i="201"/>
  <c r="Q19" i="201" s="1"/>
  <c r="E18" i="201"/>
  <c r="Q18" i="201" s="1"/>
  <c r="E17" i="201"/>
  <c r="Q17" i="201" s="1"/>
  <c r="E15" i="201"/>
  <c r="Q15" i="201" s="1"/>
  <c r="E14" i="201"/>
  <c r="Q14" i="201" s="1"/>
  <c r="E11" i="201"/>
  <c r="Q11" i="201" s="1"/>
  <c r="E10" i="201"/>
  <c r="Q10" i="201" s="1"/>
  <c r="E9" i="201"/>
  <c r="Q9" i="201" s="1"/>
  <c r="E7" i="201"/>
  <c r="Q7" i="201" s="1"/>
  <c r="E6" i="201"/>
  <c r="Q6" i="201" s="1"/>
  <c r="E7" i="5"/>
  <c r="E30" i="5"/>
  <c r="H30" i="5" s="1"/>
  <c r="J6" i="196" l="1"/>
  <c r="M6" i="196" s="1"/>
  <c r="H7" i="5"/>
  <c r="Q32" i="201"/>
  <c r="Q16" i="201"/>
  <c r="Q28" i="201"/>
  <c r="Q8" i="201"/>
  <c r="E32" i="201"/>
  <c r="E28" i="201"/>
  <c r="M21" i="201"/>
  <c r="M29" i="201" s="1"/>
  <c r="M33" i="201" s="1"/>
  <c r="E21" i="201"/>
  <c r="E16" i="201"/>
  <c r="E8" i="201"/>
  <c r="E29" i="201" l="1"/>
  <c r="E33" i="201" s="1"/>
  <c r="Q21" i="201" l="1"/>
  <c r="Q29" i="201" s="1"/>
  <c r="Q33" i="201" l="1"/>
  <c r="E41" i="41" l="1"/>
  <c r="H41" i="41" s="1"/>
  <c r="J10" i="196" l="1"/>
  <c r="M10" i="196" s="1"/>
  <c r="M18" i="196" s="1"/>
  <c r="M28" i="196" s="1"/>
  <c r="M30" i="196" s="1"/>
  <c r="E31" i="196" l="1"/>
  <c r="J18" i="196"/>
  <c r="J32" i="196" s="1"/>
  <c r="E32" i="196" l="1"/>
  <c r="J28" i="196"/>
  <c r="J30" i="196" s="1"/>
  <c r="E44" i="41"/>
  <c r="H44" i="41" s="1"/>
  <c r="E46" i="41" l="1"/>
  <c r="H46" i="41" s="1"/>
  <c r="E48" i="41"/>
  <c r="H48" i="41" s="1"/>
  <c r="E50" i="41"/>
  <c r="H50" i="41" s="1"/>
  <c r="C9" i="196"/>
  <c r="F9" i="196" s="1"/>
  <c r="E16" i="41"/>
  <c r="E26" i="5"/>
  <c r="E25" i="41"/>
  <c r="C7" i="196"/>
  <c r="F7" i="196" s="1"/>
  <c r="E38" i="41"/>
  <c r="H38" i="41" s="1"/>
  <c r="E27" i="5" l="1"/>
  <c r="H26" i="5"/>
  <c r="E31" i="5"/>
  <c r="H31" i="5" s="1"/>
  <c r="H27" i="5"/>
  <c r="E27" i="41"/>
  <c r="H25" i="41"/>
  <c r="C10" i="196"/>
  <c r="F10" i="196" s="1"/>
  <c r="H16" i="41"/>
  <c r="D18" i="196"/>
  <c r="E51" i="41"/>
  <c r="H51" i="41" s="1"/>
  <c r="E17" i="41"/>
  <c r="D28" i="196" l="1"/>
  <c r="D30" i="196" s="1"/>
  <c r="D31" i="196"/>
  <c r="D32" i="196"/>
  <c r="E42" i="41"/>
  <c r="H42" i="41" s="1"/>
  <c r="H17" i="41"/>
  <c r="C6" i="196"/>
  <c r="F6" i="196" s="1"/>
  <c r="H27" i="41"/>
  <c r="E52" i="41" l="1"/>
  <c r="C18" i="196"/>
  <c r="F18" i="196" s="1"/>
  <c r="F32" i="196" l="1"/>
  <c r="F31" i="196"/>
  <c r="F28" i="196"/>
  <c r="F30" i="196" s="1"/>
  <c r="C28" i="196"/>
  <c r="C30" i="196" s="1"/>
  <c r="C32" i="196"/>
  <c r="C31" i="196"/>
  <c r="J31" i="196"/>
</calcChain>
</file>

<file path=xl/sharedStrings.xml><?xml version="1.0" encoding="utf-8"?>
<sst xmlns="http://schemas.openxmlformats.org/spreadsheetml/2006/main" count="853" uniqueCount="427">
  <si>
    <t>Működési célú támogatásértékű kiadások</t>
  </si>
  <si>
    <t>Személyi juttatások</t>
  </si>
  <si>
    <t>Felújítási kiadások</t>
  </si>
  <si>
    <t>Ingatlanok felújítása</t>
  </si>
  <si>
    <t>Épületek felújítása</t>
  </si>
  <si>
    <t>Egyéb építmények felújítása</t>
  </si>
  <si>
    <t>Felhalmozási célú támogatásértékű kiadások</t>
  </si>
  <si>
    <t>Háztartásoknak</t>
  </si>
  <si>
    <t>Működési célú pénzeszközátadások összesen</t>
  </si>
  <si>
    <t>Épületek vásárlása, létesítése</t>
  </si>
  <si>
    <t>Egyéb építmények vásárlása, létesítése</t>
  </si>
  <si>
    <t>Költségvetési kiadások összesen:</t>
  </si>
  <si>
    <t>Közhatalmi bevételek</t>
  </si>
  <si>
    <t>Kölcsön nyújtása</t>
  </si>
  <si>
    <t>Kölcsön törlesztése</t>
  </si>
  <si>
    <t>Szellemi termékek vásárlása</t>
  </si>
  <si>
    <t>Vagyoni értékű jogok vásárlása</t>
  </si>
  <si>
    <t>2. Működési célú támogatásértékű kiadások</t>
  </si>
  <si>
    <t>TÁMOGATÁSÉRTÉKŰ KIADÁSOK ÖSSZESEN</t>
  </si>
  <si>
    <t>1. Működési célú pénzeszközátadások</t>
  </si>
  <si>
    <t>I. TÁMOGATÁSÉRTÉKŰ KIADÁSOK</t>
  </si>
  <si>
    <t>II. PÉNZESZKÖZÁTADÁSOK ÁLLAMHÁZTARTÁSON KÍVÜLRE</t>
  </si>
  <si>
    <t>11.</t>
  </si>
  <si>
    <t>12.</t>
  </si>
  <si>
    <t>14.</t>
  </si>
  <si>
    <t>17.</t>
  </si>
  <si>
    <t>Beruházási kiadások összesen</t>
  </si>
  <si>
    <t>13.</t>
  </si>
  <si>
    <t>Járművek vásárlása</t>
  </si>
  <si>
    <t>Beruházási kiadások</t>
  </si>
  <si>
    <t>Helyi önkormányzatoknak és költségvetési szerveinek</t>
  </si>
  <si>
    <t>Felújítási kiadások összesen</t>
  </si>
  <si>
    <t xml:space="preserve">Dologi kiadások </t>
  </si>
  <si>
    <t>Immateriális javak vásárlása</t>
  </si>
  <si>
    <t>Fők.
szla</t>
  </si>
  <si>
    <t>Megnevezés</t>
  </si>
  <si>
    <t>1.</t>
  </si>
  <si>
    <t>2.</t>
  </si>
  <si>
    <t>3.</t>
  </si>
  <si>
    <t>4.</t>
  </si>
  <si>
    <t>5.</t>
  </si>
  <si>
    <t>Önkormányzat támogatásértékű kiadások, pénzeszközátadások</t>
  </si>
  <si>
    <t>Földterületek vásárlása</t>
  </si>
  <si>
    <t>Telkek vásárlása</t>
  </si>
  <si>
    <t>6.</t>
  </si>
  <si>
    <t>Felhalmozási kiadások</t>
  </si>
  <si>
    <t>7.</t>
  </si>
  <si>
    <t>8.</t>
  </si>
  <si>
    <t>9.</t>
  </si>
  <si>
    <t>10.</t>
  </si>
  <si>
    <t>19.</t>
  </si>
  <si>
    <t>15.</t>
  </si>
  <si>
    <t>16.</t>
  </si>
  <si>
    <t>18.</t>
  </si>
  <si>
    <t>Vállalkozásoknak</t>
  </si>
  <si>
    <t>Fogorvosi ellátás</t>
  </si>
  <si>
    <t>Szalai Gyula Alapítvány</t>
  </si>
  <si>
    <t>Társulásnak és költségvetési szerveinek</t>
  </si>
  <si>
    <t>Irányítás (felügyelet) alá tartozó költségvetési szervnek folyósított támogatás</t>
  </si>
  <si>
    <t>K84</t>
  </si>
  <si>
    <t>K86</t>
  </si>
  <si>
    <t>K915</t>
  </si>
  <si>
    <t>Civil szervezeteknek</t>
  </si>
  <si>
    <t>20.</t>
  </si>
  <si>
    <t>K62</t>
  </si>
  <si>
    <t>K64</t>
  </si>
  <si>
    <t>K71</t>
  </si>
  <si>
    <t>Sor-szám</t>
  </si>
  <si>
    <t>Szakfeladat megnevezés</t>
  </si>
  <si>
    <t>Önkormányzat</t>
  </si>
  <si>
    <t>Zöldterület-kezelés</t>
  </si>
  <si>
    <t>Önkormányzati jogalkotás</t>
  </si>
  <si>
    <t>Város és községgazdálkodási szolg.</t>
  </si>
  <si>
    <t>Foglalk. hosszabb idejű közfoglalkoztatása</t>
  </si>
  <si>
    <t>Mindösszesen</t>
  </si>
  <si>
    <t>Sor-
szám</t>
  </si>
  <si>
    <t>Bevételek</t>
  </si>
  <si>
    <t>Kiadások</t>
  </si>
  <si>
    <t>Munkaadókat terhelő járulékok és szociális hozzájárulási adó</t>
  </si>
  <si>
    <t>Átengedett központi adók</t>
  </si>
  <si>
    <t>Ellátottak pénzbeli juttatásai</t>
  </si>
  <si>
    <t>Átvett pénzeszközök államháztartáson belülről</t>
  </si>
  <si>
    <t>Egyéb működési célú kiadások</t>
  </si>
  <si>
    <t xml:space="preserve">    - 5.-ből: EU támogatás</t>
  </si>
  <si>
    <t>Átvett pénzeszközök államháztartáson  kívülről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</si>
  <si>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</si>
  <si>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</si>
  <si>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</si>
  <si>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</si>
  <si>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</si>
  <si>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</si>
  <si>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 xml:space="preserve">   Költségvetési maradvány igénybevétele </t>
  </si>
  <si>
    <t>Likviditási hitelek törlesztése</t>
  </si>
  <si>
    <t xml:space="preserve">   Vállalkozási maradvány igénybevétele </t>
  </si>
  <si>
    <t>Rövid lejáratú hitelek törlesztése</t>
  </si>
  <si>
    <t>Hosszú lejáratú hitelek törlesztése</t>
  </si>
  <si>
    <t>Kölcsön törlesztése, Betétek elhelyezése</t>
  </si>
  <si>
    <t xml:space="preserve">Hiány külső finanszírozásának bevételei (20+…+21) </t>
  </si>
  <si>
    <t>Forgatási célú belföldi, külföldi értékpapírok vásárlása</t>
  </si>
  <si>
    <t xml:space="preserve">   Hitelek, kölcsönök felvétele</t>
  </si>
  <si>
    <t>Egyéb belső finanszírozás kiadásai (intézményfin.)</t>
  </si>
  <si>
    <t>21.</t>
  </si>
  <si>
    <t xml:space="preserve">   Egyéb külső finanszírozási bevételek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</si>
  <si>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</si>
  <si>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</si>
  <si>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</si>
  <si>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</si>
  <si>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</si>
  <si>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</si>
  <si>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</si>
  <si>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</si>
  <si>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</si>
  <si>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</si>
  <si>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</si>
  <si>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</si>
  <si>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</si>
  <si>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</si>
  <si>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</si>
  <si>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</si>
  <si>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</si>
  <si>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</si>
  <si>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Tárgyi eszközök és immateriális  javak értékesítése</t>
  </si>
  <si>
    <t>Beruházások</t>
  </si>
  <si>
    <t xml:space="preserve">    Önkormányzatok sajátos felhalmozási bevételei</t>
  </si>
  <si>
    <t>Egyéb önkormányzati vagyon üzemeltetéséből, koncep.szárm.bevétel</t>
  </si>
  <si>
    <t>Felújítások</t>
  </si>
  <si>
    <t>Pénzügyi befektetésekből származó bevétel</t>
  </si>
  <si>
    <t>Egyéb felhalmozási kiadások</t>
  </si>
  <si>
    <t>Címzett és céltámogatások</t>
  </si>
  <si>
    <t>Vis maior támogatás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</si>
  <si>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</si>
  <si>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</si>
  <si>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</si>
  <si>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- Lakástámogatás</t>
  </si>
  <si>
    <t>Átvett pénzeszköz államháztartáson belülről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</si>
  <si>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</si>
  <si>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</si>
  <si>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</si>
  <si>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</si>
  <si>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</si>
  <si>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</si>
  <si>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Felhalmozási kamatbevetétel Áh kivülről</t>
  </si>
  <si>
    <t>Költségvetési bevételek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</si>
  <si>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</si>
  <si>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</si>
  <si>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</si>
  <si>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</si>
  <si>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</si>
  <si>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</si>
  <si>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</si>
  <si>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</si>
  <si>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</si>
  <si>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</si>
  <si>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</si>
  <si>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</si>
  <si>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</si>
  <si>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</si>
  <si>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</si>
  <si>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</si>
  <si>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</si>
  <si>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</si>
  <si>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</si>
  <si>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</si>
  <si>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</si>
  <si>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>29.</t>
  </si>
  <si>
    <t>BEVÉTEL ÖSSZESEN (27+28)</t>
  </si>
  <si>
    <t>KIADÁSOK ÖSSZESEN (27+28)</t>
  </si>
  <si>
    <t>30.</t>
  </si>
  <si>
    <t>31.</t>
  </si>
  <si>
    <t>Közművelődés-közösségi és társad.részvétel fejl.</t>
  </si>
  <si>
    <t xml:space="preserve"> Működési bevételek</t>
  </si>
  <si>
    <t>Támogatások (Önkorm.műk.támog.), kiegészítések (működési célú)</t>
  </si>
  <si>
    <t>Áht-n belüli megelőlegezések visszafizetése</t>
  </si>
  <si>
    <t>K63</t>
  </si>
  <si>
    <t xml:space="preserve">   Értékpapírok ért.bevétel </t>
  </si>
  <si>
    <t xml:space="preserve">  forintban !</t>
  </si>
  <si>
    <t>Kamatbevételek és más nyereségjellegű bevételek</t>
  </si>
  <si>
    <t>Felhalmozási bevételek</t>
  </si>
  <si>
    <t>Költségvetési bevételek</t>
  </si>
  <si>
    <t>Értékesítési és forgalmi adók (iparűzési)</t>
  </si>
  <si>
    <t>Egyéb áruhaszn. és szolg. adók (idegenforg. adó)</t>
  </si>
  <si>
    <t>Egyéb közhatalmi bevételek (talajterh., bírság, pótlék)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</si>
  <si>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</si>
  <si>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</si>
  <si>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</si>
  <si>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</si>
  <si>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Önkormányzatok működési támogatásai</t>
  </si>
  <si>
    <t>Vagyoni tipusú adók (kommunális adó)</t>
  </si>
  <si>
    <t>Gépjárműadók</t>
  </si>
  <si>
    <t>Közhatalmi bevételek összesen</t>
  </si>
  <si>
    <t>Működési bevételek összesen: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</si>
  <si>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</si>
  <si>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</si>
  <si>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</si>
  <si>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</si>
  <si>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</si>
  <si>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</si>
  <si>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működési bevételek</t>
  </si>
  <si>
    <t>Ingatlanok értékesítése</t>
  </si>
  <si>
    <t>Felhalmozási célú visszatérítendő támogatások, kölcsönök visszatérülése államháztartáson kívülről</t>
  </si>
  <si>
    <t>Müködési c. támogatásértékű bevétel tb. pénzügyi alapjaitól</t>
  </si>
  <si>
    <t>Müködési c. támogatásértékű bevétel elkülönített állami pénza.</t>
  </si>
  <si>
    <t xml:space="preserve">Müködési c. támog.bevétel helyi önk.-tól és költségv.sz. </t>
  </si>
  <si>
    <t>Egyéb működési célú támogatások bevételei áht-n belülről</t>
  </si>
  <si>
    <t>Működési célú támogatások áht-n belülről összesen:</t>
  </si>
  <si>
    <t>Belföldi értékpapírok bevételei</t>
  </si>
  <si>
    <t>Forgatási célú belföldi értékpapírok beváltása, értékesítése</t>
  </si>
  <si>
    <t>Maradvány igénybevétele</t>
  </si>
  <si>
    <t>Finanszírozási bevételek</t>
  </si>
  <si>
    <t>Bevételek összesen:</t>
  </si>
  <si>
    <t>Személyi juttatások összesen:</t>
  </si>
  <si>
    <t>Foglalkoztatottak személyi juttatásai</t>
  </si>
  <si>
    <t>Külső személyi juttatások</t>
  </si>
  <si>
    <t>Munkaadókat terhelő járulékok és szoc. ho</t>
  </si>
  <si>
    <t>Készletbeszerzés</t>
  </si>
  <si>
    <t xml:space="preserve">Kommunikációs szolgáltatások </t>
  </si>
  <si>
    <t>Szolgáltatási kiadások</t>
  </si>
  <si>
    <t>Kiküldetések, reklám- és propagandakiadások</t>
  </si>
  <si>
    <t>Különféle befizetések és egyéb dologi kiadások</t>
  </si>
  <si>
    <t>Dologi kiadások</t>
  </si>
  <si>
    <t>Elvonások és befizetések</t>
  </si>
  <si>
    <t>Egyéb működési célú támogatások államháztartáson belülre</t>
  </si>
  <si>
    <t>Egyéb működési célú támogatások államháztartáson kívülre</t>
  </si>
  <si>
    <t xml:space="preserve">Egyéb működési célú kiadások </t>
  </si>
  <si>
    <t xml:space="preserve">Beruházások </t>
  </si>
  <si>
    <t>Egyéb felhalmozási célú támogatások államháztartáson belülre</t>
  </si>
  <si>
    <t xml:space="preserve">Felhalmozási célú visszatérítendő támogatások, kölcsönök nyújtása államháztartáson kívülre </t>
  </si>
  <si>
    <t>Egyéb felhalmozási célú támogatások államháztartáson kívülre</t>
  </si>
  <si>
    <t>Egyéb felhalmozási célú kiadások</t>
  </si>
  <si>
    <t>Költségvetési kiadások</t>
  </si>
  <si>
    <t>Finanszírozási kiadások</t>
  </si>
  <si>
    <t>Kiadások összesen:</t>
  </si>
  <si>
    <t>Államháztartáson belüli megelőlegezések visszafizetése</t>
  </si>
  <si>
    <t>Központi, irányító szervi támogatások folyósítása</t>
  </si>
  <si>
    <t>Termékek és szolgáltatások adói (1:3)</t>
  </si>
  <si>
    <t>Előző év költségvetési maradványának igénybevétele</t>
  </si>
  <si>
    <t>Elvonások és befízetések</t>
  </si>
  <si>
    <t>Belföldi finanszírozás bevételei</t>
  </si>
  <si>
    <t>Hosszú lejáratú hitelek, kölcsönök felvétele pénzügyi vállalkozástól</t>
  </si>
  <si>
    <t>Hitel-, kölcsönfelvétel pénzügyi vállalkozástól</t>
  </si>
  <si>
    <t>Központi költségvetési szerv előirányzatoknak</t>
  </si>
  <si>
    <t>Központi, irányító szervi támogatás</t>
  </si>
  <si>
    <t>Rovat</t>
  </si>
  <si>
    <t>Kötelező feladatok</t>
  </si>
  <si>
    <t>Önként vállalt feladatok</t>
  </si>
  <si>
    <t>B111</t>
  </si>
  <si>
    <t>B112</t>
  </si>
  <si>
    <t>B113</t>
  </si>
  <si>
    <t>B114</t>
  </si>
  <si>
    <t>B11</t>
  </si>
  <si>
    <t>B16</t>
  </si>
  <si>
    <t>B1</t>
  </si>
  <si>
    <t>B34</t>
  </si>
  <si>
    <t>B351</t>
  </si>
  <si>
    <t>B354</t>
  </si>
  <si>
    <t>B355</t>
  </si>
  <si>
    <t>B35</t>
  </si>
  <si>
    <t>B36</t>
  </si>
  <si>
    <t>B3</t>
  </si>
  <si>
    <t>B402</t>
  </si>
  <si>
    <t>B403</t>
  </si>
  <si>
    <t>B404</t>
  </si>
  <si>
    <t>B405</t>
  </si>
  <si>
    <t>B406</t>
  </si>
  <si>
    <t>B407</t>
  </si>
  <si>
    <t>B408</t>
  </si>
  <si>
    <t>B411</t>
  </si>
  <si>
    <t>B4</t>
  </si>
  <si>
    <t>B74</t>
  </si>
  <si>
    <t>B1-B7</t>
  </si>
  <si>
    <t>B8111</t>
  </si>
  <si>
    <t>B811</t>
  </si>
  <si>
    <t>B8121</t>
  </si>
  <si>
    <t>B81</t>
  </si>
  <si>
    <t>B8</t>
  </si>
  <si>
    <t>K11</t>
  </si>
  <si>
    <t>K12</t>
  </si>
  <si>
    <t>K1</t>
  </si>
  <si>
    <t>K2</t>
  </si>
  <si>
    <t>K31</t>
  </si>
  <si>
    <t>K32</t>
  </si>
  <si>
    <t>K33</t>
  </si>
  <si>
    <t>Közvetített szolgáltatások</t>
  </si>
  <si>
    <t>K335</t>
  </si>
  <si>
    <t>K34</t>
  </si>
  <si>
    <t>K35</t>
  </si>
  <si>
    <t>K3</t>
  </si>
  <si>
    <t>K4</t>
  </si>
  <si>
    <t>K502</t>
  </si>
  <si>
    <t>K506</t>
  </si>
  <si>
    <t>K512</t>
  </si>
  <si>
    <t>K513</t>
  </si>
  <si>
    <t>K6</t>
  </si>
  <si>
    <t>K7</t>
  </si>
  <si>
    <t>K8</t>
  </si>
  <si>
    <t>K1-K8</t>
  </si>
  <si>
    <t>K914</t>
  </si>
  <si>
    <t>K9</t>
  </si>
  <si>
    <t>FELHALMOZÁSI KIADÁSOK ÖSSZESEN</t>
  </si>
  <si>
    <t>Eredeti előirányzat 2020 év</t>
  </si>
  <si>
    <t>Felhalmozási célú átvett pénzeszközök Áh-n belül és kívül</t>
  </si>
  <si>
    <t>2020. évi engedélyezett létszám</t>
  </si>
  <si>
    <t>Adatok Ft-ban</t>
  </si>
  <si>
    <t>I. Működési célú bevételek és kiadások mérlege</t>
  </si>
  <si>
    <t>II. Felhalmozási célú bevételek és kiadások mérlege</t>
  </si>
  <si>
    <t>Arrabona EGTC 2020. évi tagdíj</t>
  </si>
  <si>
    <t>Informatikai eszközök beszerzése</t>
  </si>
  <si>
    <t>Egyéb tárgyi eszköz beszerzése, létesítése</t>
  </si>
  <si>
    <t>Informatikai eszk.és egyéb t.eszk.össuesen</t>
  </si>
  <si>
    <t>K63-K64</t>
  </si>
  <si>
    <t>Beruházás célú előzetesen felszámitott általános forgalmi adó</t>
  </si>
  <si>
    <t>K61</t>
  </si>
  <si>
    <t>Ingatlanok beszerzése létesítése összesen</t>
  </si>
  <si>
    <t>K67</t>
  </si>
  <si>
    <t>Informatikai eszközök felújítása</t>
  </si>
  <si>
    <t>K72</t>
  </si>
  <si>
    <t>Egyéb tárgyi eszközök felújítása</t>
  </si>
  <si>
    <t>Felújítási célú előzetesem felsz.ÁFA</t>
  </si>
  <si>
    <t>K74</t>
  </si>
  <si>
    <t>B25</t>
  </si>
  <si>
    <t>B8131</t>
  </si>
  <si>
    <t>B813</t>
  </si>
  <si>
    <t>K5</t>
  </si>
  <si>
    <t>B52</t>
  </si>
  <si>
    <t>K89</t>
  </si>
  <si>
    <t>Általános tartalékok</t>
  </si>
  <si>
    <t>Börcs</t>
  </si>
  <si>
    <t>Eredeti előirányzat        2020. év</t>
  </si>
  <si>
    <t>Ft-ban</t>
  </si>
  <si>
    <t>Eredeti előirányzat</t>
  </si>
  <si>
    <t>BURSA HUNGARICA  (Wekerle Sándor Alapkezelő)</t>
  </si>
  <si>
    <t>Abda  Önkorm.-nak 2019. évi költsgv.különb. Családseg.-Gyermj.</t>
  </si>
  <si>
    <t>Jegyzői hatáskörű segélyek Abdának</t>
  </si>
  <si>
    <t>5. Felhalmozási célú támogatásértékű kiadások</t>
  </si>
  <si>
    <t>37.</t>
  </si>
  <si>
    <t>ÖTE</t>
  </si>
  <si>
    <t>Orvosi ügyelet támogatása</t>
  </si>
  <si>
    <t>Tájház és Falumúzeum egyesület  Börcs</t>
  </si>
  <si>
    <t>Országos Mentőszolgálat Alapítvány</t>
  </si>
  <si>
    <t>Rákóczi Alapítvány</t>
  </si>
  <si>
    <t>Mozgáskorlátozottak Egyesülete</t>
  </si>
  <si>
    <t>Sportegyesület</t>
  </si>
  <si>
    <t>Vöröskereszt</t>
  </si>
  <si>
    <t>Felhalmozási célú pénzeszközátadások összesen</t>
  </si>
  <si>
    <t>Pénzeszközátadások államháztartáson kívülre összesen</t>
  </si>
  <si>
    <t>I.+II. KIADÁSOK ÖSSZESEN</t>
  </si>
  <si>
    <t>Börcsi Egészségmegörző és Rend. Egyesület</t>
  </si>
  <si>
    <t>Sportkör Lovas egyesület (Fogathajtó verseny)</t>
  </si>
  <si>
    <t>Börcsi Faluszépítő és Kulturális Egyesület</t>
  </si>
  <si>
    <t>Abda  Önkorm.-nak 2020. évi költsgv.különb. Családseg.-Gyermj.</t>
  </si>
  <si>
    <t>Közös Hivatalnak (munkaruha, szem.jutt. 2020. év)</t>
  </si>
  <si>
    <t>Abda Önk.-nak átadott (Közös Hivatal (szem.jutt. 2019. év))</t>
  </si>
  <si>
    <t>Abda Önkorm.-nak 2020. évi Óvodaműködtetésre</t>
  </si>
  <si>
    <t xml:space="preserve">Első lakáshoz jutók támogatása </t>
  </si>
  <si>
    <t>Pannon Kincse Leader 2020. évi tagdíj</t>
  </si>
  <si>
    <t>Tűzoltószertár</t>
  </si>
  <si>
    <t>Ady utcai rendezvényparkoló</t>
  </si>
  <si>
    <t>Trianoni emlékmű</t>
  </si>
  <si>
    <t>Utcabútorok, játszótéri elemek</t>
  </si>
  <si>
    <t>Iskolai játszóudvar kialakítása</t>
  </si>
  <si>
    <t>Védőnői szolg. (szemeteskuka, mikrohullámú sütő, vízforraló)</t>
  </si>
  <si>
    <t>Vontatott lombseprű</t>
  </si>
  <si>
    <t>Óvodaudvarra játékok</t>
  </si>
  <si>
    <t>Görgős székszállító kocsi</t>
  </si>
  <si>
    <t>Hordozható hangosító</t>
  </si>
  <si>
    <t>Ravatalozó felújítása</t>
  </si>
  <si>
    <t>Sportöltöző napelem kiépítés</t>
  </si>
  <si>
    <t>BÖRCS KÖZSÉG ÖNKORMÁNYZATA 2020. ÉVI KÖLTSÉGVETÉSE</t>
  </si>
  <si>
    <t>Helyi adók</t>
  </si>
  <si>
    <t>Díjak, pótlékok, települési adók</t>
  </si>
  <si>
    <t>Imm. Javak, ingatlanok, egyéb tárgyi eszköz értékesítés</t>
  </si>
  <si>
    <t>Saját bevételek</t>
  </si>
  <si>
    <t>Adósságot keletkeztető éves kötelezetts. váll. felső határa 50%</t>
  </si>
  <si>
    <t>Ei.mód I.</t>
  </si>
  <si>
    <t xml:space="preserve">Mód.ei. </t>
  </si>
  <si>
    <t>Teljesítés</t>
  </si>
  <si>
    <t xml:space="preserve">Elszámolásból származó bevételek </t>
  </si>
  <si>
    <t>B116</t>
  </si>
  <si>
    <t>Felhalmozási célú támogatások áhn- belülről összesen:</t>
  </si>
  <si>
    <t>B2</t>
  </si>
  <si>
    <t>Egyéb felhalmozási célú támogatások bevételei áhn-belülről</t>
  </si>
  <si>
    <t>Egyéb felhalmozási célú átvett pénzeszköz - EU</t>
  </si>
  <si>
    <t>B75</t>
  </si>
  <si>
    <t>B7</t>
  </si>
  <si>
    <t xml:space="preserve">Ei.mód I. </t>
  </si>
  <si>
    <t>Mód.ei</t>
  </si>
  <si>
    <t xml:space="preserve">   3.-ból:  - Felhalmozási célú pe. átadás államháztartáson belül- ködképző hozzájárulás</t>
  </si>
  <si>
    <t>Mód.ei.</t>
  </si>
  <si>
    <t xml:space="preserve">Elkülönített állami pénzalapnak </t>
  </si>
  <si>
    <t>Közfoglalk. Bértámogatás fel nem használt összeg</t>
  </si>
  <si>
    <t>Abda Község Önk. - ködképzőgép hozzájárulás</t>
  </si>
  <si>
    <t>Ei. Mód I</t>
  </si>
  <si>
    <t xml:space="preserve">Mód.ei </t>
  </si>
  <si>
    <t>Munkavégzéshez szükséges gépek (200 e alatti)- permetező</t>
  </si>
  <si>
    <t>Szabadság u. útburkolat</t>
  </si>
  <si>
    <t>B812</t>
  </si>
  <si>
    <t>Ei.mód II.</t>
  </si>
  <si>
    <t>Működési célú költségvetési támogatások és kiegészítő támogatások</t>
  </si>
  <si>
    <t>B115</t>
  </si>
  <si>
    <t>Felhalmozási célú önkormányzati támogatások</t>
  </si>
  <si>
    <t>B21</t>
  </si>
  <si>
    <t>Abda Önkorm.-nak 2019. évi óvoda elszámolás</t>
  </si>
  <si>
    <t>Számítógép tartozékok (200 e alatti)- monitor, memória, TP link, külső merevlemez, szerver, belső merevlemez</t>
  </si>
  <si>
    <t>Fűnyírótraktor Cub Cadet, ikerfelni +abroncs traktorra</t>
  </si>
  <si>
    <t xml:space="preserve">Kávégép (69.990) kerékpárok (935.432), zászlórúd(161.700), ventilátor , lázmérő </t>
  </si>
  <si>
    <t>TOP- sörpad, asztal, tárgyalószék, pavilom, hangfal</t>
  </si>
  <si>
    <t>MFP- fűkasza</t>
  </si>
  <si>
    <t xml:space="preserve">Villanybojler sportpálya, hűtő- óvoda </t>
  </si>
  <si>
    <t>Ktgvetés készítés óvoda felújításhoz, felújítás tervezés</t>
  </si>
  <si>
    <t>Belterületi út - Önkormányzati fejlesztések 2020</t>
  </si>
  <si>
    <t>BÖRCS KÖZSÉG ÖNKORMÁNYZATA   2020. IV.N.ÉVI EI.MÓD ÉS TELJESÍTÉS</t>
  </si>
  <si>
    <t>Ei.mód III.</t>
  </si>
  <si>
    <t>Államháztartáson belüli megelőlegezések</t>
  </si>
  <si>
    <t>B814</t>
  </si>
  <si>
    <t>BÖRCS KÖZSÉG ÖNKORMÁNYZATA   2020.IV.N.ÉVI EI.MÓD ÉS TELJESÍTÉS</t>
  </si>
  <si>
    <t>BÖRCS KÖZSÉG ÖNKORMÁNYZATA   2020.  IV.N.ÉVI EI.MÓD ÉS TELJESÍTÉS</t>
  </si>
  <si>
    <t>Egyéb  támogatások (belterületi utak, járdák BM)</t>
  </si>
  <si>
    <t>BÖRCS KÖZSÉG ÖNKORMÁNYZATA  2020. IV.N.ÉVI EI.MÓD ÉS TELJESÍTÉS</t>
  </si>
  <si>
    <t>Ágaprító</t>
  </si>
  <si>
    <t>Fliegl háromoldalra billenő pótkocsi</t>
  </si>
  <si>
    <t>Pergola - Tűzoltószertár</t>
  </si>
  <si>
    <t>Régi tűzoltószertár- oltott mész, nyílászárók, csavar,purhab</t>
  </si>
  <si>
    <t>BÖRCS KÖZSÉG ÖNKORMÁNYZATA 2020. IV.N.ÉVI EI.MÓD ÉS TELJESÍTÉS</t>
  </si>
  <si>
    <t>Államig. feladatok</t>
  </si>
  <si>
    <t>Müködési c. támogatások bevételei áh-n belülről fejezeti kezelésű előirányzatok EU-s programokra és azok hazai társfinanszírozása (Cselekvő köz.)</t>
  </si>
  <si>
    <t>Tartalék</t>
  </si>
  <si>
    <t>Eredeti 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</si>
</sst>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F_t_-;\-* #,##0\ _F_t_-;_-* &quot;-&quot;\ _F_t_-;_-@_-"/>
    <numFmt numFmtId="165" formatCode="_-* #,##0.00\ _F_t_-;\-* #,##0.00\ _F_t_-;_-* &quot;-&quot;??\ _F_t_-;_-@_-"/>
    <numFmt numFmtId="166" formatCode="_-* #,##0.0\ _F_t_-;\-* #,##0.0\ _F_t_-;_-* &quot;-&quot;??\ _F_t_-;_-@_-"/>
    <numFmt numFmtId="167" formatCode="#,###"/>
  </numFmts>
  <fonts count="6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0"/>
      <color rgb="FFFF0000"/>
      <name val="Arial CE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sz val="8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rgb="FFFF0000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"/>
      <family val="1"/>
      <charset val="238"/>
    </font>
    <font>
      <i/>
      <sz val="8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125">
        <fgColor indexed="9"/>
        <bgColor indexed="22"/>
      </patternFill>
    </fill>
    <fill>
      <patternFill patternType="gray0625"/>
    </fill>
    <fill>
      <patternFill patternType="gray0625">
        <bgColor indexed="22"/>
      </patternFill>
    </fill>
    <fill>
      <patternFill patternType="lightGray">
        <bgColor indexed="22"/>
      </patternFill>
    </fill>
    <fill>
      <patternFill patternType="solid">
        <fgColor theme="0" tint="-0.24994659260841701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" fillId="17" borderId="7" applyNumberFormat="0" applyFont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8" fillId="4" borderId="0" applyNumberFormat="0" applyBorder="0" applyAlignment="0" applyProtection="0"/>
    <xf numFmtId="0" fontId="19" fillId="22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3" borderId="0" applyNumberFormat="0" applyBorder="0" applyAlignment="0" applyProtection="0"/>
    <xf numFmtId="0" fontId="23" fillId="23" borderId="0" applyNumberFormat="0" applyBorder="0" applyAlignment="0" applyProtection="0"/>
    <xf numFmtId="0" fontId="24" fillId="22" borderId="1" applyNumberFormat="0" applyAlignment="0" applyProtection="0"/>
  </cellStyleXfs>
  <cellXfs count="69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3" fontId="3" fillId="0" borderId="11" xfId="0" applyNumberFormat="1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2" fillId="1" borderId="12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/>
    </xf>
    <xf numFmtId="0" fontId="2" fillId="1" borderId="10" xfId="0" applyFont="1" applyFill="1" applyBorder="1" applyAlignment="1">
      <alignment vertical="center" wrapText="1"/>
    </xf>
    <xf numFmtId="0" fontId="2" fillId="1" borderId="11" xfId="0" applyFont="1" applyFill="1" applyBorder="1" applyAlignment="1">
      <alignment vertical="center" wrapText="1"/>
    </xf>
    <xf numFmtId="0" fontId="2" fillId="1" borderId="10" xfId="0" applyFont="1" applyFill="1" applyBorder="1" applyAlignment="1">
      <alignment horizontal="left" vertical="top"/>
    </xf>
    <xf numFmtId="0" fontId="2" fillId="1" borderId="11" xfId="0" applyFont="1" applyFill="1" applyBorder="1" applyAlignment="1">
      <alignment horizontal="left" vertical="center" wrapText="1"/>
    </xf>
    <xf numFmtId="0" fontId="2" fillId="1" borderId="10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1" borderId="11" xfId="0" applyFont="1" applyFill="1" applyBorder="1" applyAlignment="1">
      <alignment horizontal="center" vertical="center"/>
    </xf>
    <xf numFmtId="0" fontId="2" fillId="24" borderId="23" xfId="0" applyFont="1" applyFill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2" fillId="24" borderId="11" xfId="0" applyFont="1" applyFill="1" applyBorder="1" applyAlignment="1">
      <alignment horizontal="center" vertical="center"/>
    </xf>
    <xf numFmtId="0" fontId="2" fillId="24" borderId="25" xfId="0" applyFont="1" applyFill="1" applyBorder="1" applyAlignment="1">
      <alignment horizontal="center" vertical="center"/>
    </xf>
    <xf numFmtId="0" fontId="2" fillId="1" borderId="18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1" borderId="26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24" borderId="27" xfId="0" applyFont="1" applyFill="1" applyBorder="1" applyAlignment="1">
      <alignment horizontal="center" vertical="center"/>
    </xf>
    <xf numFmtId="0" fontId="2" fillId="24" borderId="19" xfId="0" applyFont="1" applyFill="1" applyBorder="1" applyAlignment="1">
      <alignment horizontal="center" vertical="center"/>
    </xf>
    <xf numFmtId="0" fontId="25" fillId="0" borderId="11" xfId="0" applyFont="1" applyBorder="1"/>
    <xf numFmtId="0" fontId="2" fillId="0" borderId="19" xfId="0" applyFont="1" applyBorder="1" applyAlignment="1">
      <alignment horizontal="center" vertical="center"/>
    </xf>
    <xf numFmtId="0" fontId="25" fillId="0" borderId="11" xfId="0" applyFont="1" applyBorder="1" applyAlignment="1">
      <alignment wrapText="1"/>
    </xf>
    <xf numFmtId="0" fontId="3" fillId="0" borderId="11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top"/>
    </xf>
    <xf numFmtId="0" fontId="2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2" fillId="0" borderId="34" xfId="0" applyFont="1" applyBorder="1" applyAlignment="1">
      <alignment horizontal="center" vertical="top"/>
    </xf>
    <xf numFmtId="0" fontId="2" fillId="25" borderId="10" xfId="0" applyFont="1" applyFill="1" applyBorder="1" applyAlignment="1">
      <alignment vertical="center" wrapText="1"/>
    </xf>
    <xf numFmtId="0" fontId="2" fillId="25" borderId="11" xfId="0" applyFont="1" applyFill="1" applyBorder="1" applyAlignment="1">
      <alignment horizontal="left" vertical="center" wrapText="1"/>
    </xf>
    <xf numFmtId="0" fontId="2" fillId="25" borderId="11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5" fontId="2" fillId="24" borderId="36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/>
    </xf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0" fontId="3" fillId="0" borderId="30" xfId="0" applyFont="1" applyBorder="1" applyAlignment="1">
      <alignment vertical="center"/>
    </xf>
    <xf numFmtId="166" fontId="2" fillId="0" borderId="41" xfId="0" applyNumberFormat="1" applyFont="1" applyBorder="1" applyAlignment="1">
      <alignment horizontal="right" vertical="center" wrapText="1"/>
    </xf>
    <xf numFmtId="0" fontId="2" fillId="0" borderId="18" xfId="0" applyFont="1" applyBorder="1" applyAlignment="1">
      <alignment wrapText="1"/>
    </xf>
    <xf numFmtId="167" fontId="27" fillId="0" borderId="0" xfId="0" applyNumberFormat="1" applyFont="1" applyAlignment="1">
      <alignment horizontal="centerContinuous" vertical="center" wrapText="1"/>
    </xf>
    <xf numFmtId="167" fontId="29" fillId="0" borderId="0" xfId="0" applyNumberFormat="1" applyFont="1" applyAlignment="1">
      <alignment horizontal="right" vertical="center"/>
    </xf>
    <xf numFmtId="167" fontId="31" fillId="0" borderId="28" xfId="0" applyNumberFormat="1" applyFont="1" applyBorder="1" applyAlignment="1">
      <alignment horizontal="centerContinuous" vertical="center" wrapText="1"/>
    </xf>
    <xf numFmtId="167" fontId="31" fillId="0" borderId="25" xfId="0" applyNumberFormat="1" applyFont="1" applyBorder="1" applyAlignment="1">
      <alignment horizontal="centerContinuous" vertical="center" wrapText="1"/>
    </xf>
    <xf numFmtId="167" fontId="31" fillId="0" borderId="28" xfId="0" applyNumberFormat="1" applyFont="1" applyBorder="1" applyAlignment="1">
      <alignment horizontal="center" vertical="center" wrapText="1"/>
    </xf>
    <xf numFmtId="167" fontId="31" fillId="0" borderId="25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 wrapText="1"/>
    </xf>
    <xf numFmtId="167" fontId="33" fillId="0" borderId="36" xfId="0" applyNumberFormat="1" applyFont="1" applyBorder="1" applyAlignment="1">
      <alignment horizontal="center" vertical="center" wrapText="1"/>
    </xf>
    <xf numFmtId="167" fontId="33" fillId="0" borderId="28" xfId="0" applyNumberFormat="1" applyFont="1" applyBorder="1" applyAlignment="1">
      <alignment horizontal="center" vertical="center" wrapText="1"/>
    </xf>
    <xf numFmtId="167" fontId="33" fillId="0" borderId="25" xfId="0" applyNumberFormat="1" applyFont="1" applyBorder="1" applyAlignment="1">
      <alignment horizontal="center" vertical="center" wrapText="1"/>
    </xf>
    <xf numFmtId="167" fontId="33" fillId="0" borderId="15" xfId="0" applyNumberFormat="1" applyFont="1" applyBorder="1" applyAlignment="1">
      <alignment horizontal="center" vertical="center" wrapText="1"/>
    </xf>
    <xf numFmtId="167" fontId="33" fillId="0" borderId="0" xfId="0" applyNumberFormat="1" applyFont="1" applyAlignment="1">
      <alignment horizontal="center" vertical="center" wrapText="1"/>
    </xf>
    <xf numFmtId="167" fontId="34" fillId="0" borderId="38" xfId="0" applyNumberFormat="1" applyFont="1" applyBorder="1" applyAlignment="1">
      <alignment horizontal="left" vertical="center" wrapText="1" indent="1"/>
    </xf>
    <xf numFmtId="167" fontId="34" fillId="0" borderId="10" xfId="0" applyNumberFormat="1" applyFont="1" applyBorder="1" applyAlignment="1">
      <alignment horizontal="left" vertical="center" wrapText="1" indent="1"/>
    </xf>
    <xf numFmtId="167" fontId="34" fillId="0" borderId="11" xfId="0" applyNumberFormat="1" applyFont="1" applyBorder="1" applyAlignment="1" applyProtection="1">
      <alignment horizontal="right" vertical="center" wrapText="1" indent="1"/>
      <protection locked="0"/>
    </xf>
    <xf numFmtId="167" fontId="34" fillId="0" borderId="24" xfId="0" applyNumberFormat="1" applyFont="1" applyBorder="1" applyAlignment="1">
      <alignment horizontal="left" vertical="center" wrapText="1" indent="1"/>
    </xf>
    <xf numFmtId="167" fontId="34" fillId="0" borderId="10" xfId="0" applyNumberFormat="1" applyFont="1" applyBorder="1" applyAlignment="1" applyProtection="1">
      <alignment horizontal="left" vertical="center" wrapText="1" indent="1"/>
      <protection locked="0"/>
    </xf>
    <xf numFmtId="167" fontId="35" fillId="0" borderId="0" xfId="0" applyNumberFormat="1" applyFont="1" applyAlignment="1">
      <alignment horizontal="left" vertical="center" wrapText="1" indent="1"/>
    </xf>
    <xf numFmtId="167" fontId="36" fillId="0" borderId="36" xfId="0" applyNumberFormat="1" applyFont="1" applyBorder="1" applyAlignment="1">
      <alignment horizontal="left" vertical="center" wrapText="1" indent="1"/>
    </xf>
    <xf numFmtId="167" fontId="33" fillId="0" borderId="28" xfId="0" applyNumberFormat="1" applyFont="1" applyBorder="1" applyAlignment="1">
      <alignment horizontal="left" vertical="center" wrapText="1" indent="1"/>
    </xf>
    <xf numFmtId="167" fontId="33" fillId="0" borderId="25" xfId="0" applyNumberFormat="1" applyFont="1" applyBorder="1" applyAlignment="1">
      <alignment horizontal="right" vertical="center" wrapText="1" indent="1"/>
    </xf>
    <xf numFmtId="167" fontId="33" fillId="0" borderId="15" xfId="0" applyNumberFormat="1" applyFont="1" applyBorder="1" applyAlignment="1">
      <alignment horizontal="right" vertical="center" wrapText="1" indent="1"/>
    </xf>
    <xf numFmtId="167" fontId="37" fillId="0" borderId="40" xfId="0" applyNumberFormat="1" applyFont="1" applyBorder="1" applyAlignment="1">
      <alignment horizontal="left" vertical="center" wrapText="1" indent="1"/>
    </xf>
    <xf numFmtId="167" fontId="35" fillId="0" borderId="47" xfId="0" applyNumberFormat="1" applyFont="1" applyBorder="1" applyAlignment="1">
      <alignment horizontal="left" vertical="center" wrapText="1" indent="1"/>
    </xf>
    <xf numFmtId="167" fontId="35" fillId="0" borderId="10" xfId="0" applyNumberFormat="1" applyFont="1" applyBorder="1" applyAlignment="1">
      <alignment horizontal="left" vertical="center" wrapText="1" indent="1"/>
    </xf>
    <xf numFmtId="167" fontId="37" fillId="0" borderId="41" xfId="0" applyNumberFormat="1" applyFont="1" applyBorder="1" applyAlignment="1">
      <alignment horizontal="left" vertical="center" wrapText="1" indent="1"/>
    </xf>
    <xf numFmtId="167" fontId="35" fillId="0" borderId="11" xfId="0" applyNumberFormat="1" applyFont="1" applyBorder="1" applyAlignment="1" applyProtection="1">
      <alignment horizontal="right" vertical="center" wrapText="1" indent="1"/>
      <protection locked="0"/>
    </xf>
    <xf numFmtId="167" fontId="35" fillId="0" borderId="12" xfId="0" applyNumberFormat="1" applyFont="1" applyBorder="1" applyAlignment="1" applyProtection="1">
      <alignment horizontal="right" vertical="center" wrapText="1" indent="1"/>
      <protection locked="0"/>
    </xf>
    <xf numFmtId="167" fontId="38" fillId="0" borderId="11" xfId="0" applyNumberFormat="1" applyFont="1" applyBorder="1" applyAlignment="1">
      <alignment horizontal="right" vertical="center" wrapText="1" indent="1"/>
    </xf>
    <xf numFmtId="167" fontId="30" fillId="0" borderId="28" xfId="0" applyNumberFormat="1" applyFont="1" applyBorder="1" applyAlignment="1">
      <alignment horizontal="left" vertical="center" wrapText="1" indent="1"/>
    </xf>
    <xf numFmtId="167" fontId="33" fillId="0" borderId="15" xfId="0" applyNumberFormat="1" applyFont="1" applyBorder="1" applyAlignment="1" applyProtection="1">
      <alignment horizontal="right" vertical="center" wrapText="1" indent="1"/>
      <protection locked="0"/>
    </xf>
    <xf numFmtId="167" fontId="36" fillId="0" borderId="28" xfId="0" applyNumberFormat="1" applyFont="1" applyBorder="1" applyAlignment="1">
      <alignment horizontal="left" vertical="center" wrapText="1" indent="1"/>
    </xf>
    <xf numFmtId="167" fontId="36" fillId="0" borderId="49" xfId="0" applyNumberFormat="1" applyFont="1" applyBorder="1" applyAlignment="1">
      <alignment horizontal="right" vertical="center" wrapText="1" indent="1"/>
    </xf>
    <xf numFmtId="167" fontId="34" fillId="0" borderId="10" xfId="0" quotePrefix="1" applyNumberFormat="1" applyFont="1" applyBorder="1" applyAlignment="1">
      <alignment horizontal="left" vertical="center" wrapText="1" indent="6"/>
    </xf>
    <xf numFmtId="167" fontId="35" fillId="0" borderId="10" xfId="0" quotePrefix="1" applyNumberFormat="1" applyFont="1" applyBorder="1" applyAlignment="1">
      <alignment horizontal="left" vertical="center" wrapText="1" indent="6"/>
    </xf>
    <xf numFmtId="167" fontId="34" fillId="0" borderId="10" xfId="0" quotePrefix="1" applyNumberFormat="1" applyFont="1" applyBorder="1" applyAlignment="1">
      <alignment horizontal="left" vertical="center" wrapText="1" indent="3"/>
    </xf>
    <xf numFmtId="167" fontId="34" fillId="0" borderId="47" xfId="0" applyNumberFormat="1" applyFont="1" applyBorder="1" applyAlignment="1">
      <alignment horizontal="left" vertical="center" wrapText="1" indent="1"/>
    </xf>
    <xf numFmtId="167" fontId="37" fillId="0" borderId="50" xfId="0" applyNumberFormat="1" applyFont="1" applyBorder="1" applyAlignment="1">
      <alignment horizontal="left" vertical="center" wrapText="1" indent="1"/>
    </xf>
    <xf numFmtId="167" fontId="38" fillId="0" borderId="47" xfId="0" applyNumberFormat="1" applyFont="1" applyBorder="1" applyAlignment="1">
      <alignment horizontal="left" vertical="center" wrapText="1" indent="1"/>
    </xf>
    <xf numFmtId="167" fontId="38" fillId="0" borderId="17" xfId="0" applyNumberFormat="1" applyFont="1" applyBorder="1" applyAlignment="1">
      <alignment horizontal="right" vertical="center" wrapText="1" indent="1"/>
    </xf>
    <xf numFmtId="167" fontId="35" fillId="0" borderId="44" xfId="0" applyNumberFormat="1" applyFont="1" applyBorder="1" applyAlignment="1" applyProtection="1">
      <alignment horizontal="right" vertical="center" wrapText="1" indent="1"/>
      <protection locked="0"/>
    </xf>
    <xf numFmtId="167" fontId="35" fillId="0" borderId="10" xfId="0" applyNumberFormat="1" applyFont="1" applyBorder="1" applyAlignment="1">
      <alignment horizontal="left" vertical="center" wrapText="1" indent="2"/>
    </xf>
    <xf numFmtId="167" fontId="35" fillId="0" borderId="11" xfId="0" applyNumberFormat="1" applyFont="1" applyBorder="1" applyAlignment="1">
      <alignment horizontal="left" vertical="center" wrapText="1" indent="2"/>
    </xf>
    <xf numFmtId="167" fontId="38" fillId="0" borderId="11" xfId="0" applyNumberFormat="1" applyFont="1" applyBorder="1" applyAlignment="1">
      <alignment horizontal="left" vertical="center" wrapText="1" indent="1"/>
    </xf>
    <xf numFmtId="167" fontId="35" fillId="0" borderId="38" xfId="0" applyNumberFormat="1" applyFont="1" applyBorder="1" applyAlignment="1">
      <alignment horizontal="left" vertical="center" wrapText="1" indent="1"/>
    </xf>
    <xf numFmtId="167" fontId="35" fillId="0" borderId="38" xfId="0" applyNumberFormat="1" applyFont="1" applyBorder="1" applyAlignment="1" applyProtection="1">
      <alignment horizontal="left" vertical="center" wrapText="1" indent="1"/>
      <protection locked="0"/>
    </xf>
    <xf numFmtId="167" fontId="34" fillId="0" borderId="38" xfId="0" applyNumberFormat="1" applyFont="1" applyBorder="1" applyAlignment="1" applyProtection="1">
      <alignment horizontal="left" vertical="center" wrapText="1" indent="1"/>
      <protection locked="0"/>
    </xf>
    <xf numFmtId="167" fontId="34" fillId="0" borderId="38" xfId="0" applyNumberFormat="1" applyFont="1" applyBorder="1" applyAlignment="1">
      <alignment horizontal="left" vertical="center" wrapText="1" indent="2"/>
    </xf>
    <xf numFmtId="167" fontId="34" fillId="0" borderId="45" xfId="0" applyNumberFormat="1" applyFont="1" applyBorder="1" applyAlignment="1">
      <alignment horizontal="left" vertical="center" wrapText="1" indent="2"/>
    </xf>
    <xf numFmtId="0" fontId="42" fillId="0" borderId="0" xfId="0" applyFont="1"/>
    <xf numFmtId="0" fontId="4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0" fillId="0" borderId="11" xfId="0" applyFont="1" applyBorder="1" applyAlignment="1">
      <alignment horizontal="center" vertical="top" wrapText="1"/>
    </xf>
    <xf numFmtId="0" fontId="40" fillId="0" borderId="11" xfId="0" applyFont="1" applyBorder="1" applyAlignment="1">
      <alignment horizontal="left" vertical="top" wrapText="1"/>
    </xf>
    <xf numFmtId="3" fontId="40" fillId="0" borderId="11" xfId="0" applyNumberFormat="1" applyFont="1" applyBorder="1" applyAlignment="1">
      <alignment horizontal="right" vertical="top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top"/>
    </xf>
    <xf numFmtId="0" fontId="44" fillId="0" borderId="11" xfId="0" applyFont="1" applyBorder="1" applyAlignment="1">
      <alignment horizontal="center" vertical="top" wrapText="1"/>
    </xf>
    <xf numFmtId="0" fontId="0" fillId="0" borderId="11" xfId="0" applyBorder="1"/>
    <xf numFmtId="0" fontId="43" fillId="0" borderId="11" xfId="0" applyFont="1" applyBorder="1"/>
    <xf numFmtId="3" fontId="39" fillId="24" borderId="11" xfId="0" applyNumberFormat="1" applyFont="1" applyFill="1" applyBorder="1" applyAlignment="1">
      <alignment horizontal="center" vertical="center" wrapText="1"/>
    </xf>
    <xf numFmtId="3" fontId="42" fillId="28" borderId="11" xfId="0" applyNumberFormat="1" applyFont="1" applyFill="1" applyBorder="1" applyAlignment="1">
      <alignment horizontal="right"/>
    </xf>
    <xf numFmtId="0" fontId="46" fillId="0" borderId="0" xfId="0" applyFont="1"/>
    <xf numFmtId="0" fontId="43" fillId="0" borderId="1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167" fontId="34" fillId="0" borderId="17" xfId="0" applyNumberFormat="1" applyFont="1" applyBorder="1" applyAlignment="1" applyProtection="1">
      <alignment horizontal="right" vertical="center" wrapText="1" indent="1"/>
      <protection locked="0"/>
    </xf>
    <xf numFmtId="167" fontId="1" fillId="0" borderId="0" xfId="0" applyNumberFormat="1" applyFont="1" applyAlignment="1">
      <alignment vertical="center" wrapText="1"/>
    </xf>
    <xf numFmtId="167" fontId="43" fillId="0" borderId="0" xfId="0" applyNumberFormat="1" applyFont="1" applyAlignment="1">
      <alignment horizontal="centerContinuous" vertical="center"/>
    </xf>
    <xf numFmtId="167" fontId="43" fillId="0" borderId="0" xfId="0" applyNumberFormat="1" applyFont="1" applyAlignment="1">
      <alignment vertical="center" wrapText="1"/>
    </xf>
    <xf numFmtId="167" fontId="43" fillId="0" borderId="0" xfId="0" applyNumberFormat="1" applyFont="1" applyAlignment="1">
      <alignment horizontal="center" vertical="center" wrapText="1"/>
    </xf>
    <xf numFmtId="167" fontId="43" fillId="0" borderId="50" xfId="0" applyNumberFormat="1" applyFont="1" applyBorder="1" applyAlignment="1">
      <alignment horizontal="left" vertical="center" wrapText="1" indent="1"/>
    </xf>
    <xf numFmtId="167" fontId="43" fillId="0" borderId="41" xfId="0" applyNumberFormat="1" applyFont="1" applyBorder="1" applyAlignment="1">
      <alignment horizontal="left" vertical="center" wrapText="1" indent="1"/>
    </xf>
    <xf numFmtId="167" fontId="34" fillId="0" borderId="48" xfId="0" applyNumberFormat="1" applyFont="1" applyBorder="1" applyAlignment="1" applyProtection="1">
      <alignment horizontal="right" vertical="center" wrapText="1" indent="1"/>
      <protection locked="0"/>
    </xf>
    <xf numFmtId="3" fontId="26" fillId="24" borderId="11" xfId="0" applyNumberFormat="1" applyFont="1" applyFill="1" applyBorder="1" applyAlignment="1">
      <alignment horizontal="right" vertical="center" wrapText="1"/>
    </xf>
    <xf numFmtId="3" fontId="26" fillId="27" borderId="11" xfId="0" applyNumberFormat="1" applyFont="1" applyFill="1" applyBorder="1" applyAlignment="1">
      <alignment horizontal="right" vertical="center" wrapText="1"/>
    </xf>
    <xf numFmtId="0" fontId="41" fillId="0" borderId="11" xfId="0" applyFont="1" applyBorder="1" applyAlignment="1">
      <alignment horizontal="left" vertical="center" wrapText="1"/>
    </xf>
    <xf numFmtId="0" fontId="47" fillId="0" borderId="0" xfId="0" applyFont="1"/>
    <xf numFmtId="167" fontId="0" fillId="0" borderId="0" xfId="0" applyNumberFormat="1" applyAlignment="1">
      <alignment horizontal="centerContinuous" vertical="center"/>
    </xf>
    <xf numFmtId="167" fontId="0" fillId="0" borderId="0" xfId="0" applyNumberFormat="1" applyAlignment="1">
      <alignment vertical="center" wrapText="1"/>
    </xf>
    <xf numFmtId="0" fontId="0" fillId="0" borderId="11" xfId="0" applyBorder="1" applyAlignment="1">
      <alignment horizontal="center"/>
    </xf>
    <xf numFmtId="0" fontId="40" fillId="0" borderId="11" xfId="0" applyFont="1" applyBorder="1" applyAlignment="1">
      <alignment horizontal="left" vertical="center"/>
    </xf>
    <xf numFmtId="167" fontId="34" fillId="0" borderId="11" xfId="0" applyNumberFormat="1" applyFont="1" applyBorder="1" applyAlignment="1" applyProtection="1">
      <alignment horizontal="left" vertical="center" wrapText="1" indent="1"/>
      <protection locked="0"/>
    </xf>
    <xf numFmtId="0" fontId="26" fillId="29" borderId="14" xfId="0" applyFont="1" applyFill="1" applyBorder="1" applyAlignment="1">
      <alignment horizontal="left" vertical="center" wrapText="1"/>
    </xf>
    <xf numFmtId="0" fontId="42" fillId="28" borderId="11" xfId="0" applyFont="1" applyFill="1" applyBorder="1" applyAlignment="1">
      <alignment horizontal="left"/>
    </xf>
    <xf numFmtId="0" fontId="0" fillId="0" borderId="0" xfId="0" applyFont="1"/>
    <xf numFmtId="0" fontId="40" fillId="0" borderId="11" xfId="0" applyFont="1" applyBorder="1" applyAlignment="1">
      <alignment horizontal="right" vertical="top" wrapText="1"/>
    </xf>
    <xf numFmtId="0" fontId="40" fillId="0" borderId="11" xfId="0" applyFont="1" applyBorder="1" applyAlignment="1">
      <alignment horizontal="left" vertical="center" wrapText="1"/>
    </xf>
    <xf numFmtId="0" fontId="26" fillId="24" borderId="11" xfId="0" applyFont="1" applyFill="1" applyBorder="1" applyAlignment="1">
      <alignment horizontal="left" vertical="center" wrapText="1"/>
    </xf>
    <xf numFmtId="0" fontId="26" fillId="27" borderId="11" xfId="0" applyFont="1" applyFill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3" fontId="0" fillId="0" borderId="0" xfId="0" applyNumberFormat="1" applyFont="1"/>
    <xf numFmtId="0" fontId="26" fillId="27" borderId="57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 vertical="top"/>
    </xf>
    <xf numFmtId="0" fontId="0" fillId="0" borderId="11" xfId="0" applyFont="1" applyBorder="1"/>
    <xf numFmtId="0" fontId="2" fillId="0" borderId="47" xfId="0" applyFont="1" applyFill="1" applyBorder="1" applyAlignment="1">
      <alignment horizontal="center" vertical="top"/>
    </xf>
    <xf numFmtId="0" fontId="2" fillId="0" borderId="3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3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/>
    </xf>
    <xf numFmtId="0" fontId="25" fillId="0" borderId="17" xfId="0" applyFont="1" applyFill="1" applyBorder="1"/>
    <xf numFmtId="167" fontId="31" fillId="0" borderId="54" xfId="0" applyNumberFormat="1" applyFont="1" applyBorder="1" applyAlignment="1">
      <alignment horizontal="centerContinuous" vertical="center" wrapText="1"/>
    </xf>
    <xf numFmtId="0" fontId="48" fillId="0" borderId="0" xfId="0" applyFont="1" applyBorder="1" applyAlignment="1">
      <alignment horizontal="right" vertical="center"/>
    </xf>
    <xf numFmtId="3" fontId="2" fillId="0" borderId="17" xfId="0" applyNumberFormat="1" applyFont="1" applyBorder="1" applyAlignment="1">
      <alignment vertical="center"/>
    </xf>
    <xf numFmtId="0" fontId="46" fillId="28" borderId="11" xfId="0" applyFont="1" applyFill="1" applyBorder="1" applyAlignment="1">
      <alignment horizontal="left"/>
    </xf>
    <xf numFmtId="0" fontId="41" fillId="27" borderId="11" xfId="0" applyFont="1" applyFill="1" applyBorder="1" applyAlignment="1">
      <alignment horizontal="left" vertical="center" wrapText="1"/>
    </xf>
    <xf numFmtId="0" fontId="41" fillId="24" borderId="11" xfId="0" applyFont="1" applyFill="1" applyBorder="1" applyAlignment="1">
      <alignment horizontal="left" vertical="center" wrapText="1"/>
    </xf>
    <xf numFmtId="0" fontId="26" fillId="24" borderId="11" xfId="0" applyFont="1" applyFill="1" applyBorder="1" applyAlignment="1">
      <alignment horizontal="left" vertical="top" wrapText="1"/>
    </xf>
    <xf numFmtId="0" fontId="40" fillId="24" borderId="19" xfId="0" applyFont="1" applyFill="1" applyBorder="1" applyAlignment="1">
      <alignment horizontal="center" vertical="center" wrapText="1"/>
    </xf>
    <xf numFmtId="0" fontId="40" fillId="24" borderId="35" xfId="0" applyFont="1" applyFill="1" applyBorder="1" applyAlignment="1">
      <alignment horizontal="center" vertical="center" wrapText="1"/>
    </xf>
    <xf numFmtId="0" fontId="26" fillId="26" borderId="11" xfId="0" applyFont="1" applyFill="1" applyBorder="1" applyAlignment="1">
      <alignment horizontal="left" vertical="top" wrapText="1"/>
    </xf>
    <xf numFmtId="0" fontId="26" fillId="24" borderId="11" xfId="0" applyFont="1" applyFill="1" applyBorder="1" applyAlignment="1">
      <alignment horizontal="left" vertical="center" wrapText="1"/>
    </xf>
    <xf numFmtId="0" fontId="26" fillId="27" borderId="11" xfId="0" applyFont="1" applyFill="1" applyBorder="1" applyAlignment="1">
      <alignment horizontal="left" vertical="center" wrapText="1"/>
    </xf>
    <xf numFmtId="0" fontId="42" fillId="28" borderId="11" xfId="0" applyFont="1" applyFill="1" applyBorder="1" applyAlignment="1">
      <alignment horizontal="left"/>
    </xf>
    <xf numFmtId="0" fontId="41" fillId="27" borderId="57" xfId="0" applyFont="1" applyFill="1" applyBorder="1" applyAlignment="1">
      <alignment horizontal="left" vertical="center" wrapText="1"/>
    </xf>
    <xf numFmtId="0" fontId="26" fillId="29" borderId="14" xfId="0" applyFont="1" applyFill="1" applyBorder="1" applyAlignment="1">
      <alignment horizontal="left" vertical="center" wrapText="1"/>
    </xf>
    <xf numFmtId="3" fontId="2" fillId="1" borderId="11" xfId="0" applyNumberFormat="1" applyFont="1" applyFill="1" applyBorder="1" applyAlignment="1">
      <alignment vertical="center"/>
    </xf>
    <xf numFmtId="0" fontId="2" fillId="1" borderId="19" xfId="0" applyFont="1" applyFill="1" applyBorder="1" applyAlignment="1">
      <alignment horizontal="center" vertical="center"/>
    </xf>
    <xf numFmtId="3" fontId="3" fillId="0" borderId="11" xfId="0" applyNumberFormat="1" applyFont="1" applyBorder="1" applyAlignment="1">
      <alignment horizontal="right" vertical="center"/>
    </xf>
    <xf numFmtId="3" fontId="2" fillId="1" borderId="11" xfId="0" applyNumberFormat="1" applyFont="1" applyFill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 vertical="center"/>
    </xf>
    <xf numFmtId="3" fontId="2" fillId="1" borderId="19" xfId="0" applyNumberFormat="1" applyFont="1" applyFill="1" applyBorder="1" applyAlignment="1">
      <alignment horizontal="right" vertical="center"/>
    </xf>
    <xf numFmtId="3" fontId="2" fillId="24" borderId="19" xfId="0" applyNumberFormat="1" applyFont="1" applyFill="1" applyBorder="1" applyAlignment="1">
      <alignment horizontal="right" vertical="center"/>
    </xf>
    <xf numFmtId="3" fontId="3" fillId="0" borderId="17" xfId="0" applyNumberFormat="1" applyFont="1" applyFill="1" applyBorder="1" applyAlignment="1">
      <alignment vertical="center"/>
    </xf>
    <xf numFmtId="3" fontId="2" fillId="24" borderId="25" xfId="0" applyNumberFormat="1" applyFont="1" applyFill="1" applyBorder="1" applyAlignment="1">
      <alignment horizontal="right" vertical="center"/>
    </xf>
    <xf numFmtId="167" fontId="31" fillId="0" borderId="53" xfId="0" applyNumberFormat="1" applyFont="1" applyBorder="1" applyAlignment="1">
      <alignment horizontal="centerContinuous" vertical="center" wrapText="1"/>
    </xf>
    <xf numFmtId="167" fontId="31" fillId="0" borderId="53" xfId="0" applyNumberFormat="1" applyFont="1" applyBorder="1" applyAlignment="1">
      <alignment horizontal="center" vertical="center" wrapText="1"/>
    </xf>
    <xf numFmtId="167" fontId="33" fillId="0" borderId="53" xfId="0" applyNumberFormat="1" applyFont="1" applyBorder="1" applyAlignment="1">
      <alignment horizontal="center" vertical="center" wrapText="1"/>
    </xf>
    <xf numFmtId="167" fontId="34" fillId="0" borderId="57" xfId="0" applyNumberFormat="1" applyFont="1" applyBorder="1" applyAlignment="1">
      <alignment horizontal="left" vertical="center" wrapText="1" indent="1"/>
    </xf>
    <xf numFmtId="167" fontId="34" fillId="0" borderId="14" xfId="0" applyNumberFormat="1" applyFont="1" applyBorder="1" applyAlignment="1">
      <alignment horizontal="left" vertical="center" wrapText="1" indent="1"/>
    </xf>
    <xf numFmtId="167" fontId="34" fillId="0" borderId="0" xfId="0" applyNumberFormat="1" applyFont="1" applyBorder="1" applyAlignment="1">
      <alignment horizontal="left" vertical="center" wrapText="1" indent="1"/>
    </xf>
    <xf numFmtId="167" fontId="34" fillId="0" borderId="31" xfId="0" applyNumberFormat="1" applyFont="1" applyBorder="1" applyAlignment="1">
      <alignment horizontal="left" vertical="center" wrapText="1" indent="1"/>
    </xf>
    <xf numFmtId="167" fontId="34" fillId="0" borderId="14" xfId="0" applyNumberFormat="1" applyFont="1" applyBorder="1" applyAlignment="1" applyProtection="1">
      <alignment horizontal="left" vertical="center" wrapText="1" indent="1"/>
      <protection locked="0"/>
    </xf>
    <xf numFmtId="167" fontId="34" fillId="0" borderId="56" xfId="0" applyNumberFormat="1" applyFont="1" applyBorder="1" applyAlignment="1" applyProtection="1">
      <alignment horizontal="left" vertical="center" wrapText="1" indent="1"/>
      <protection locked="0"/>
    </xf>
    <xf numFmtId="167" fontId="33" fillId="0" borderId="53" xfId="0" applyNumberFormat="1" applyFont="1" applyBorder="1" applyAlignment="1">
      <alignment horizontal="left" vertical="center" wrapText="1" indent="1"/>
    </xf>
    <xf numFmtId="167" fontId="35" fillId="0" borderId="71" xfId="0" applyNumberFormat="1" applyFont="1" applyBorder="1" applyAlignment="1">
      <alignment horizontal="left" vertical="center" wrapText="1" indent="1"/>
    </xf>
    <xf numFmtId="167" fontId="35" fillId="0" borderId="14" xfId="0" applyNumberFormat="1" applyFont="1" applyBorder="1" applyAlignment="1">
      <alignment horizontal="left" vertical="center" wrapText="1" indent="1"/>
    </xf>
    <xf numFmtId="167" fontId="33" fillId="0" borderId="54" xfId="0" applyNumberFormat="1" applyFont="1" applyBorder="1" applyAlignment="1">
      <alignment horizontal="center" vertical="center" wrapText="1"/>
    </xf>
    <xf numFmtId="167" fontId="34" fillId="0" borderId="33" xfId="0" applyNumberFormat="1" applyFont="1" applyBorder="1" applyAlignment="1">
      <alignment horizontal="left" vertical="center" wrapText="1" indent="1"/>
    </xf>
    <xf numFmtId="167" fontId="34" fillId="0" borderId="31" xfId="0" applyNumberFormat="1" applyFont="1" applyBorder="1" applyAlignment="1" applyProtection="1">
      <alignment horizontal="left" vertical="center" wrapText="1" indent="1"/>
      <protection locked="0"/>
    </xf>
    <xf numFmtId="167" fontId="33" fillId="0" borderId="54" xfId="0" applyNumberFormat="1" applyFont="1" applyBorder="1" applyAlignment="1">
      <alignment horizontal="left" vertical="center" wrapText="1" indent="1"/>
    </xf>
    <xf numFmtId="167" fontId="35" fillId="0" borderId="0" xfId="0" applyNumberFormat="1" applyFont="1" applyBorder="1" applyAlignment="1">
      <alignment horizontal="left" vertical="center" wrapText="1" indent="1"/>
    </xf>
    <xf numFmtId="167" fontId="35" fillId="0" borderId="31" xfId="0" applyNumberFormat="1" applyFont="1" applyBorder="1" applyAlignment="1">
      <alignment horizontal="left" vertical="center" wrapText="1" indent="1"/>
    </xf>
    <xf numFmtId="167" fontId="31" fillId="0" borderId="43" xfId="0" applyNumberFormat="1" applyFont="1" applyBorder="1" applyAlignment="1">
      <alignment horizontal="center" vertical="center" wrapText="1"/>
    </xf>
    <xf numFmtId="167" fontId="33" fillId="0" borderId="43" xfId="0" applyNumberFormat="1" applyFont="1" applyBorder="1" applyAlignment="1">
      <alignment horizontal="center" vertical="center" wrapText="1"/>
    </xf>
    <xf numFmtId="167" fontId="34" fillId="0" borderId="32" xfId="0" applyNumberFormat="1" applyFont="1" applyBorder="1" applyAlignment="1">
      <alignment horizontal="left" vertical="center" wrapText="1" indent="1"/>
    </xf>
    <xf numFmtId="167" fontId="34" fillId="0" borderId="30" xfId="0" applyNumberFormat="1" applyFont="1" applyBorder="1" applyAlignment="1">
      <alignment horizontal="left" vertical="center" wrapText="1" indent="1"/>
    </xf>
    <xf numFmtId="167" fontId="34" fillId="0" borderId="30" xfId="0" applyNumberFormat="1" applyFont="1" applyBorder="1" applyAlignment="1" applyProtection="1">
      <alignment horizontal="left" vertical="center" wrapText="1" indent="1"/>
      <protection locked="0"/>
    </xf>
    <xf numFmtId="167" fontId="34" fillId="0" borderId="60" xfId="0" applyNumberFormat="1" applyFont="1" applyBorder="1" applyAlignment="1" applyProtection="1">
      <alignment horizontal="left" vertical="center" wrapText="1" indent="1"/>
      <protection locked="0"/>
    </xf>
    <xf numFmtId="167" fontId="33" fillId="0" borderId="43" xfId="0" applyNumberFormat="1" applyFont="1" applyBorder="1" applyAlignment="1">
      <alignment horizontal="left" vertical="center" wrapText="1" indent="1"/>
    </xf>
    <xf numFmtId="167" fontId="35" fillId="0" borderId="24" xfId="0" applyNumberFormat="1" applyFont="1" applyBorder="1" applyAlignment="1">
      <alignment horizontal="left" vertical="center" wrapText="1" indent="1"/>
    </xf>
    <xf numFmtId="167" fontId="35" fillId="0" borderId="30" xfId="0" applyNumberFormat="1" applyFont="1" applyBorder="1" applyAlignment="1">
      <alignment horizontal="left" vertical="center" wrapText="1" indent="1"/>
    </xf>
    <xf numFmtId="167" fontId="30" fillId="0" borderId="43" xfId="0" applyNumberFormat="1" applyFont="1" applyBorder="1" applyAlignment="1">
      <alignment horizontal="left" vertical="center" wrapText="1" indent="1"/>
    </xf>
    <xf numFmtId="167" fontId="36" fillId="0" borderId="43" xfId="0" applyNumberFormat="1" applyFont="1" applyBorder="1" applyAlignment="1">
      <alignment horizontal="left" vertical="center" wrapText="1" indent="1"/>
    </xf>
    <xf numFmtId="167" fontId="38" fillId="0" borderId="14" xfId="0" applyNumberFormat="1" applyFont="1" applyBorder="1" applyAlignment="1">
      <alignment horizontal="right" vertical="center" wrapText="1" indent="1"/>
    </xf>
    <xf numFmtId="167" fontId="31" fillId="0" borderId="36" xfId="0" applyNumberFormat="1" applyFont="1" applyBorder="1" applyAlignment="1">
      <alignment horizontal="center" vertical="center" wrapText="1"/>
    </xf>
    <xf numFmtId="167" fontId="35" fillId="0" borderId="11" xfId="0" applyNumberFormat="1" applyFont="1" applyBorder="1" applyAlignment="1">
      <alignment horizontal="left" vertical="center" wrapText="1" indent="1"/>
    </xf>
    <xf numFmtId="167" fontId="34" fillId="0" borderId="11" xfId="0" applyNumberFormat="1" applyFont="1" applyBorder="1" applyAlignment="1">
      <alignment horizontal="left" vertical="center" wrapText="1" indent="1"/>
    </xf>
    <xf numFmtId="0" fontId="3" fillId="0" borderId="33" xfId="0" applyFont="1" applyBorder="1" applyAlignment="1">
      <alignment vertical="center"/>
    </xf>
    <xf numFmtId="167" fontId="34" fillId="0" borderId="31" xfId="0" quotePrefix="1" applyNumberFormat="1" applyFont="1" applyBorder="1" applyAlignment="1">
      <alignment horizontal="left" vertical="center" wrapText="1" indent="3"/>
    </xf>
    <xf numFmtId="167" fontId="35" fillId="0" borderId="14" xfId="0" applyNumberFormat="1" applyFont="1" applyBorder="1" applyAlignment="1">
      <alignment horizontal="left" vertical="center" wrapText="1" indent="2"/>
    </xf>
    <xf numFmtId="167" fontId="34" fillId="0" borderId="57" xfId="0" applyNumberFormat="1" applyFont="1" applyBorder="1" applyAlignment="1">
      <alignment horizontal="left" vertical="center" wrapText="1" indent="2"/>
    </xf>
    <xf numFmtId="167" fontId="34" fillId="0" borderId="56" xfId="0" applyNumberFormat="1" applyFont="1" applyBorder="1" applyAlignment="1">
      <alignment horizontal="left" vertical="center" wrapText="1" indent="2"/>
    </xf>
    <xf numFmtId="167" fontId="34" fillId="0" borderId="31" xfId="0" quotePrefix="1" applyNumberFormat="1" applyFont="1" applyBorder="1" applyAlignment="1">
      <alignment horizontal="left" vertical="center" wrapText="1" indent="6"/>
    </xf>
    <xf numFmtId="167" fontId="35" fillId="0" borderId="31" xfId="0" quotePrefix="1" applyNumberFormat="1" applyFont="1" applyBorder="1" applyAlignment="1">
      <alignment horizontal="left" vertical="center" wrapText="1" indent="6"/>
    </xf>
    <xf numFmtId="167" fontId="35" fillId="0" borderId="33" xfId="0" applyNumberFormat="1" applyFont="1" applyBorder="1" applyAlignment="1">
      <alignment horizontal="left" vertical="center" wrapText="1" indent="1"/>
    </xf>
    <xf numFmtId="167" fontId="35" fillId="0" borderId="33" xfId="0" applyNumberFormat="1" applyFont="1" applyBorder="1" applyAlignment="1" applyProtection="1">
      <alignment horizontal="left" vertical="center" wrapText="1" indent="1"/>
      <protection locked="0"/>
    </xf>
    <xf numFmtId="167" fontId="34" fillId="0" borderId="33" xfId="0" applyNumberFormat="1" applyFont="1" applyBorder="1" applyAlignment="1" applyProtection="1">
      <alignment horizontal="left" vertical="center" wrapText="1" indent="1"/>
      <protection locked="0"/>
    </xf>
    <xf numFmtId="167" fontId="34" fillId="0" borderId="70" xfId="0" applyNumberFormat="1" applyFont="1" applyBorder="1" applyAlignment="1">
      <alignment horizontal="left" vertical="center" wrapText="1" indent="1"/>
    </xf>
    <xf numFmtId="0" fontId="3" fillId="0" borderId="57" xfId="0" applyFont="1" applyBorder="1" applyAlignment="1">
      <alignment vertical="center"/>
    </xf>
    <xf numFmtId="167" fontId="34" fillId="0" borderId="14" xfId="0" quotePrefix="1" applyNumberFormat="1" applyFont="1" applyBorder="1" applyAlignment="1">
      <alignment horizontal="left" vertical="center" wrapText="1" indent="3"/>
    </xf>
    <xf numFmtId="167" fontId="34" fillId="0" borderId="79" xfId="0" applyNumberFormat="1" applyFont="1" applyBorder="1" applyAlignment="1">
      <alignment horizontal="left" vertical="center" wrapText="1" indent="1"/>
    </xf>
    <xf numFmtId="167" fontId="34" fillId="0" borderId="22" xfId="0" applyNumberFormat="1" applyFont="1" applyBorder="1" applyAlignment="1">
      <alignment horizontal="left" vertical="center" wrapText="1" indent="1"/>
    </xf>
    <xf numFmtId="167" fontId="34" fillId="0" borderId="17" xfId="0" applyNumberFormat="1" applyFont="1" applyBorder="1" applyAlignment="1">
      <alignment horizontal="left" vertical="center" wrapText="1" indent="1"/>
    </xf>
    <xf numFmtId="167" fontId="34" fillId="0" borderId="11" xfId="0" quotePrefix="1" applyNumberFormat="1" applyFont="1" applyBorder="1" applyAlignment="1">
      <alignment horizontal="left" vertical="center" wrapText="1" indent="6"/>
    </xf>
    <xf numFmtId="167" fontId="35" fillId="0" borderId="11" xfId="0" quotePrefix="1" applyNumberFormat="1" applyFont="1" applyBorder="1" applyAlignment="1">
      <alignment horizontal="left" vertical="center" wrapText="1" indent="6"/>
    </xf>
    <xf numFmtId="167" fontId="34" fillId="0" borderId="16" xfId="0" applyNumberFormat="1" applyFont="1" applyBorder="1" applyAlignment="1">
      <alignment horizontal="left" vertical="center" wrapText="1" indent="1"/>
    </xf>
    <xf numFmtId="167" fontId="33" fillId="0" borderId="25" xfId="0" applyNumberFormat="1" applyFont="1" applyBorder="1" applyAlignment="1">
      <alignment horizontal="left" vertical="center" wrapText="1" indent="1"/>
    </xf>
    <xf numFmtId="167" fontId="35" fillId="0" borderId="22" xfId="0" applyNumberFormat="1" applyFont="1" applyBorder="1" applyAlignment="1">
      <alignment horizontal="left" vertical="center" wrapText="1" indent="1"/>
    </xf>
    <xf numFmtId="167" fontId="35" fillId="0" borderId="35" xfId="0" applyNumberFormat="1" applyFont="1" applyBorder="1" applyAlignment="1">
      <alignment horizontal="left" vertical="center" wrapText="1" indent="1"/>
    </xf>
    <xf numFmtId="167" fontId="35" fillId="0" borderId="17" xfId="0" applyNumberFormat="1" applyFont="1" applyBorder="1" applyAlignment="1">
      <alignment horizontal="left" vertical="center" wrapText="1" indent="1"/>
    </xf>
    <xf numFmtId="167" fontId="35" fillId="0" borderId="17" xfId="0" applyNumberFormat="1" applyFont="1" applyBorder="1" applyAlignment="1" applyProtection="1">
      <alignment horizontal="left" vertical="center" wrapText="1" indent="1"/>
      <protection locked="0"/>
    </xf>
    <xf numFmtId="167" fontId="34" fillId="0" borderId="17" xfId="0" applyNumberFormat="1" applyFont="1" applyBorder="1" applyAlignment="1" applyProtection="1">
      <alignment horizontal="left" vertical="center" wrapText="1" indent="1"/>
      <protection locked="0"/>
    </xf>
    <xf numFmtId="167" fontId="34" fillId="0" borderId="16" xfId="0" applyNumberFormat="1" applyFont="1" applyBorder="1" applyAlignment="1" applyProtection="1">
      <alignment horizontal="left" vertical="center" wrapText="1" indent="1"/>
      <protection locked="0"/>
    </xf>
    <xf numFmtId="167" fontId="36" fillId="0" borderId="36" xfId="0" applyNumberFormat="1" applyFont="1" applyBorder="1" applyAlignment="1">
      <alignment horizontal="right" vertical="center" wrapText="1" indent="1"/>
    </xf>
    <xf numFmtId="3" fontId="40" fillId="0" borderId="11" xfId="0" applyNumberFormat="1" applyFont="1" applyBorder="1" applyAlignment="1">
      <alignment horizontal="left" vertical="top" wrapText="1"/>
    </xf>
    <xf numFmtId="0" fontId="2" fillId="1" borderId="11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" fontId="50" fillId="0" borderId="11" xfId="0" applyNumberFormat="1" applyFont="1" applyBorder="1" applyAlignment="1">
      <alignment horizontal="right" vertical="top" wrapText="1"/>
    </xf>
    <xf numFmtId="3" fontId="51" fillId="0" borderId="11" xfId="0" applyNumberFormat="1" applyFont="1" applyBorder="1" applyAlignment="1">
      <alignment horizontal="right" vertical="top" wrapText="1"/>
    </xf>
    <xf numFmtId="3" fontId="52" fillId="26" borderId="11" xfId="0" applyNumberFormat="1" applyFont="1" applyFill="1" applyBorder="1" applyAlignment="1">
      <alignment horizontal="right" vertical="top" wrapText="1"/>
    </xf>
    <xf numFmtId="3" fontId="52" fillId="24" borderId="11" xfId="0" applyNumberFormat="1" applyFont="1" applyFill="1" applyBorder="1" applyAlignment="1">
      <alignment horizontal="right" vertical="center" wrapText="1"/>
    </xf>
    <xf numFmtId="3" fontId="52" fillId="24" borderId="11" xfId="0" applyNumberFormat="1" applyFont="1" applyFill="1" applyBorder="1" applyAlignment="1">
      <alignment horizontal="right" vertical="top" wrapText="1"/>
    </xf>
    <xf numFmtId="3" fontId="52" fillId="27" borderId="11" xfId="0" applyNumberFormat="1" applyFont="1" applyFill="1" applyBorder="1" applyAlignment="1">
      <alignment horizontal="right" vertical="center" wrapText="1"/>
    </xf>
    <xf numFmtId="3" fontId="53" fillId="28" borderId="11" xfId="0" applyNumberFormat="1" applyFont="1" applyFill="1" applyBorder="1" applyAlignment="1">
      <alignment horizontal="right"/>
    </xf>
    <xf numFmtId="3" fontId="52" fillId="29" borderId="11" xfId="0" applyNumberFormat="1" applyFont="1" applyFill="1" applyBorder="1" applyAlignment="1">
      <alignment horizontal="center" vertical="center" wrapText="1"/>
    </xf>
    <xf numFmtId="3" fontId="54" fillId="28" borderId="11" xfId="0" applyNumberFormat="1" applyFont="1" applyFill="1" applyBorder="1" applyAlignment="1">
      <alignment horizontal="right"/>
    </xf>
    <xf numFmtId="167" fontId="55" fillId="0" borderId="10" xfId="0" applyNumberFormat="1" applyFont="1" applyBorder="1" applyAlignment="1">
      <alignment horizontal="left" vertical="center" wrapText="1" indent="1"/>
    </xf>
    <xf numFmtId="167" fontId="55" fillId="0" borderId="11" xfId="0" applyNumberFormat="1" applyFont="1" applyBorder="1" applyAlignment="1">
      <alignment horizontal="left" vertical="center" wrapText="1" indent="1"/>
    </xf>
    <xf numFmtId="167" fontId="55" fillId="0" borderId="10" xfId="0" applyNumberFormat="1" applyFont="1" applyBorder="1" applyAlignment="1" applyProtection="1">
      <alignment horizontal="left" vertical="center" wrapText="1" indent="1"/>
      <protection locked="0"/>
    </xf>
    <xf numFmtId="167" fontId="55" fillId="0" borderId="72" xfId="0" applyNumberFormat="1" applyFont="1" applyBorder="1" applyAlignment="1" applyProtection="1">
      <alignment horizontal="left" vertical="center" wrapText="1" indent="1"/>
      <protection locked="0"/>
    </xf>
    <xf numFmtId="167" fontId="57" fillId="0" borderId="10" xfId="0" applyNumberFormat="1" applyFont="1" applyBorder="1" applyAlignment="1">
      <alignment horizontal="right" vertical="center" wrapText="1" indent="1"/>
    </xf>
    <xf numFmtId="167" fontId="55" fillId="0" borderId="72" xfId="0" applyNumberFormat="1" applyFont="1" applyBorder="1" applyAlignment="1">
      <alignment horizontal="left" vertical="center" wrapText="1" indent="1"/>
    </xf>
    <xf numFmtId="167" fontId="56" fillId="0" borderId="36" xfId="0" applyNumberFormat="1" applyFont="1" applyBorder="1" applyAlignment="1">
      <alignment horizontal="left" vertical="center" wrapText="1" indent="1"/>
    </xf>
    <xf numFmtId="167" fontId="55" fillId="0" borderId="76" xfId="0" applyNumberFormat="1" applyFont="1" applyBorder="1" applyAlignment="1">
      <alignment horizontal="left" vertical="center" wrapText="1" indent="1"/>
    </xf>
    <xf numFmtId="167" fontId="55" fillId="0" borderId="76" xfId="0" applyNumberFormat="1" applyFont="1" applyBorder="1" applyAlignment="1" applyProtection="1">
      <alignment horizontal="left" vertical="center" wrapText="1" indent="1"/>
      <protection locked="0"/>
    </xf>
    <xf numFmtId="167" fontId="58" fillId="0" borderId="77" xfId="0" applyNumberFormat="1" applyFont="1" applyBorder="1" applyAlignment="1">
      <alignment horizontal="right" vertical="center" wrapText="1" indent="1"/>
    </xf>
    <xf numFmtId="167" fontId="59" fillId="0" borderId="69" xfId="0" applyNumberFormat="1" applyFont="1" applyBorder="1" applyAlignment="1">
      <alignment horizontal="left" vertical="center" wrapText="1" indent="1"/>
    </xf>
    <xf numFmtId="167" fontId="59" fillId="0" borderId="10" xfId="0" applyNumberFormat="1" applyFont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167" fontId="33" fillId="0" borderId="36" xfId="0" applyNumberFormat="1" applyFont="1" applyBorder="1" applyAlignment="1">
      <alignment horizontal="right" vertical="center" wrapText="1" indent="1"/>
    </xf>
    <xf numFmtId="167" fontId="35" fillId="0" borderId="76" xfId="0" applyNumberFormat="1" applyFont="1" applyBorder="1" applyAlignment="1">
      <alignment horizontal="left" vertical="center" wrapText="1" indent="1"/>
    </xf>
    <xf numFmtId="167" fontId="33" fillId="0" borderId="77" xfId="0" applyNumberFormat="1" applyFont="1" applyBorder="1" applyAlignment="1">
      <alignment horizontal="right" vertical="center" wrapText="1" indent="1"/>
    </xf>
    <xf numFmtId="167" fontId="38" fillId="0" borderId="69" xfId="0" applyNumberFormat="1" applyFont="1" applyBorder="1" applyAlignment="1">
      <alignment horizontal="right" vertical="center" wrapText="1" indent="1"/>
    </xf>
    <xf numFmtId="3" fontId="5" fillId="0" borderId="0" xfId="0" applyNumberFormat="1" applyFont="1" applyAlignment="1">
      <alignment horizontal="center" vertical="center"/>
    </xf>
    <xf numFmtId="3" fontId="2" fillId="0" borderId="11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3" fontId="62" fillId="0" borderId="12" xfId="0" applyNumberFormat="1" applyFont="1" applyBorder="1" applyAlignment="1">
      <alignment horizontal="right" vertical="center"/>
    </xf>
    <xf numFmtId="0" fontId="62" fillId="0" borderId="0" xfId="0" applyFont="1" applyAlignment="1">
      <alignment vertical="center"/>
    </xf>
    <xf numFmtId="0" fontId="3" fillId="0" borderId="11" xfId="0" applyFont="1" applyBorder="1" applyAlignment="1">
      <alignment horizontal="right" vertical="center"/>
    </xf>
    <xf numFmtId="3" fontId="62" fillId="0" borderId="14" xfId="0" applyNumberFormat="1" applyFont="1" applyBorder="1" applyAlignment="1">
      <alignment horizontal="left" vertical="center"/>
    </xf>
    <xf numFmtId="164" fontId="62" fillId="0" borderId="11" xfId="0" applyNumberFormat="1" applyFont="1" applyBorder="1" applyAlignment="1">
      <alignment horizontal="center" vertical="center"/>
    </xf>
    <xf numFmtId="0" fontId="2" fillId="24" borderId="20" xfId="0" applyFont="1" applyFill="1" applyBorder="1" applyAlignment="1">
      <alignment vertical="center"/>
    </xf>
    <xf numFmtId="0" fontId="2" fillId="24" borderId="79" xfId="0" applyFont="1" applyFill="1" applyBorder="1" applyAlignment="1">
      <alignment vertical="center"/>
    </xf>
    <xf numFmtId="0" fontId="2" fillId="24" borderId="16" xfId="0" applyFont="1" applyFill="1" applyBorder="1" applyAlignment="1">
      <alignment horizontal="center" vertical="center"/>
    </xf>
    <xf numFmtId="3" fontId="2" fillId="24" borderId="74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14" xfId="0" applyFont="1" applyBorder="1" applyAlignment="1">
      <alignment vertical="top" wrapText="1"/>
    </xf>
    <xf numFmtId="0" fontId="3" fillId="0" borderId="26" xfId="0" applyFont="1" applyBorder="1" applyAlignment="1">
      <alignment horizontal="left" vertical="center"/>
    </xf>
    <xf numFmtId="165" fontId="2" fillId="24" borderId="37" xfId="0" applyNumberFormat="1" applyFont="1" applyFill="1" applyBorder="1" applyAlignment="1">
      <alignment horizontal="center" vertical="center" wrapText="1"/>
    </xf>
    <xf numFmtId="166" fontId="2" fillId="0" borderId="40" xfId="0" applyNumberFormat="1" applyFont="1" applyBorder="1" applyAlignment="1">
      <alignment horizontal="right" vertical="center" wrapText="1"/>
    </xf>
    <xf numFmtId="49" fontId="2" fillId="0" borderId="21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166" fontId="2" fillId="0" borderId="42" xfId="0" applyNumberFormat="1" applyFont="1" applyBorder="1" applyAlignment="1">
      <alignment horizontal="right" vertical="center" wrapText="1"/>
    </xf>
    <xf numFmtId="165" fontId="2" fillId="24" borderId="36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33" xfId="0" applyFont="1" applyBorder="1" applyAlignment="1">
      <alignment horizontal="right" vertical="center"/>
    </xf>
    <xf numFmtId="3" fontId="2" fillId="0" borderId="83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3" fontId="2" fillId="24" borderId="2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 wrapText="1"/>
    </xf>
    <xf numFmtId="3" fontId="3" fillId="0" borderId="15" xfId="0" applyNumberFormat="1" applyFont="1" applyBorder="1" applyAlignment="1">
      <alignment vertical="center"/>
    </xf>
    <xf numFmtId="3" fontId="3" fillId="0" borderId="51" xfId="0" applyNumberFormat="1" applyFont="1" applyBorder="1" applyAlignment="1">
      <alignment vertical="center"/>
    </xf>
    <xf numFmtId="0" fontId="0" fillId="0" borderId="11" xfId="0" applyBorder="1" applyAlignment="1">
      <alignment horizontal="center"/>
    </xf>
    <xf numFmtId="0" fontId="26" fillId="24" borderId="11" xfId="0" applyFont="1" applyFill="1" applyBorder="1" applyAlignment="1">
      <alignment horizontal="left" vertical="center" wrapText="1"/>
    </xf>
    <xf numFmtId="167" fontId="35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58" fillId="0" borderId="49" xfId="0" applyNumberFormat="1" applyFont="1" applyBorder="1" applyAlignment="1">
      <alignment horizontal="right" vertical="center" wrapText="1" indent="1"/>
    </xf>
    <xf numFmtId="167" fontId="35" fillId="0" borderId="85" xfId="0" applyNumberFormat="1" applyFont="1" applyBorder="1" applyAlignment="1">
      <alignment horizontal="left" vertical="center" wrapText="1" indent="1"/>
    </xf>
    <xf numFmtId="167" fontId="33" fillId="0" borderId="84" xfId="0" applyNumberFormat="1" applyFont="1" applyBorder="1" applyAlignment="1">
      <alignment horizontal="center" vertical="center" wrapText="1"/>
    </xf>
    <xf numFmtId="167" fontId="55" fillId="0" borderId="86" xfId="0" applyNumberFormat="1" applyFont="1" applyBorder="1" applyAlignment="1">
      <alignment horizontal="left" vertical="center" wrapText="1" indent="1"/>
    </xf>
    <xf numFmtId="167" fontId="55" fillId="0" borderId="87" xfId="0" applyNumberFormat="1" applyFont="1" applyBorder="1" applyAlignment="1">
      <alignment horizontal="left" vertical="center" wrapText="1" indent="1"/>
    </xf>
    <xf numFmtId="167" fontId="55" fillId="0" borderId="88" xfId="0" applyNumberFormat="1" applyFont="1" applyBorder="1" applyAlignment="1">
      <alignment horizontal="left" vertical="center" wrapText="1" indent="1"/>
    </xf>
    <xf numFmtId="167" fontId="55" fillId="0" borderId="35" xfId="0" applyNumberFormat="1" applyFont="1" applyBorder="1" applyAlignment="1">
      <alignment horizontal="left" vertical="center" wrapText="1" indent="1"/>
    </xf>
    <xf numFmtId="167" fontId="55" fillId="0" borderId="90" xfId="0" applyNumberFormat="1" applyFont="1" applyBorder="1" applyAlignment="1" applyProtection="1">
      <alignment horizontal="left" vertical="center" wrapText="1" indent="1"/>
      <protection locked="0"/>
    </xf>
    <xf numFmtId="167" fontId="55" fillId="0" borderId="11" xfId="0" applyNumberFormat="1" applyFont="1" applyBorder="1" applyAlignment="1" applyProtection="1">
      <alignment horizontal="left" vertical="center" wrapText="1" indent="1"/>
      <protection locked="0"/>
    </xf>
    <xf numFmtId="167" fontId="55" fillId="0" borderId="23" xfId="0" applyNumberFormat="1" applyFont="1" applyBorder="1" applyAlignment="1" applyProtection="1">
      <alignment horizontal="left" vertical="center" wrapText="1" indent="1"/>
      <protection locked="0"/>
    </xf>
    <xf numFmtId="167" fontId="34" fillId="0" borderId="57" xfId="0" applyNumberFormat="1" applyFont="1" applyBorder="1" applyAlignment="1" applyProtection="1">
      <alignment horizontal="right" vertical="center" wrapText="1" indent="1"/>
      <protection locked="0"/>
    </xf>
    <xf numFmtId="167" fontId="34" fillId="0" borderId="14" xfId="0" applyNumberFormat="1" applyFont="1" applyBorder="1" applyAlignment="1" applyProtection="1">
      <alignment horizontal="right" vertical="center" wrapText="1" indent="1"/>
      <protection locked="0"/>
    </xf>
    <xf numFmtId="167" fontId="31" fillId="0" borderId="49" xfId="0" applyNumberFormat="1" applyFont="1" applyBorder="1" applyAlignment="1">
      <alignment horizontal="centerContinuous" vertical="center" wrapText="1"/>
    </xf>
    <xf numFmtId="167" fontId="31" fillId="0" borderId="15" xfId="0" applyNumberFormat="1" applyFont="1" applyBorder="1" applyAlignment="1">
      <alignment horizontal="center" vertical="center" wrapText="1"/>
    </xf>
    <xf numFmtId="3" fontId="51" fillId="0" borderId="11" xfId="0" applyNumberFormat="1" applyFont="1" applyBorder="1" applyAlignment="1">
      <alignment horizontal="right" vertical="center" wrapText="1"/>
    </xf>
    <xf numFmtId="0" fontId="40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3" fontId="39" fillId="24" borderId="34" xfId="0" applyNumberFormat="1" applyFont="1" applyFill="1" applyBorder="1" applyAlignment="1">
      <alignment horizontal="center" vertical="center" wrapText="1"/>
    </xf>
    <xf numFmtId="3" fontId="39" fillId="24" borderId="26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top"/>
    </xf>
    <xf numFmtId="167" fontId="55" fillId="0" borderId="31" xfId="0" applyNumberFormat="1" applyFont="1" applyBorder="1" applyAlignment="1" applyProtection="1">
      <alignment horizontal="left" vertical="center" wrapText="1" indent="1"/>
      <protection locked="0"/>
    </xf>
    <xf numFmtId="167" fontId="55" fillId="0" borderId="55" xfId="0" applyNumberFormat="1" applyFont="1" applyBorder="1" applyAlignment="1" applyProtection="1">
      <alignment horizontal="left" vertical="center" wrapText="1" indent="1"/>
      <protection locked="0"/>
    </xf>
    <xf numFmtId="167" fontId="55" fillId="0" borderId="66" xfId="0" applyNumberFormat="1" applyFont="1" applyBorder="1" applyAlignment="1">
      <alignment horizontal="left" vertical="center" wrapText="1" indent="1"/>
    </xf>
    <xf numFmtId="167" fontId="55" fillId="0" borderId="18" xfId="0" applyNumberFormat="1" applyFont="1" applyBorder="1" applyAlignment="1">
      <alignment horizontal="left" vertical="center" wrapText="1" indent="1"/>
    </xf>
    <xf numFmtId="167" fontId="55" fillId="0" borderId="39" xfId="0" applyNumberFormat="1" applyFont="1" applyBorder="1" applyAlignment="1">
      <alignment horizontal="left" vertical="center" wrapText="1" indent="1"/>
    </xf>
    <xf numFmtId="167" fontId="63" fillId="0" borderId="12" xfId="0" applyNumberFormat="1" applyFont="1" applyBorder="1" applyAlignment="1" applyProtection="1">
      <alignment horizontal="right" vertical="center" wrapText="1" indent="1"/>
      <protection locked="0"/>
    </xf>
    <xf numFmtId="167" fontId="63" fillId="0" borderId="44" xfId="0" applyNumberFormat="1" applyFont="1" applyBorder="1" applyAlignment="1" applyProtection="1">
      <alignment horizontal="right" vertical="center" wrapText="1" indent="1"/>
      <protection locked="0"/>
    </xf>
    <xf numFmtId="167" fontId="64" fillId="0" borderId="44" xfId="0" applyNumberFormat="1" applyFont="1" applyBorder="1" applyAlignment="1" applyProtection="1">
      <alignment horizontal="right" vertical="center" wrapText="1" indent="1"/>
      <protection locked="0"/>
    </xf>
    <xf numFmtId="167" fontId="64" fillId="0" borderId="12" xfId="0" applyNumberFormat="1" applyFont="1" applyBorder="1" applyAlignment="1" applyProtection="1">
      <alignment horizontal="right" vertical="center" wrapText="1" indent="1"/>
      <protection locked="0"/>
    </xf>
    <xf numFmtId="0" fontId="61" fillId="0" borderId="0" xfId="0" applyFont="1" applyAlignment="1">
      <alignment vertical="center"/>
    </xf>
    <xf numFmtId="3" fontId="65" fillId="1" borderId="12" xfId="0" applyNumberFormat="1" applyFont="1" applyFill="1" applyBorder="1" applyAlignment="1">
      <alignment horizontal="right" vertical="center"/>
    </xf>
    <xf numFmtId="0" fontId="3" fillId="0" borderId="14" xfId="0" applyFont="1" applyBorder="1" applyAlignment="1">
      <alignment vertical="center"/>
    </xf>
    <xf numFmtId="3" fontId="39" fillId="24" borderId="34" xfId="0" applyNumberFormat="1" applyFont="1" applyFill="1" applyBorder="1" applyAlignment="1">
      <alignment horizontal="center" vertical="center" wrapText="1"/>
    </xf>
    <xf numFmtId="3" fontId="39" fillId="24" borderId="26" xfId="0" applyNumberFormat="1" applyFont="1" applyFill="1" applyBorder="1" applyAlignment="1">
      <alignment horizontal="center" vertical="center" wrapText="1"/>
    </xf>
    <xf numFmtId="3" fontId="26" fillId="26" borderId="11" xfId="0" applyNumberFormat="1" applyFont="1" applyFill="1" applyBorder="1" applyAlignment="1">
      <alignment horizontal="right" vertical="top" wrapText="1"/>
    </xf>
    <xf numFmtId="3" fontId="40" fillId="0" borderId="12" xfId="0" applyNumberFormat="1" applyFont="1" applyBorder="1" applyAlignment="1">
      <alignment horizontal="right" vertical="top" wrapText="1"/>
    </xf>
    <xf numFmtId="3" fontId="40" fillId="0" borderId="12" xfId="0" applyNumberFormat="1" applyFont="1" applyBorder="1" applyAlignment="1">
      <alignment horizontal="right" vertical="center" wrapText="1"/>
    </xf>
    <xf numFmtId="3" fontId="40" fillId="0" borderId="11" xfId="0" applyNumberFormat="1" applyFont="1" applyBorder="1" applyAlignment="1">
      <alignment horizontal="right" vertical="center" wrapText="1"/>
    </xf>
    <xf numFmtId="3" fontId="26" fillId="24" borderId="11" xfId="0" applyNumberFormat="1" applyFont="1" applyFill="1" applyBorder="1" applyAlignment="1">
      <alignment horizontal="right" vertical="top" wrapText="1"/>
    </xf>
    <xf numFmtId="3" fontId="46" fillId="28" borderId="11" xfId="0" applyNumberFormat="1" applyFont="1" applyFill="1" applyBorder="1" applyAlignment="1">
      <alignment horizontal="right"/>
    </xf>
    <xf numFmtId="0" fontId="50" fillId="0" borderId="11" xfId="0" applyFont="1" applyBorder="1" applyAlignment="1">
      <alignment horizontal="center" vertical="top" wrapText="1"/>
    </xf>
    <xf numFmtId="167" fontId="55" fillId="0" borderId="11" xfId="0" applyNumberFormat="1" applyFont="1" applyBorder="1" applyAlignment="1" applyProtection="1">
      <alignment horizontal="right" vertical="center" wrapText="1" indent="1"/>
      <protection locked="0"/>
    </xf>
    <xf numFmtId="167" fontId="55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55" fillId="0" borderId="18" xfId="0" applyNumberFormat="1" applyFont="1" applyBorder="1" applyAlignment="1" applyProtection="1">
      <alignment horizontal="right" vertical="center" wrapText="1" indent="1"/>
      <protection locked="0"/>
    </xf>
    <xf numFmtId="167" fontId="55" fillId="0" borderId="19" xfId="0" applyNumberFormat="1" applyFont="1" applyBorder="1" applyAlignment="1" applyProtection="1">
      <alignment horizontal="right" vertical="center" wrapText="1" indent="1"/>
      <protection locked="0"/>
    </xf>
    <xf numFmtId="167" fontId="55" fillId="0" borderId="55" xfId="0" applyNumberFormat="1" applyFont="1" applyBorder="1" applyAlignment="1" applyProtection="1">
      <alignment horizontal="right" vertical="center" wrapText="1" indent="1"/>
      <protection locked="0"/>
    </xf>
    <xf numFmtId="167" fontId="55" fillId="0" borderId="0" xfId="0" applyNumberFormat="1" applyFont="1" applyBorder="1" applyAlignment="1" applyProtection="1">
      <alignment horizontal="right" vertical="center" wrapText="1" indent="1"/>
      <protection locked="0"/>
    </xf>
    <xf numFmtId="167" fontId="57" fillId="0" borderId="11" xfId="0" applyNumberFormat="1" applyFont="1" applyBorder="1" applyAlignment="1">
      <alignment horizontal="right" vertical="center" wrapText="1" indent="1"/>
    </xf>
    <xf numFmtId="167" fontId="57" fillId="0" borderId="31" xfId="0" applyNumberFormat="1" applyFont="1" applyBorder="1" applyAlignment="1">
      <alignment horizontal="right" vertical="center" wrapText="1" indent="1"/>
    </xf>
    <xf numFmtId="167" fontId="55" fillId="0" borderId="35" xfId="0" applyNumberFormat="1" applyFont="1" applyBorder="1" applyAlignment="1" applyProtection="1">
      <alignment horizontal="right" vertical="center" wrapText="1" indent="1"/>
      <protection locked="0"/>
    </xf>
    <xf numFmtId="167" fontId="56" fillId="0" borderId="25" xfId="0" applyNumberFormat="1" applyFont="1" applyBorder="1" applyAlignment="1" applyProtection="1">
      <alignment horizontal="right" vertical="center" wrapText="1" indent="1"/>
      <protection locked="0"/>
    </xf>
    <xf numFmtId="167" fontId="56" fillId="0" borderId="54" xfId="0" applyNumberFormat="1" applyFont="1" applyBorder="1" applyAlignment="1" applyProtection="1">
      <alignment horizontal="right" vertical="center" wrapText="1" indent="1"/>
      <protection locked="0"/>
    </xf>
    <xf numFmtId="167" fontId="55" fillId="0" borderId="12" xfId="0" applyNumberFormat="1" applyFont="1" applyBorder="1" applyAlignment="1" applyProtection="1">
      <alignment horizontal="right" vertical="center" wrapText="1" indent="1"/>
      <protection locked="0"/>
    </xf>
    <xf numFmtId="167" fontId="55" fillId="0" borderId="31" xfId="0" applyNumberFormat="1" applyFont="1" applyBorder="1" applyAlignment="1">
      <alignment horizontal="left" vertical="center" wrapText="1" indent="1"/>
    </xf>
    <xf numFmtId="167" fontId="55" fillId="0" borderId="46" xfId="0" applyNumberFormat="1" applyFont="1" applyBorder="1" applyAlignment="1" applyProtection="1">
      <alignment horizontal="right" vertical="center" wrapText="1" indent="1"/>
      <protection locked="0"/>
    </xf>
    <xf numFmtId="167" fontId="55" fillId="0" borderId="74" xfId="0" applyNumberFormat="1" applyFont="1" applyBorder="1" applyAlignment="1">
      <alignment horizontal="left" vertical="center" wrapText="1" indent="1"/>
    </xf>
    <xf numFmtId="167" fontId="55" fillId="0" borderId="52" xfId="0" applyNumberFormat="1" applyFont="1" applyBorder="1" applyAlignment="1" applyProtection="1">
      <alignment horizontal="right" vertical="center" wrapText="1" indent="1"/>
      <protection locked="0"/>
    </xf>
    <xf numFmtId="167" fontId="55" fillId="0" borderId="12" xfId="0" applyNumberFormat="1" applyFont="1" applyBorder="1" applyAlignment="1">
      <alignment horizontal="left" vertical="center" wrapText="1" indent="1"/>
    </xf>
    <xf numFmtId="167" fontId="55" fillId="0" borderId="73" xfId="0" applyNumberFormat="1" applyFont="1" applyBorder="1" applyAlignment="1" applyProtection="1">
      <alignment horizontal="right" vertical="center" wrapText="1" indent="1"/>
      <protection locked="0"/>
    </xf>
    <xf numFmtId="167" fontId="55" fillId="0" borderId="48" xfId="0" applyNumberFormat="1" applyFont="1" applyBorder="1" applyAlignment="1">
      <alignment horizontal="left" vertical="center" wrapText="1" indent="1"/>
    </xf>
    <xf numFmtId="167" fontId="55" fillId="0" borderId="46" xfId="0" applyNumberFormat="1" applyFont="1" applyBorder="1" applyAlignment="1">
      <alignment horizontal="left" vertical="center" wrapText="1" indent="1"/>
    </xf>
    <xf numFmtId="167" fontId="35" fillId="0" borderId="17" xfId="0" applyNumberFormat="1" applyFont="1" applyBorder="1" applyAlignment="1" applyProtection="1">
      <alignment horizontal="right" vertical="center" wrapText="1" indent="1"/>
      <protection locked="0"/>
    </xf>
    <xf numFmtId="167" fontId="35" fillId="0" borderId="33" xfId="0" applyNumberFormat="1" applyFont="1" applyBorder="1" applyAlignment="1" applyProtection="1">
      <alignment horizontal="right" vertical="center" wrapText="1" indent="1"/>
      <protection locked="0"/>
    </xf>
    <xf numFmtId="167" fontId="55" fillId="0" borderId="14" xfId="0" applyNumberFormat="1" applyFont="1" applyBorder="1" applyAlignment="1" applyProtection="1">
      <alignment horizontal="right" vertical="center" wrapText="1" indent="1"/>
      <protection locked="0"/>
    </xf>
    <xf numFmtId="167" fontId="55" fillId="0" borderId="39" xfId="0" applyNumberFormat="1" applyFont="1" applyBorder="1" applyAlignment="1" applyProtection="1">
      <alignment horizontal="right" vertical="center" wrapText="1" indent="1"/>
      <protection locked="0"/>
    </xf>
    <xf numFmtId="167" fontId="55" fillId="0" borderId="71" xfId="0" applyNumberFormat="1" applyFont="1" applyBorder="1" applyAlignment="1" applyProtection="1">
      <alignment horizontal="right" vertical="center" wrapText="1" indent="1"/>
      <protection locked="0"/>
    </xf>
    <xf numFmtId="167" fontId="57" fillId="0" borderId="57" xfId="0" applyNumberFormat="1" applyFont="1" applyBorder="1" applyAlignment="1">
      <alignment horizontal="right" vertical="center" wrapText="1" indent="1"/>
    </xf>
    <xf numFmtId="167" fontId="55" fillId="0" borderId="57" xfId="0" applyNumberFormat="1" applyFont="1" applyBorder="1" applyAlignment="1" applyProtection="1">
      <alignment horizontal="right" vertical="center" wrapText="1" indent="1"/>
      <protection locked="0"/>
    </xf>
    <xf numFmtId="167" fontId="56" fillId="0" borderId="53" xfId="0" applyNumberFormat="1" applyFont="1" applyBorder="1" applyAlignment="1" applyProtection="1">
      <alignment horizontal="right" vertical="center" wrapText="1" indent="1"/>
      <protection locked="0"/>
    </xf>
    <xf numFmtId="167" fontId="59" fillId="0" borderId="18" xfId="0" applyNumberFormat="1" applyFont="1" applyBorder="1" applyAlignment="1" applyProtection="1">
      <alignment horizontal="right" vertical="center" wrapText="1" indent="1"/>
      <protection locked="0"/>
    </xf>
    <xf numFmtId="167" fontId="59" fillId="0" borderId="11" xfId="0" applyNumberFormat="1" applyFont="1" applyBorder="1" applyAlignment="1" applyProtection="1">
      <alignment horizontal="right" vertical="center" wrapText="1" indent="1"/>
      <protection locked="0"/>
    </xf>
    <xf numFmtId="167" fontId="59" fillId="0" borderId="12" xfId="0" applyNumberFormat="1" applyFont="1" applyBorder="1" applyAlignment="1" applyProtection="1">
      <alignment horizontal="right" vertical="center" wrapText="1" indent="1"/>
      <protection locked="0"/>
    </xf>
    <xf numFmtId="167" fontId="59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59" fillId="0" borderId="14" xfId="0" applyNumberFormat="1" applyFont="1" applyBorder="1" applyAlignment="1" applyProtection="1">
      <alignment horizontal="right" vertical="center" wrapText="1" indent="1"/>
      <protection locked="0"/>
    </xf>
    <xf numFmtId="167" fontId="66" fillId="0" borderId="69" xfId="0" applyNumberFormat="1" applyFont="1" applyBorder="1" applyAlignment="1">
      <alignment horizontal="right" vertical="center" wrapText="1" indent="1"/>
    </xf>
    <xf numFmtId="167" fontId="59" fillId="0" borderId="0" xfId="0" applyNumberFormat="1" applyFont="1" applyBorder="1" applyAlignment="1" applyProtection="1">
      <alignment horizontal="right" vertical="center" wrapText="1" indent="1"/>
      <protection locked="0"/>
    </xf>
    <xf numFmtId="167" fontId="59" fillId="0" borderId="33" xfId="0" applyNumberFormat="1" applyFont="1" applyBorder="1" applyAlignment="1">
      <alignment horizontal="left" vertical="center" wrapText="1" indent="1"/>
    </xf>
    <xf numFmtId="167" fontId="59" fillId="0" borderId="44" xfId="0" applyNumberFormat="1" applyFont="1" applyBorder="1" applyAlignment="1" applyProtection="1">
      <alignment horizontal="right" vertical="center" wrapText="1" indent="1"/>
      <protection locked="0"/>
    </xf>
    <xf numFmtId="167" fontId="59" fillId="0" borderId="76" xfId="0" applyNumberFormat="1" applyFont="1" applyBorder="1" applyAlignment="1" applyProtection="1">
      <alignment horizontal="left" vertical="center" wrapText="1" indent="1"/>
      <protection locked="0"/>
    </xf>
    <xf numFmtId="167" fontId="59" fillId="0" borderId="17" xfId="0" applyNumberFormat="1" applyFont="1" applyBorder="1" applyAlignment="1">
      <alignment horizontal="left" vertical="center" wrapText="1" indent="1"/>
    </xf>
    <xf numFmtId="167" fontId="59" fillId="0" borderId="89" xfId="0" applyNumberFormat="1" applyFont="1" applyBorder="1" applyAlignment="1" applyProtection="1">
      <alignment horizontal="left" vertical="center" wrapText="1" indent="1"/>
      <protection locked="0"/>
    </xf>
    <xf numFmtId="167" fontId="59" fillId="0" borderId="23" xfId="0" applyNumberFormat="1" applyFont="1" applyBorder="1" applyAlignment="1" applyProtection="1">
      <alignment horizontal="left" vertical="center" wrapText="1" indent="1"/>
      <protection locked="0"/>
    </xf>
    <xf numFmtId="167" fontId="59" fillId="0" borderId="64" xfId="0" applyNumberFormat="1" applyFont="1" applyBorder="1" applyAlignment="1" applyProtection="1">
      <alignment horizontal="left" vertical="center" wrapText="1" indent="1"/>
      <protection locked="0"/>
    </xf>
    <xf numFmtId="167" fontId="59" fillId="0" borderId="13" xfId="0" applyNumberFormat="1" applyFont="1" applyBorder="1" applyAlignment="1">
      <alignment horizontal="left" vertical="center" wrapText="1" indent="1"/>
    </xf>
    <xf numFmtId="167" fontId="59" fillId="0" borderId="73" xfId="0" applyNumberFormat="1" applyFont="1" applyBorder="1" applyAlignment="1" applyProtection="1">
      <alignment horizontal="right" vertical="center" wrapText="1" indent="1"/>
      <protection locked="0"/>
    </xf>
    <xf numFmtId="167" fontId="60" fillId="0" borderId="77" xfId="0" applyNumberFormat="1" applyFont="1" applyBorder="1" applyAlignment="1">
      <alignment horizontal="right" vertical="center" wrapText="1" indent="1"/>
    </xf>
    <xf numFmtId="167" fontId="60" fillId="0" borderId="78" xfId="0" applyNumberFormat="1" applyFont="1" applyBorder="1" applyAlignment="1">
      <alignment horizontal="right" vertical="center" wrapText="1" indent="1"/>
    </xf>
    <xf numFmtId="167" fontId="60" fillId="0" borderId="75" xfId="0" applyNumberFormat="1" applyFont="1" applyBorder="1" applyAlignment="1">
      <alignment horizontal="left" vertical="center" wrapText="1" indent="1"/>
    </xf>
    <xf numFmtId="167" fontId="60" fillId="0" borderId="49" xfId="0" applyNumberFormat="1" applyFont="1" applyBorder="1" applyAlignment="1" applyProtection="1">
      <alignment horizontal="right" vertical="center" wrapText="1" indent="1"/>
      <protection locked="0"/>
    </xf>
    <xf numFmtId="167" fontId="60" fillId="0" borderId="36" xfId="0" applyNumberFormat="1" applyFont="1" applyFill="1" applyBorder="1" applyAlignment="1">
      <alignment horizontal="right" vertical="center" wrapText="1" indent="1"/>
    </xf>
    <xf numFmtId="167" fontId="36" fillId="0" borderId="36" xfId="0" applyNumberFormat="1" applyFont="1" applyFill="1" applyBorder="1" applyAlignment="1">
      <alignment horizontal="right" vertical="center" wrapText="1" indent="1"/>
    </xf>
    <xf numFmtId="167" fontId="67" fillId="0" borderId="80" xfId="0" applyNumberFormat="1" applyFont="1" applyFill="1" applyBorder="1" applyAlignment="1">
      <alignment horizontal="right" vertical="center" wrapText="1" indent="1"/>
    </xf>
    <xf numFmtId="167" fontId="33" fillId="0" borderId="25" xfId="0" applyNumberFormat="1" applyFont="1" applyFill="1" applyBorder="1" applyAlignment="1">
      <alignment horizontal="right" vertical="center" wrapText="1" indent="1"/>
    </xf>
    <xf numFmtId="167" fontId="60" fillId="0" borderId="25" xfId="0" applyNumberFormat="1" applyFont="1" applyFill="1" applyBorder="1" applyAlignment="1">
      <alignment horizontal="right" vertical="center" wrapText="1" indent="1"/>
    </xf>
    <xf numFmtId="167" fontId="36" fillId="0" borderId="49" xfId="0" applyNumberFormat="1" applyFont="1" applyFill="1" applyBorder="1" applyAlignment="1">
      <alignment horizontal="right" vertical="center" wrapText="1" indent="1"/>
    </xf>
    <xf numFmtId="3" fontId="62" fillId="0" borderId="17" xfId="0" applyNumberFormat="1" applyFont="1" applyBorder="1" applyAlignment="1">
      <alignment vertical="center"/>
    </xf>
    <xf numFmtId="3" fontId="65" fillId="1" borderId="17" xfId="0" applyNumberFormat="1" applyFont="1" applyFill="1" applyBorder="1" applyAlignment="1">
      <alignment vertical="center"/>
    </xf>
    <xf numFmtId="3" fontId="65" fillId="0" borderId="17" xfId="0" applyNumberFormat="1" applyFont="1" applyBorder="1" applyAlignment="1">
      <alignment vertical="center"/>
    </xf>
    <xf numFmtId="3" fontId="65" fillId="24" borderId="16" xfId="0" applyNumberFormat="1" applyFont="1" applyFill="1" applyBorder="1" applyAlignment="1">
      <alignment vertical="center"/>
    </xf>
    <xf numFmtId="3" fontId="62" fillId="0" borderId="11" xfId="0" applyNumberFormat="1" applyFont="1" applyBorder="1" applyAlignment="1">
      <alignment horizontal="right" vertical="center"/>
    </xf>
    <xf numFmtId="3" fontId="65" fillId="1" borderId="11" xfId="0" applyNumberFormat="1" applyFont="1" applyFill="1" applyBorder="1" applyAlignment="1">
      <alignment horizontal="right" vertical="center"/>
    </xf>
    <xf numFmtId="3" fontId="65" fillId="0" borderId="11" xfId="0" applyNumberFormat="1" applyFont="1" applyBorder="1" applyAlignment="1">
      <alignment horizontal="right" vertical="center"/>
    </xf>
    <xf numFmtId="3" fontId="62" fillId="0" borderId="17" xfId="0" applyNumberFormat="1" applyFont="1" applyBorder="1" applyAlignment="1">
      <alignment horizontal="right" vertical="center"/>
    </xf>
    <xf numFmtId="3" fontId="65" fillId="1" borderId="19" xfId="0" applyNumberFormat="1" applyFont="1" applyFill="1" applyBorder="1" applyAlignment="1">
      <alignment horizontal="right" vertical="center"/>
    </xf>
    <xf numFmtId="3" fontId="65" fillId="24" borderId="19" xfId="0" applyNumberFormat="1" applyFont="1" applyFill="1" applyBorder="1" applyAlignment="1">
      <alignment horizontal="right" vertical="center"/>
    </xf>
    <xf numFmtId="3" fontId="62" fillId="0" borderId="17" xfId="0" applyNumberFormat="1" applyFont="1" applyFill="1" applyBorder="1" applyAlignment="1">
      <alignment vertical="center"/>
    </xf>
    <xf numFmtId="3" fontId="65" fillId="24" borderId="25" xfId="0" applyNumberFormat="1" applyFont="1" applyFill="1" applyBorder="1" applyAlignment="1">
      <alignment horizontal="right" vertical="center"/>
    </xf>
    <xf numFmtId="0" fontId="26" fillId="24" borderId="11" xfId="0" applyFont="1" applyFill="1" applyBorder="1" applyAlignment="1">
      <alignment horizontal="left" vertical="top" wrapText="1"/>
    </xf>
    <xf numFmtId="0" fontId="26" fillId="24" borderId="11" xfId="0" applyFont="1" applyFill="1" applyBorder="1" applyAlignment="1">
      <alignment horizontal="left" vertical="center" wrapText="1"/>
    </xf>
    <xf numFmtId="0" fontId="0" fillId="0" borderId="11" xfId="0" applyFont="1" applyBorder="1" applyAlignment="1">
      <alignment horizontal="center"/>
    </xf>
    <xf numFmtId="0" fontId="26" fillId="26" borderId="11" xfId="0" applyFont="1" applyFill="1" applyBorder="1" applyAlignment="1">
      <alignment horizontal="left" vertical="top" wrapText="1"/>
    </xf>
    <xf numFmtId="0" fontId="26" fillId="27" borderId="11" xfId="0" applyFont="1" applyFill="1" applyBorder="1" applyAlignment="1">
      <alignment horizontal="left" vertical="center" wrapText="1"/>
    </xf>
    <xf numFmtId="0" fontId="42" fillId="28" borderId="11" xfId="0" applyFont="1" applyFill="1" applyBorder="1" applyAlignment="1">
      <alignment horizontal="left"/>
    </xf>
    <xf numFmtId="0" fontId="2" fillId="0" borderId="47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top"/>
    </xf>
    <xf numFmtId="0" fontId="2" fillId="0" borderId="35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24" borderId="2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3" fontId="2" fillId="25" borderId="18" xfId="0" applyNumberFormat="1" applyFont="1" applyFill="1" applyBorder="1" applyAlignment="1">
      <alignment horizontal="right" vertical="center"/>
    </xf>
    <xf numFmtId="3" fontId="3" fillId="0" borderId="18" xfId="0" applyNumberFormat="1" applyFont="1" applyBorder="1" applyAlignment="1">
      <alignment horizontal="right" vertical="center"/>
    </xf>
    <xf numFmtId="3" fontId="2" fillId="1" borderId="18" xfId="0" applyNumberFormat="1" applyFont="1" applyFill="1" applyBorder="1" applyAlignment="1">
      <alignment horizontal="right" vertical="center"/>
    </xf>
    <xf numFmtId="3" fontId="62" fillId="0" borderId="18" xfId="0" applyNumberFormat="1" applyFont="1" applyBorder="1" applyAlignment="1">
      <alignment horizontal="right" vertical="center"/>
    </xf>
    <xf numFmtId="3" fontId="62" fillId="0" borderId="18" xfId="0" applyNumberFormat="1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3" fontId="2" fillId="24" borderId="18" xfId="0" applyNumberFormat="1" applyFont="1" applyFill="1" applyBorder="1" applyAlignment="1">
      <alignment vertical="center"/>
    </xf>
    <xf numFmtId="3" fontId="2" fillId="25" borderId="73" xfId="0" applyNumberFormat="1" applyFont="1" applyFill="1" applyBorder="1" applyAlignment="1">
      <alignment horizontal="right" vertical="center"/>
    </xf>
    <xf numFmtId="3" fontId="3" fillId="0" borderId="73" xfId="0" applyNumberFormat="1" applyFont="1" applyBorder="1" applyAlignment="1">
      <alignment horizontal="right" vertical="center"/>
    </xf>
    <xf numFmtId="3" fontId="65" fillId="1" borderId="73" xfId="0" applyNumberFormat="1" applyFont="1" applyFill="1" applyBorder="1" applyAlignment="1">
      <alignment horizontal="right" vertical="center"/>
    </xf>
    <xf numFmtId="3" fontId="62" fillId="0" borderId="73" xfId="0" applyNumberFormat="1" applyFont="1" applyBorder="1" applyAlignment="1">
      <alignment horizontal="right" vertical="center"/>
    </xf>
    <xf numFmtId="3" fontId="62" fillId="0" borderId="73" xfId="0" applyNumberFormat="1" applyFont="1" applyBorder="1" applyAlignment="1">
      <alignment vertical="center"/>
    </xf>
    <xf numFmtId="3" fontId="65" fillId="24" borderId="73" xfId="0" applyNumberFormat="1" applyFont="1" applyFill="1" applyBorder="1" applyAlignment="1">
      <alignment vertical="center"/>
    </xf>
    <xf numFmtId="3" fontId="2" fillId="25" borderId="11" xfId="0" applyNumberFormat="1" applyFont="1" applyFill="1" applyBorder="1" applyAlignment="1">
      <alignment horizontal="right" vertical="center"/>
    </xf>
    <xf numFmtId="3" fontId="62" fillId="0" borderId="11" xfId="0" applyNumberFormat="1" applyFont="1" applyBorder="1" applyAlignment="1">
      <alignment vertical="center"/>
    </xf>
    <xf numFmtId="3" fontId="2" fillId="24" borderId="11" xfId="0" applyNumberFormat="1" applyFont="1" applyFill="1" applyBorder="1" applyAlignment="1">
      <alignment vertical="center"/>
    </xf>
    <xf numFmtId="3" fontId="65" fillId="24" borderId="11" xfId="0" applyNumberFormat="1" applyFont="1" applyFill="1" applyBorder="1" applyAlignment="1">
      <alignment vertical="center"/>
    </xf>
    <xf numFmtId="3" fontId="2" fillId="1" borderId="18" xfId="0" applyNumberFormat="1" applyFont="1" applyFill="1" applyBorder="1" applyAlignment="1">
      <alignment vertical="center"/>
    </xf>
    <xf numFmtId="3" fontId="2" fillId="24" borderId="64" xfId="0" applyNumberFormat="1" applyFont="1" applyFill="1" applyBorder="1" applyAlignment="1">
      <alignment vertical="center"/>
    </xf>
    <xf numFmtId="3" fontId="2" fillId="24" borderId="68" xfId="0" applyNumberFormat="1" applyFont="1" applyFill="1" applyBorder="1" applyAlignment="1">
      <alignment vertical="center"/>
    </xf>
    <xf numFmtId="3" fontId="65" fillId="1" borderId="73" xfId="0" applyNumberFormat="1" applyFont="1" applyFill="1" applyBorder="1" applyAlignment="1">
      <alignment vertical="center"/>
    </xf>
    <xf numFmtId="3" fontId="65" fillId="24" borderId="91" xfId="0" applyNumberFormat="1" applyFont="1" applyFill="1" applyBorder="1" applyAlignment="1">
      <alignment vertical="center"/>
    </xf>
    <xf numFmtId="3" fontId="65" fillId="24" borderId="49" xfId="0" applyNumberFormat="1" applyFont="1" applyFill="1" applyBorder="1" applyAlignment="1">
      <alignment vertical="center"/>
    </xf>
    <xf numFmtId="3" fontId="65" fillId="1" borderId="11" xfId="0" applyNumberFormat="1" applyFont="1" applyFill="1" applyBorder="1" applyAlignment="1">
      <alignment vertical="center"/>
    </xf>
    <xf numFmtId="3" fontId="2" fillId="24" borderId="23" xfId="0" applyNumberFormat="1" applyFont="1" applyFill="1" applyBorder="1" applyAlignment="1">
      <alignment vertical="center"/>
    </xf>
    <xf numFmtId="3" fontId="65" fillId="24" borderId="23" xfId="0" applyNumberFormat="1" applyFont="1" applyFill="1" applyBorder="1" applyAlignment="1">
      <alignment vertical="center"/>
    </xf>
    <xf numFmtId="3" fontId="2" fillId="24" borderId="25" xfId="0" applyNumberFormat="1" applyFont="1" applyFill="1" applyBorder="1" applyAlignment="1">
      <alignment vertical="center"/>
    </xf>
    <xf numFmtId="3" fontId="65" fillId="24" borderId="25" xfId="0" applyNumberFormat="1" applyFont="1" applyFill="1" applyBorder="1" applyAlignment="1">
      <alignment vertical="center"/>
    </xf>
    <xf numFmtId="0" fontId="3" fillId="0" borderId="51" xfId="0" applyFont="1" applyBorder="1" applyAlignment="1">
      <alignment vertical="center"/>
    </xf>
    <xf numFmtId="3" fontId="61" fillId="0" borderId="18" xfId="0" applyNumberFormat="1" applyFont="1" applyBorder="1" applyAlignment="1">
      <alignment vertical="center"/>
    </xf>
    <xf numFmtId="3" fontId="2" fillId="24" borderId="27" xfId="0" applyNumberFormat="1" applyFont="1" applyFill="1" applyBorder="1" applyAlignment="1">
      <alignment vertical="center"/>
    </xf>
    <xf numFmtId="3" fontId="2" fillId="24" borderId="93" xfId="0" applyNumberFormat="1" applyFont="1" applyFill="1" applyBorder="1" applyAlignment="1">
      <alignment vertical="center"/>
    </xf>
    <xf numFmtId="3" fontId="2" fillId="24" borderId="49" xfId="0" applyNumberFormat="1" applyFont="1" applyFill="1" applyBorder="1" applyAlignment="1">
      <alignment vertical="center"/>
    </xf>
    <xf numFmtId="3" fontId="61" fillId="0" borderId="11" xfId="0" applyNumberFormat="1" applyFont="1" applyBorder="1" applyAlignment="1">
      <alignment vertical="center"/>
    </xf>
    <xf numFmtId="3" fontId="2" fillId="24" borderId="16" xfId="0" applyNumberFormat="1" applyFont="1" applyFill="1" applyBorder="1" applyAlignment="1">
      <alignment vertical="center"/>
    </xf>
    <xf numFmtId="3" fontId="2" fillId="24" borderId="22" xfId="0" applyNumberFormat="1" applyFont="1" applyFill="1" applyBorder="1" applyAlignment="1">
      <alignment horizontal="center" vertical="center" wrapText="1"/>
    </xf>
    <xf numFmtId="3" fontId="2" fillId="24" borderId="94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3" fontId="2" fillId="0" borderId="44" xfId="0" applyNumberFormat="1" applyFont="1" applyBorder="1" applyAlignment="1">
      <alignment vertical="center"/>
    </xf>
    <xf numFmtId="3" fontId="65" fillId="1" borderId="44" xfId="0" applyNumberFormat="1" applyFont="1" applyFill="1" applyBorder="1" applyAlignment="1">
      <alignment vertical="center"/>
    </xf>
    <xf numFmtId="3" fontId="65" fillId="0" borderId="44" xfId="0" applyNumberFormat="1" applyFont="1" applyBorder="1" applyAlignment="1">
      <alignment vertical="center"/>
    </xf>
    <xf numFmtId="3" fontId="62" fillId="0" borderId="44" xfId="0" applyNumberFormat="1" applyFont="1" applyBorder="1" applyAlignment="1">
      <alignment vertical="center"/>
    </xf>
    <xf numFmtId="3" fontId="65" fillId="24" borderId="82" xfId="0" applyNumberFormat="1" applyFont="1" applyFill="1" applyBorder="1" applyAlignment="1">
      <alignment vertical="center"/>
    </xf>
    <xf numFmtId="0" fontId="61" fillId="0" borderId="0" xfId="0" applyFont="1" applyBorder="1" applyAlignment="1">
      <alignment vertical="center"/>
    </xf>
    <xf numFmtId="0" fontId="61" fillId="0" borderId="52" xfId="0" applyFont="1" applyBorder="1" applyAlignment="1">
      <alignment vertical="center"/>
    </xf>
    <xf numFmtId="3" fontId="65" fillId="0" borderId="12" xfId="0" applyNumberFormat="1" applyFont="1" applyBorder="1" applyAlignment="1">
      <alignment horizontal="right" vertical="center"/>
    </xf>
    <xf numFmtId="3" fontId="62" fillId="0" borderId="44" xfId="0" applyNumberFormat="1" applyFont="1" applyBorder="1" applyAlignment="1">
      <alignment horizontal="right" vertical="center"/>
    </xf>
    <xf numFmtId="3" fontId="65" fillId="1" borderId="46" xfId="0" applyNumberFormat="1" applyFont="1" applyFill="1" applyBorder="1" applyAlignment="1">
      <alignment horizontal="right" vertical="center"/>
    </xf>
    <xf numFmtId="3" fontId="65" fillId="24" borderId="46" xfId="0" applyNumberFormat="1" applyFont="1" applyFill="1" applyBorder="1" applyAlignment="1">
      <alignment horizontal="right" vertical="center"/>
    </xf>
    <xf numFmtId="3" fontId="62" fillId="0" borderId="44" xfId="0" applyNumberFormat="1" applyFont="1" applyFill="1" applyBorder="1" applyAlignment="1">
      <alignment vertical="center"/>
    </xf>
    <xf numFmtId="3" fontId="65" fillId="24" borderId="15" xfId="0" applyNumberFormat="1" applyFont="1" applyFill="1" applyBorder="1" applyAlignment="1">
      <alignment horizontal="right" vertical="center"/>
    </xf>
    <xf numFmtId="3" fontId="2" fillId="24" borderId="49" xfId="0" applyNumberFormat="1" applyFont="1" applyFill="1" applyBorder="1" applyAlignment="1">
      <alignment horizontal="center" vertical="center" wrapText="1"/>
    </xf>
    <xf numFmtId="0" fontId="2" fillId="24" borderId="25" xfId="0" applyFont="1" applyFill="1" applyBorder="1" applyAlignment="1">
      <alignment horizontal="center" vertical="center" wrapText="1"/>
    </xf>
    <xf numFmtId="3" fontId="2" fillId="24" borderId="25" xfId="0" applyNumberFormat="1" applyFont="1" applyFill="1" applyBorder="1" applyAlignment="1">
      <alignment horizontal="center" vertical="center" wrapText="1"/>
    </xf>
    <xf numFmtId="3" fontId="52" fillId="29" borderId="11" xfId="0" applyNumberFormat="1" applyFont="1" applyFill="1" applyBorder="1" applyAlignment="1">
      <alignment horizontal="right" vertical="center" wrapText="1"/>
    </xf>
    <xf numFmtId="3" fontId="26" fillId="29" borderId="11" xfId="0" applyNumberFormat="1" applyFont="1" applyFill="1" applyBorder="1" applyAlignment="1">
      <alignment horizontal="right" vertical="center" wrapText="1"/>
    </xf>
    <xf numFmtId="3" fontId="40" fillId="0" borderId="18" xfId="0" applyNumberFormat="1" applyFont="1" applyBorder="1" applyAlignment="1">
      <alignment horizontal="right" vertical="top" wrapText="1"/>
    </xf>
    <xf numFmtId="3" fontId="26" fillId="24" borderId="18" xfId="0" applyNumberFormat="1" applyFont="1" applyFill="1" applyBorder="1" applyAlignment="1">
      <alignment horizontal="right" vertical="center" wrapText="1"/>
    </xf>
    <xf numFmtId="3" fontId="26" fillId="29" borderId="18" xfId="0" applyNumberFormat="1" applyFont="1" applyFill="1" applyBorder="1" applyAlignment="1">
      <alignment horizontal="right" vertical="center" wrapText="1"/>
    </xf>
    <xf numFmtId="3" fontId="26" fillId="27" borderId="18" xfId="0" applyNumberFormat="1" applyFont="1" applyFill="1" applyBorder="1" applyAlignment="1">
      <alignment horizontal="right" vertical="center" wrapText="1"/>
    </xf>
    <xf numFmtId="3" fontId="42" fillId="28" borderId="18" xfId="0" applyNumberFormat="1" applyFont="1" applyFill="1" applyBorder="1" applyAlignment="1">
      <alignment horizontal="right"/>
    </xf>
    <xf numFmtId="0" fontId="40" fillId="0" borderId="14" xfId="0" applyFont="1" applyBorder="1" applyAlignment="1">
      <alignment horizontal="right" vertical="top" wrapText="1"/>
    </xf>
    <xf numFmtId="3" fontId="26" fillId="24" borderId="14" xfId="0" applyNumberFormat="1" applyFont="1" applyFill="1" applyBorder="1" applyAlignment="1">
      <alignment horizontal="right" vertical="center" wrapText="1"/>
    </xf>
    <xf numFmtId="3" fontId="26" fillId="29" borderId="14" xfId="0" applyNumberFormat="1" applyFont="1" applyFill="1" applyBorder="1" applyAlignment="1">
      <alignment horizontal="right" vertical="center" wrapText="1"/>
    </xf>
    <xf numFmtId="3" fontId="40" fillId="0" borderId="14" xfId="0" applyNumberFormat="1" applyFont="1" applyBorder="1" applyAlignment="1">
      <alignment horizontal="right" vertical="top" wrapText="1"/>
    </xf>
    <xf numFmtId="3" fontId="26" fillId="27" borderId="14" xfId="0" applyNumberFormat="1" applyFont="1" applyFill="1" applyBorder="1" applyAlignment="1">
      <alignment horizontal="right" vertical="center" wrapText="1"/>
    </xf>
    <xf numFmtId="3" fontId="42" fillId="28" borderId="14" xfId="0" applyNumberFormat="1" applyFont="1" applyFill="1" applyBorder="1" applyAlignment="1">
      <alignment horizontal="right"/>
    </xf>
    <xf numFmtId="0" fontId="40" fillId="0" borderId="101" xfId="0" applyFont="1" applyBorder="1" applyAlignment="1">
      <alignment horizontal="right" vertical="top" wrapText="1"/>
    </xf>
    <xf numFmtId="0" fontId="40" fillId="0" borderId="102" xfId="0" applyFont="1" applyBorder="1" applyAlignment="1">
      <alignment horizontal="right" vertical="top" wrapText="1"/>
    </xf>
    <xf numFmtId="3" fontId="26" fillId="24" borderId="101" xfId="0" applyNumberFormat="1" applyFont="1" applyFill="1" applyBorder="1" applyAlignment="1">
      <alignment horizontal="right" vertical="center" wrapText="1"/>
    </xf>
    <xf numFmtId="3" fontId="26" fillId="24" borderId="102" xfId="0" applyNumberFormat="1" applyFont="1" applyFill="1" applyBorder="1" applyAlignment="1">
      <alignment horizontal="right" vertical="center" wrapText="1"/>
    </xf>
    <xf numFmtId="3" fontId="40" fillId="0" borderId="101" xfId="0" applyNumberFormat="1" applyFont="1" applyBorder="1" applyAlignment="1">
      <alignment horizontal="right" vertical="top" wrapText="1"/>
    </xf>
    <xf numFmtId="3" fontId="40" fillId="0" borderId="102" xfId="0" applyNumberFormat="1" applyFont="1" applyBorder="1" applyAlignment="1">
      <alignment horizontal="right" vertical="top" wrapText="1"/>
    </xf>
    <xf numFmtId="3" fontId="26" fillId="27" borderId="101" xfId="0" applyNumberFormat="1" applyFont="1" applyFill="1" applyBorder="1" applyAlignment="1">
      <alignment horizontal="right" vertical="center" wrapText="1"/>
    </xf>
    <xf numFmtId="3" fontId="26" fillId="27" borderId="102" xfId="0" applyNumberFormat="1" applyFont="1" applyFill="1" applyBorder="1" applyAlignment="1">
      <alignment horizontal="right" vertical="center" wrapText="1"/>
    </xf>
    <xf numFmtId="3" fontId="42" fillId="28" borderId="102" xfId="0" applyNumberFormat="1" applyFont="1" applyFill="1" applyBorder="1" applyAlignment="1">
      <alignment horizontal="right"/>
    </xf>
    <xf numFmtId="0" fontId="0" fillId="0" borderId="104" xfId="0" applyFont="1" applyBorder="1"/>
    <xf numFmtId="0" fontId="40" fillId="0" borderId="104" xfId="0" applyFont="1" applyBorder="1" applyAlignment="1">
      <alignment horizontal="right" vertical="top" wrapText="1"/>
    </xf>
    <xf numFmtId="0" fontId="40" fillId="0" borderId="96" xfId="0" applyFont="1" applyBorder="1" applyAlignment="1">
      <alignment horizontal="right" vertical="top" wrapText="1"/>
    </xf>
    <xf numFmtId="3" fontId="40" fillId="0" borderId="39" xfId="0" applyNumberFormat="1" applyFont="1" applyFill="1" applyBorder="1" applyAlignment="1">
      <alignment horizontal="right" vertical="top" wrapText="1"/>
    </xf>
    <xf numFmtId="3" fontId="26" fillId="26" borderId="18" xfId="0" applyNumberFormat="1" applyFont="1" applyFill="1" applyBorder="1" applyAlignment="1">
      <alignment horizontal="right" vertical="top" wrapText="1"/>
    </xf>
    <xf numFmtId="3" fontId="26" fillId="26" borderId="101" xfId="0" applyNumberFormat="1" applyFont="1" applyFill="1" applyBorder="1" applyAlignment="1">
      <alignment horizontal="right" vertical="top" wrapText="1"/>
    </xf>
    <xf numFmtId="3" fontId="26" fillId="26" borderId="14" xfId="0" applyNumberFormat="1" applyFont="1" applyFill="1" applyBorder="1" applyAlignment="1">
      <alignment horizontal="right" vertical="top" wrapText="1"/>
    </xf>
    <xf numFmtId="3" fontId="26" fillId="26" borderId="102" xfId="0" applyNumberFormat="1" applyFont="1" applyFill="1" applyBorder="1" applyAlignment="1">
      <alignment horizontal="right" vertical="top" wrapText="1"/>
    </xf>
    <xf numFmtId="3" fontId="26" fillId="26" borderId="96" xfId="0" applyNumberFormat="1" applyFont="1" applyFill="1" applyBorder="1" applyAlignment="1">
      <alignment horizontal="right" vertical="top" wrapText="1"/>
    </xf>
    <xf numFmtId="0" fontId="40" fillId="0" borderId="101" xfId="0" applyFont="1" applyBorder="1" applyAlignment="1">
      <alignment horizontal="right" vertical="center"/>
    </xf>
    <xf numFmtId="0" fontId="40" fillId="0" borderId="14" xfId="0" applyFont="1" applyBorder="1" applyAlignment="1">
      <alignment horizontal="right" vertical="center"/>
    </xf>
    <xf numFmtId="0" fontId="40" fillId="0" borderId="102" xfId="0" applyFont="1" applyBorder="1" applyAlignment="1">
      <alignment horizontal="right" vertical="center"/>
    </xf>
    <xf numFmtId="0" fontId="40" fillId="0" borderId="96" xfId="0" applyFont="1" applyBorder="1" applyAlignment="1">
      <alignment horizontal="right" vertical="center"/>
    </xf>
    <xf numFmtId="3" fontId="26" fillId="24" borderId="96" xfId="0" applyNumberFormat="1" applyFont="1" applyFill="1" applyBorder="1" applyAlignment="1">
      <alignment horizontal="right" vertical="center" wrapText="1"/>
    </xf>
    <xf numFmtId="0" fontId="0" fillId="0" borderId="11" xfId="0" applyFont="1" applyBorder="1" applyAlignment="1">
      <alignment horizontal="left" vertical="top"/>
    </xf>
    <xf numFmtId="3" fontId="40" fillId="0" borderId="96" xfId="0" applyNumberFormat="1" applyFont="1" applyBorder="1" applyAlignment="1">
      <alignment horizontal="right" vertical="top" wrapText="1"/>
    </xf>
    <xf numFmtId="0" fontId="26" fillId="26" borderId="101" xfId="0" applyFont="1" applyFill="1" applyBorder="1" applyAlignment="1">
      <alignment horizontal="right" vertical="top" wrapText="1"/>
    </xf>
    <xf numFmtId="0" fontId="26" fillId="26" borderId="14" xfId="0" applyFont="1" applyFill="1" applyBorder="1" applyAlignment="1">
      <alignment horizontal="right" vertical="top" wrapText="1"/>
    </xf>
    <xf numFmtId="0" fontId="26" fillId="26" borderId="102" xfId="0" applyFont="1" applyFill="1" applyBorder="1" applyAlignment="1">
      <alignment horizontal="right" vertical="top" wrapText="1"/>
    </xf>
    <xf numFmtId="0" fontId="26" fillId="26" borderId="96" xfId="0" applyFont="1" applyFill="1" applyBorder="1" applyAlignment="1">
      <alignment horizontal="right" vertical="top" wrapText="1"/>
    </xf>
    <xf numFmtId="3" fontId="26" fillId="24" borderId="18" xfId="0" applyNumberFormat="1" applyFont="1" applyFill="1" applyBorder="1" applyAlignment="1">
      <alignment horizontal="right" vertical="top" wrapText="1"/>
    </xf>
    <xf numFmtId="3" fontId="26" fillId="24" borderId="101" xfId="0" applyNumberFormat="1" applyFont="1" applyFill="1" applyBorder="1" applyAlignment="1">
      <alignment horizontal="right" vertical="top" wrapText="1"/>
    </xf>
    <xf numFmtId="3" fontId="26" fillId="24" borderId="14" xfId="0" applyNumberFormat="1" applyFont="1" applyFill="1" applyBorder="1" applyAlignment="1">
      <alignment horizontal="right" vertical="top" wrapText="1"/>
    </xf>
    <xf numFmtId="3" fontId="26" fillId="24" borderId="102" xfId="0" applyNumberFormat="1" applyFont="1" applyFill="1" applyBorder="1" applyAlignment="1">
      <alignment horizontal="right" vertical="top" wrapText="1"/>
    </xf>
    <xf numFmtId="3" fontId="26" fillId="24" borderId="96" xfId="0" applyNumberFormat="1" applyFont="1" applyFill="1" applyBorder="1" applyAlignment="1">
      <alignment horizontal="right" vertical="top" wrapText="1"/>
    </xf>
    <xf numFmtId="3" fontId="40" fillId="0" borderId="35" xfId="0" applyNumberFormat="1" applyFont="1" applyFill="1" applyBorder="1" applyAlignment="1">
      <alignment horizontal="right" vertical="top" wrapText="1"/>
    </xf>
    <xf numFmtId="3" fontId="26" fillId="27" borderId="96" xfId="0" applyNumberFormat="1" applyFont="1" applyFill="1" applyBorder="1" applyAlignment="1">
      <alignment horizontal="right" vertical="center" wrapText="1"/>
    </xf>
    <xf numFmtId="3" fontId="46" fillId="28" borderId="18" xfId="0" applyNumberFormat="1" applyFont="1" applyFill="1" applyBorder="1" applyAlignment="1">
      <alignment horizontal="right"/>
    </xf>
    <xf numFmtId="3" fontId="46" fillId="28" borderId="101" xfId="0" applyNumberFormat="1" applyFont="1" applyFill="1" applyBorder="1" applyAlignment="1">
      <alignment horizontal="right"/>
    </xf>
    <xf numFmtId="3" fontId="46" fillId="28" borderId="14" xfId="0" applyNumberFormat="1" applyFont="1" applyFill="1" applyBorder="1" applyAlignment="1">
      <alignment horizontal="right"/>
    </xf>
    <xf numFmtId="3" fontId="46" fillId="28" borderId="102" xfId="0" applyNumberFormat="1" applyFont="1" applyFill="1" applyBorder="1" applyAlignment="1">
      <alignment horizontal="right"/>
    </xf>
    <xf numFmtId="3" fontId="46" fillId="28" borderId="96" xfId="0" applyNumberFormat="1" applyFont="1" applyFill="1" applyBorder="1" applyAlignment="1">
      <alignment horizontal="right"/>
    </xf>
    <xf numFmtId="0" fontId="40" fillId="0" borderId="95" xfId="0" applyFont="1" applyBorder="1" applyAlignment="1">
      <alignment horizontal="right" vertical="top" wrapText="1"/>
    </xf>
    <xf numFmtId="3" fontId="26" fillId="24" borderId="95" xfId="0" applyNumberFormat="1" applyFont="1" applyFill="1" applyBorder="1" applyAlignment="1">
      <alignment horizontal="right" vertical="center" wrapText="1"/>
    </xf>
    <xf numFmtId="3" fontId="40" fillId="0" borderId="95" xfId="0" applyNumberFormat="1" applyFont="1" applyBorder="1" applyAlignment="1">
      <alignment horizontal="right" vertical="top" wrapText="1"/>
    </xf>
    <xf numFmtId="3" fontId="26" fillId="29" borderId="95" xfId="0" applyNumberFormat="1" applyFont="1" applyFill="1" applyBorder="1" applyAlignment="1">
      <alignment horizontal="right" vertical="center" wrapText="1"/>
    </xf>
    <xf numFmtId="3" fontId="26" fillId="27" borderId="95" xfId="0" applyNumberFormat="1" applyFont="1" applyFill="1" applyBorder="1" applyAlignment="1">
      <alignment horizontal="right" vertical="center" wrapText="1"/>
    </xf>
    <xf numFmtId="3" fontId="42" fillId="28" borderId="95" xfId="0" applyNumberFormat="1" applyFont="1" applyFill="1" applyBorder="1" applyAlignment="1">
      <alignment horizontal="right"/>
    </xf>
    <xf numFmtId="3" fontId="26" fillId="29" borderId="96" xfId="0" applyNumberFormat="1" applyFont="1" applyFill="1" applyBorder="1" applyAlignment="1">
      <alignment horizontal="right" vertical="center" wrapText="1"/>
    </xf>
    <xf numFmtId="3" fontId="42" fillId="28" borderId="96" xfId="0" applyNumberFormat="1" applyFont="1" applyFill="1" applyBorder="1" applyAlignment="1">
      <alignment horizontal="right"/>
    </xf>
    <xf numFmtId="0" fontId="41" fillId="26" borderId="11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center"/>
    </xf>
    <xf numFmtId="0" fontId="39" fillId="24" borderId="34" xfId="0" applyFont="1" applyFill="1" applyBorder="1" applyAlignment="1">
      <alignment horizontal="center" vertical="center" wrapText="1"/>
    </xf>
    <xf numFmtId="0" fontId="39" fillId="24" borderId="55" xfId="0" applyFont="1" applyFill="1" applyBorder="1" applyAlignment="1">
      <alignment horizontal="center" vertical="center" wrapText="1"/>
    </xf>
    <xf numFmtId="0" fontId="39" fillId="24" borderId="56" xfId="0" applyFont="1" applyFill="1" applyBorder="1" applyAlignment="1">
      <alignment horizontal="center" vertical="center" wrapText="1"/>
    </xf>
    <xf numFmtId="0" fontId="39" fillId="24" borderId="26" xfId="0" applyFont="1" applyFill="1" applyBorder="1" applyAlignment="1">
      <alignment horizontal="center" vertical="center" wrapText="1"/>
    </xf>
    <xf numFmtId="0" fontId="39" fillId="24" borderId="33" xfId="0" applyFont="1" applyFill="1" applyBorder="1" applyAlignment="1">
      <alignment horizontal="center" vertical="center" wrapText="1"/>
    </xf>
    <xf numFmtId="0" fontId="39" fillId="24" borderId="5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5" fillId="0" borderId="33" xfId="0" applyFont="1" applyBorder="1" applyAlignment="1">
      <alignment horizontal="center" vertical="center"/>
    </xf>
    <xf numFmtId="0" fontId="41" fillId="24" borderId="11" xfId="0" applyFont="1" applyFill="1" applyBorder="1" applyAlignment="1">
      <alignment horizontal="left" vertical="center" wrapText="1"/>
    </xf>
    <xf numFmtId="0" fontId="41" fillId="24" borderId="11" xfId="0" applyFont="1" applyFill="1" applyBorder="1" applyAlignment="1">
      <alignment horizontal="left" vertical="top" wrapText="1"/>
    </xf>
    <xf numFmtId="0" fontId="26" fillId="24" borderId="11" xfId="0" applyFont="1" applyFill="1" applyBorder="1" applyAlignment="1">
      <alignment horizontal="left" vertical="center" wrapText="1"/>
    </xf>
    <xf numFmtId="0" fontId="46" fillId="28" borderId="11" xfId="0" applyFont="1" applyFill="1" applyBorder="1" applyAlignment="1">
      <alignment horizontal="left"/>
    </xf>
    <xf numFmtId="0" fontId="41" fillId="27" borderId="11" xfId="0" applyFont="1" applyFill="1" applyBorder="1" applyAlignment="1">
      <alignment horizontal="left" vertical="center" wrapText="1"/>
    </xf>
    <xf numFmtId="0" fontId="26" fillId="24" borderId="11" xfId="0" applyFont="1" applyFill="1" applyBorder="1" applyAlignment="1">
      <alignment horizontal="left" vertical="top" wrapText="1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7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6" fillId="27" borderId="11" xfId="0" applyFont="1" applyFill="1" applyBorder="1" applyAlignment="1">
      <alignment horizontal="left" vertical="center" wrapText="1"/>
    </xf>
    <xf numFmtId="0" fontId="0" fillId="0" borderId="11" xfId="0" applyFont="1" applyBorder="1" applyAlignment="1">
      <alignment horizontal="center"/>
    </xf>
    <xf numFmtId="0" fontId="26" fillId="26" borderId="11" xfId="0" applyFont="1" applyFill="1" applyBorder="1" applyAlignment="1">
      <alignment horizontal="left" vertical="top" wrapText="1"/>
    </xf>
    <xf numFmtId="0" fontId="40" fillId="24" borderId="19" xfId="0" applyFont="1" applyFill="1" applyBorder="1" applyAlignment="1">
      <alignment horizontal="center" vertical="center" wrapText="1"/>
    </xf>
    <xf numFmtId="0" fontId="40" fillId="24" borderId="17" xfId="0" applyFont="1" applyFill="1" applyBorder="1" applyAlignment="1">
      <alignment horizontal="center" vertical="center" wrapText="1"/>
    </xf>
    <xf numFmtId="0" fontId="40" fillId="24" borderId="97" xfId="0" applyFont="1" applyFill="1" applyBorder="1" applyAlignment="1">
      <alignment horizontal="center" vertical="center" wrapText="1"/>
    </xf>
    <xf numFmtId="0" fontId="40" fillId="24" borderId="99" xfId="0" applyFont="1" applyFill="1" applyBorder="1" applyAlignment="1">
      <alignment horizontal="center" vertical="center" wrapText="1"/>
    </xf>
    <xf numFmtId="0" fontId="40" fillId="24" borderId="34" xfId="0" applyFont="1" applyFill="1" applyBorder="1" applyAlignment="1">
      <alignment horizontal="center" vertical="center" wrapText="1"/>
    </xf>
    <xf numFmtId="0" fontId="40" fillId="24" borderId="55" xfId="0" applyFont="1" applyFill="1" applyBorder="1" applyAlignment="1">
      <alignment horizontal="center" vertical="center" wrapText="1"/>
    </xf>
    <xf numFmtId="0" fontId="40" fillId="24" borderId="56" xfId="0" applyFont="1" applyFill="1" applyBorder="1" applyAlignment="1">
      <alignment horizontal="center" vertical="center" wrapText="1"/>
    </xf>
    <xf numFmtId="0" fontId="40" fillId="24" borderId="39" xfId="0" applyFont="1" applyFill="1" applyBorder="1" applyAlignment="1">
      <alignment horizontal="center" vertical="center" wrapText="1"/>
    </xf>
    <xf numFmtId="0" fontId="40" fillId="24" borderId="0" xfId="0" applyFont="1" applyFill="1" applyBorder="1" applyAlignment="1">
      <alignment horizontal="center" vertical="center" wrapText="1"/>
    </xf>
    <xf numFmtId="0" fontId="40" fillId="24" borderId="71" xfId="0" applyFont="1" applyFill="1" applyBorder="1" applyAlignment="1">
      <alignment horizontal="center" vertical="center" wrapText="1"/>
    </xf>
    <xf numFmtId="0" fontId="40" fillId="24" borderId="26" xfId="0" applyFont="1" applyFill="1" applyBorder="1" applyAlignment="1">
      <alignment horizontal="center" vertical="center" wrapText="1"/>
    </xf>
    <xf numFmtId="0" fontId="40" fillId="24" borderId="33" xfId="0" applyFont="1" applyFill="1" applyBorder="1" applyAlignment="1">
      <alignment horizontal="center" vertical="center" wrapText="1"/>
    </xf>
    <xf numFmtId="0" fontId="40" fillId="24" borderId="57" xfId="0" applyFont="1" applyFill="1" applyBorder="1" applyAlignment="1">
      <alignment horizontal="center" vertical="center" wrapText="1"/>
    </xf>
    <xf numFmtId="0" fontId="40" fillId="24" borderId="35" xfId="0" applyFont="1" applyFill="1" applyBorder="1" applyAlignment="1">
      <alignment horizontal="center" vertical="center" wrapText="1"/>
    </xf>
    <xf numFmtId="0" fontId="42" fillId="28" borderId="11" xfId="0" applyFont="1" applyFill="1" applyBorder="1" applyAlignment="1">
      <alignment horizontal="left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3" fontId="40" fillId="24" borderId="18" xfId="0" applyNumberFormat="1" applyFont="1" applyFill="1" applyBorder="1" applyAlignment="1">
      <alignment horizontal="center" vertical="center" wrapText="1"/>
    </xf>
    <xf numFmtId="3" fontId="40" fillId="24" borderId="31" xfId="0" applyNumberFormat="1" applyFont="1" applyFill="1" applyBorder="1" applyAlignment="1">
      <alignment horizontal="center" vertical="center" wrapText="1"/>
    </xf>
    <xf numFmtId="3" fontId="40" fillId="24" borderId="95" xfId="0" applyNumberFormat="1" applyFont="1" applyFill="1" applyBorder="1" applyAlignment="1">
      <alignment horizontal="center" vertical="center" wrapText="1"/>
    </xf>
    <xf numFmtId="3" fontId="40" fillId="24" borderId="96" xfId="0" applyNumberFormat="1" applyFont="1" applyFill="1" applyBorder="1" applyAlignment="1">
      <alignment horizontal="center" vertical="center" wrapText="1"/>
    </xf>
    <xf numFmtId="3" fontId="40" fillId="24" borderId="97" xfId="0" applyNumberFormat="1" applyFont="1" applyFill="1" applyBorder="1" applyAlignment="1">
      <alignment horizontal="center" vertical="center" wrapText="1"/>
    </xf>
    <xf numFmtId="3" fontId="40" fillId="24" borderId="103" xfId="0" applyNumberFormat="1" applyFont="1" applyFill="1" applyBorder="1" applyAlignment="1">
      <alignment horizontal="center" vertical="center" wrapText="1"/>
    </xf>
    <xf numFmtId="3" fontId="40" fillId="24" borderId="99" xfId="0" applyNumberFormat="1" applyFont="1" applyFill="1" applyBorder="1" applyAlignment="1">
      <alignment horizontal="center" vertical="center" wrapText="1"/>
    </xf>
    <xf numFmtId="0" fontId="40" fillId="24" borderId="98" xfId="0" applyFont="1" applyFill="1" applyBorder="1" applyAlignment="1">
      <alignment horizontal="center" vertical="center" wrapText="1"/>
    </xf>
    <xf numFmtId="0" fontId="40" fillId="24" borderId="100" xfId="0" applyFont="1" applyFill="1" applyBorder="1" applyAlignment="1">
      <alignment horizontal="center" vertical="center" wrapText="1"/>
    </xf>
    <xf numFmtId="3" fontId="39" fillId="24" borderId="34" xfId="0" applyNumberFormat="1" applyFont="1" applyFill="1" applyBorder="1" applyAlignment="1">
      <alignment horizontal="center" vertical="center" wrapText="1"/>
    </xf>
    <xf numFmtId="3" fontId="39" fillId="24" borderId="26" xfId="0" applyNumberFormat="1" applyFont="1" applyFill="1" applyBorder="1" applyAlignment="1">
      <alignment horizontal="center" vertical="center" wrapText="1"/>
    </xf>
    <xf numFmtId="0" fontId="39" fillId="24" borderId="19" xfId="0" applyFont="1" applyFill="1" applyBorder="1" applyAlignment="1">
      <alignment horizontal="center" vertical="center" wrapText="1"/>
    </xf>
    <xf numFmtId="0" fontId="39" fillId="24" borderId="17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1" fillId="27" borderId="26" xfId="0" applyFont="1" applyFill="1" applyBorder="1" applyAlignment="1">
      <alignment horizontal="left" vertical="center" wrapText="1"/>
    </xf>
    <xf numFmtId="0" fontId="41" fillId="27" borderId="33" xfId="0" applyFont="1" applyFill="1" applyBorder="1" applyAlignment="1">
      <alignment horizontal="left" vertical="center" wrapText="1"/>
    </xf>
    <xf numFmtId="0" fontId="41" fillId="27" borderId="57" xfId="0" applyFont="1" applyFill="1" applyBorder="1" applyAlignment="1">
      <alignment horizontal="left" vertical="center" wrapText="1"/>
    </xf>
    <xf numFmtId="0" fontId="26" fillId="29" borderId="18" xfId="0" applyFont="1" applyFill="1" applyBorder="1" applyAlignment="1">
      <alignment horizontal="left" vertical="center" wrapText="1"/>
    </xf>
    <xf numFmtId="0" fontId="26" fillId="29" borderId="14" xfId="0" applyFont="1" applyFill="1" applyBorder="1" applyAlignment="1">
      <alignment horizontal="left" vertical="center" wrapText="1"/>
    </xf>
    <xf numFmtId="0" fontId="43" fillId="0" borderId="11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26" fillId="27" borderId="26" xfId="0" applyFont="1" applyFill="1" applyBorder="1" applyAlignment="1">
      <alignment horizontal="left" vertical="center" wrapText="1"/>
    </xf>
    <xf numFmtId="0" fontId="26" fillId="27" borderId="33" xfId="0" applyFont="1" applyFill="1" applyBorder="1" applyAlignment="1">
      <alignment horizontal="left" vertical="center" wrapText="1"/>
    </xf>
    <xf numFmtId="0" fontId="26" fillId="27" borderId="57" xfId="0" applyFont="1" applyFill="1" applyBorder="1" applyAlignment="1">
      <alignment horizontal="left" vertical="center" wrapText="1"/>
    </xf>
    <xf numFmtId="167" fontId="28" fillId="0" borderId="0" xfId="0" applyNumberFormat="1" applyFont="1" applyAlignment="1">
      <alignment horizontal="center" textRotation="180" wrapText="1"/>
    </xf>
    <xf numFmtId="167" fontId="30" fillId="0" borderId="37" xfId="0" applyNumberFormat="1" applyFont="1" applyBorder="1" applyAlignment="1">
      <alignment horizontal="center" vertical="center" wrapText="1"/>
    </xf>
    <xf numFmtId="167" fontId="30" fillId="0" borderId="42" xfId="0" applyNumberFormat="1" applyFont="1" applyBorder="1" applyAlignment="1">
      <alignment horizontal="center" vertical="center" wrapText="1"/>
    </xf>
    <xf numFmtId="167" fontId="30" fillId="0" borderId="58" xfId="0" applyNumberFormat="1" applyFont="1" applyBorder="1" applyAlignment="1">
      <alignment horizontal="center" vertical="center" wrapText="1"/>
    </xf>
    <xf numFmtId="167" fontId="30" fillId="0" borderId="59" xfId="0" applyNumberFormat="1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center"/>
    </xf>
    <xf numFmtId="0" fontId="2" fillId="24" borderId="43" xfId="0" applyFont="1" applyFill="1" applyBorder="1" applyAlignment="1">
      <alignment horizontal="left" vertical="center"/>
    </xf>
    <xf numFmtId="0" fontId="2" fillId="24" borderId="53" xfId="0" applyFont="1" applyFill="1" applyBorder="1" applyAlignment="1">
      <alignment horizontal="left" vertical="center"/>
    </xf>
    <xf numFmtId="0" fontId="2" fillId="24" borderId="43" xfId="0" applyFont="1" applyFill="1" applyBorder="1" applyAlignment="1">
      <alignment horizontal="center" vertical="center" wrapText="1"/>
    </xf>
    <xf numFmtId="0" fontId="2" fillId="24" borderId="51" xfId="0" applyFont="1" applyFill="1" applyBorder="1" applyAlignment="1">
      <alignment horizontal="center" vertical="center" wrapText="1"/>
    </xf>
    <xf numFmtId="0" fontId="2" fillId="24" borderId="30" xfId="0" applyFont="1" applyFill="1" applyBorder="1" applyAlignment="1">
      <alignment horizontal="left" vertical="center"/>
    </xf>
    <xf numFmtId="0" fontId="2" fillId="24" borderId="14" xfId="0" applyFont="1" applyFill="1" applyBorder="1" applyAlignment="1">
      <alignment horizontal="left" vertical="center"/>
    </xf>
    <xf numFmtId="0" fontId="2" fillId="24" borderId="61" xfId="0" applyFont="1" applyFill="1" applyBorder="1" applyAlignment="1">
      <alignment horizontal="left" vertical="center"/>
    </xf>
    <xf numFmtId="0" fontId="2" fillId="24" borderId="62" xfId="0" applyFont="1" applyFill="1" applyBorder="1" applyAlignment="1">
      <alignment horizontal="left" vertical="center"/>
    </xf>
    <xf numFmtId="0" fontId="2" fillId="0" borderId="92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1" borderId="60" xfId="0" applyFont="1" applyFill="1" applyBorder="1" applyAlignment="1">
      <alignment horizontal="left" vertical="center"/>
    </xf>
    <xf numFmtId="0" fontId="7" fillId="1" borderId="55" xfId="0" applyFont="1" applyFill="1" applyBorder="1" applyAlignment="1">
      <alignment horizontal="left" vertical="center"/>
    </xf>
    <xf numFmtId="0" fontId="7" fillId="1" borderId="81" xfId="0" applyFont="1" applyFill="1" applyBorder="1" applyAlignment="1">
      <alignment horizontal="left" vertical="center"/>
    </xf>
    <xf numFmtId="0" fontId="2" fillId="0" borderId="45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49" fillId="1" borderId="18" xfId="0" applyFont="1" applyFill="1" applyBorder="1" applyAlignment="1">
      <alignment horizontal="left" vertical="center"/>
    </xf>
    <xf numFmtId="0" fontId="49" fillId="1" borderId="31" xfId="0" applyFont="1" applyFill="1" applyBorder="1" applyAlignment="1">
      <alignment horizontal="left" vertical="center"/>
    </xf>
    <xf numFmtId="0" fontId="49" fillId="1" borderId="14" xfId="0" applyFont="1" applyFill="1" applyBorder="1" applyAlignment="1">
      <alignment horizontal="left" vertical="center"/>
    </xf>
    <xf numFmtId="0" fontId="2" fillId="24" borderId="64" xfId="0" applyFont="1" applyFill="1" applyBorder="1" applyAlignment="1">
      <alignment horizontal="left" vertical="center"/>
    </xf>
    <xf numFmtId="0" fontId="2" fillId="24" borderId="65" xfId="0" applyFont="1" applyFill="1" applyBorder="1" applyAlignment="1">
      <alignment horizontal="left" vertical="center"/>
    </xf>
    <xf numFmtId="0" fontId="2" fillId="0" borderId="63" xfId="0" applyFont="1" applyBorder="1" applyAlignment="1">
      <alignment horizontal="center" vertical="top"/>
    </xf>
    <xf numFmtId="0" fontId="2" fillId="0" borderId="47" xfId="0" applyFont="1" applyBorder="1" applyAlignment="1">
      <alignment horizontal="center" vertical="top"/>
    </xf>
    <xf numFmtId="0" fontId="2" fillId="0" borderId="26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top"/>
    </xf>
    <xf numFmtId="0" fontId="2" fillId="0" borderId="35" xfId="0" applyFont="1" applyBorder="1" applyAlignment="1">
      <alignment horizontal="center" vertical="top"/>
    </xf>
    <xf numFmtId="0" fontId="2" fillId="1" borderId="11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1" borderId="18" xfId="0" applyFont="1" applyFill="1" applyBorder="1" applyAlignment="1">
      <alignment horizontal="left" vertical="center"/>
    </xf>
    <xf numFmtId="0" fontId="2" fillId="1" borderId="31" xfId="0" applyFont="1" applyFill="1" applyBorder="1" applyAlignment="1">
      <alignment horizontal="left" vertical="center"/>
    </xf>
    <xf numFmtId="0" fontId="2" fillId="1" borderId="14" xfId="0" applyFont="1" applyFill="1" applyBorder="1" applyAlignment="1">
      <alignment horizontal="left" vertical="center"/>
    </xf>
    <xf numFmtId="2" fontId="2" fillId="0" borderId="18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24" borderId="25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24" borderId="19" xfId="0" applyFont="1" applyFill="1" applyBorder="1" applyAlignment="1">
      <alignment horizontal="left" vertical="center"/>
    </xf>
    <xf numFmtId="0" fontId="0" fillId="0" borderId="31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2" fillId="24" borderId="54" xfId="0" applyFont="1" applyFill="1" applyBorder="1" applyAlignment="1">
      <alignment horizontal="center" vertical="center" wrapText="1"/>
    </xf>
    <xf numFmtId="0" fontId="2" fillId="0" borderId="66" xfId="0" applyFont="1" applyBorder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49" fontId="2" fillId="24" borderId="63" xfId="0" applyNumberFormat="1" applyFont="1" applyFill="1" applyBorder="1" applyAlignment="1">
      <alignment horizontal="center" vertical="center" wrapText="1"/>
    </xf>
    <xf numFmtId="49" fontId="2" fillId="24" borderId="21" xfId="0" applyNumberFormat="1" applyFont="1" applyFill="1" applyBorder="1" applyAlignment="1">
      <alignment horizontal="center" vertical="center" wrapText="1"/>
    </xf>
    <xf numFmtId="0" fontId="2" fillId="24" borderId="66" xfId="0" applyFont="1" applyFill="1" applyBorder="1" applyAlignment="1">
      <alignment horizontal="center" vertical="center" wrapText="1"/>
    </xf>
    <xf numFmtId="0" fontId="2" fillId="24" borderId="2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4" borderId="28" xfId="0" applyFont="1" applyFill="1" applyBorder="1" applyAlignment="1">
      <alignment horizontal="left" vertical="center" wrapText="1"/>
    </xf>
    <xf numFmtId="0" fontId="2" fillId="24" borderId="68" xfId="0" applyFont="1" applyFill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0" fillId="0" borderId="36" xfId="0" applyBorder="1"/>
    <xf numFmtId="0" fontId="0" fillId="0" borderId="43" xfId="0" applyBorder="1"/>
    <xf numFmtId="0" fontId="3" fillId="0" borderId="43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51" xfId="0" applyFont="1" applyBorder="1" applyAlignment="1">
      <alignment horizontal="center" vertical="center"/>
    </xf>
    <xf numFmtId="0" fontId="2" fillId="24" borderId="69" xfId="0" applyFont="1" applyFill="1" applyBorder="1" applyAlignment="1">
      <alignment horizontal="center" vertical="center" wrapText="1"/>
    </xf>
    <xf numFmtId="0" fontId="2" fillId="24" borderId="70" xfId="0" applyFont="1" applyFill="1" applyBorder="1" applyAlignment="1">
      <alignment horizontal="center" vertical="center" wrapText="1"/>
    </xf>
    <xf numFmtId="0" fontId="2" fillId="24" borderId="2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167" fontId="36" fillId="0" borderId="77" xfId="0" applyNumberFormat="1" applyFont="1" applyBorder="1" applyAlignment="1">
      <alignment horizontal="right" vertical="center" wrapText="1" indent="1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k&#246;z&#246;s\Hivatali%20Dokumentumok\_K&#214;Z&#214;S%20DOKUMENTUMOK\_P&#201;NZ&#220;GY\2020.%20&#233;v\K&#246;lts&#233;gvet&#233;s\B&#246;rcs\Rendeletek\B&#246;rcs%202020.%20&#233;vi%20ktgv.%20rend.%20mell.%20Ol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Bevételek"/>
      <sheetName val="1.1.Bevételek (KÖT, ÖNV,Áll.i)"/>
      <sheetName val="2. Kiadások"/>
      <sheetName val="2.1.Kiadások (KÖT, ÖNV, Áll.i)"/>
      <sheetName val="3.Működési mérleg"/>
      <sheetName val="4. Felhalmozási mérleg"/>
      <sheetName val="5. Pénzeszköz átadás"/>
      <sheetName val="6 .Felhalmozási k."/>
      <sheetName val="7. Létszám"/>
      <sheetName val="8. Adósságk."/>
    </sheetNames>
    <sheetDataSet>
      <sheetData sheetId="0">
        <row r="16">
          <cell r="E16">
            <v>3820000</v>
          </cell>
        </row>
        <row r="17">
          <cell r="E17">
            <v>14737352</v>
          </cell>
        </row>
        <row r="19">
          <cell r="E19">
            <v>0</v>
          </cell>
        </row>
        <row r="21">
          <cell r="E21">
            <v>210000</v>
          </cell>
        </row>
        <row r="25">
          <cell r="E25">
            <v>0</v>
          </cell>
        </row>
        <row r="32">
          <cell r="E3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tabColor indexed="17"/>
    <pageSetUpPr fitToPage="1"/>
  </sheetPr>
  <dimension ref="A1:J52"/>
  <sheetViews>
    <sheetView topLeftCell="A19" zoomScaleNormal="100" workbookViewId="0">
      <selection activeCell="C22" sqref="C22"/>
    </sheetView>
  </sheetViews>
  <sheetFormatPr defaultRowHeight="12.75" x14ac:dyDescent="0.2"/>
  <cols>
    <col min="1" max="1" width="3.7109375" customWidth="1"/>
    <col min="2" max="2" width="3.140625" customWidth="1"/>
    <col min="3" max="3" width="52.7109375" customWidth="1"/>
    <col min="4" max="4" width="9.140625" customWidth="1"/>
    <col min="5" max="5" width="20" style="146" bestFit="1" customWidth="1"/>
    <col min="6" max="8" width="14.42578125" style="146" customWidth="1"/>
    <col min="9" max="9" width="12.42578125" bestFit="1" customWidth="1"/>
    <col min="10" max="10" width="12.7109375" bestFit="1" customWidth="1"/>
  </cols>
  <sheetData>
    <row r="1" spans="1:10" ht="21.75" customHeight="1" x14ac:dyDescent="0.2">
      <c r="A1" s="562" t="s">
        <v>410</v>
      </c>
      <c r="B1" s="562"/>
      <c r="C1" s="562"/>
      <c r="D1" s="562"/>
      <c r="E1" s="562"/>
      <c r="F1" s="562"/>
      <c r="G1" s="562"/>
      <c r="H1" s="562"/>
      <c r="I1" s="562"/>
      <c r="J1" s="562"/>
    </row>
    <row r="2" spans="1:10" ht="28.5" customHeight="1" x14ac:dyDescent="0.2">
      <c r="A2" s="563" t="s">
        <v>76</v>
      </c>
      <c r="B2" s="563"/>
      <c r="C2" s="563"/>
      <c r="D2" s="563"/>
      <c r="E2" s="563"/>
      <c r="F2" s="563"/>
      <c r="G2" s="563"/>
      <c r="H2" s="563"/>
      <c r="I2" s="563"/>
      <c r="J2" s="298" t="s">
        <v>302</v>
      </c>
    </row>
    <row r="3" spans="1:10" ht="36.75" customHeight="1" x14ac:dyDescent="0.2">
      <c r="A3" s="556" t="s">
        <v>35</v>
      </c>
      <c r="B3" s="557"/>
      <c r="C3" s="558"/>
      <c r="D3" s="168" t="s">
        <v>242</v>
      </c>
      <c r="E3" s="116" t="s">
        <v>327</v>
      </c>
      <c r="F3" s="116" t="s">
        <v>373</v>
      </c>
      <c r="G3" s="116" t="s">
        <v>396</v>
      </c>
      <c r="H3" s="116" t="s">
        <v>411</v>
      </c>
      <c r="I3" s="116" t="s">
        <v>374</v>
      </c>
      <c r="J3" s="116" t="s">
        <v>375</v>
      </c>
    </row>
    <row r="4" spans="1:10" ht="15" x14ac:dyDescent="0.2">
      <c r="A4" s="559"/>
      <c r="B4" s="560"/>
      <c r="C4" s="561"/>
      <c r="D4" s="169"/>
      <c r="E4" s="116" t="s">
        <v>326</v>
      </c>
      <c r="F4" s="116"/>
      <c r="G4" s="116"/>
      <c r="H4" s="116"/>
      <c r="I4" s="116"/>
      <c r="J4" s="116"/>
    </row>
    <row r="5" spans="1:10" ht="17.25" customHeight="1" x14ac:dyDescent="0.2">
      <c r="A5" s="555" t="s">
        <v>36</v>
      </c>
      <c r="B5" s="112" t="s">
        <v>36</v>
      </c>
      <c r="C5" s="109" t="s">
        <v>182</v>
      </c>
      <c r="D5" s="109" t="s">
        <v>245</v>
      </c>
      <c r="E5" s="250">
        <v>23673830</v>
      </c>
      <c r="F5" s="250">
        <v>73322</v>
      </c>
      <c r="G5" s="250">
        <v>35897</v>
      </c>
      <c r="H5" s="250">
        <f>I5-G5-F5-E5</f>
        <v>35691</v>
      </c>
      <c r="I5" s="110">
        <v>23818740</v>
      </c>
      <c r="J5" s="110">
        <v>23818740</v>
      </c>
    </row>
    <row r="6" spans="1:10" ht="25.5" x14ac:dyDescent="0.2">
      <c r="A6" s="555"/>
      <c r="B6" s="112" t="s">
        <v>37</v>
      </c>
      <c r="C6" s="109" t="s">
        <v>183</v>
      </c>
      <c r="D6" s="109" t="s">
        <v>246</v>
      </c>
      <c r="E6" s="250">
        <v>0</v>
      </c>
      <c r="F6" s="250">
        <v>0</v>
      </c>
      <c r="G6" s="250">
        <v>0</v>
      </c>
      <c r="H6" s="250">
        <f t="shared" ref="H6:H51" si="0">I6-G6-F6-E6</f>
        <v>0</v>
      </c>
      <c r="I6" s="110">
        <v>0</v>
      </c>
      <c r="J6" s="110">
        <v>0</v>
      </c>
    </row>
    <row r="7" spans="1:10" ht="25.5" x14ac:dyDescent="0.2">
      <c r="A7" s="555"/>
      <c r="B7" s="112" t="s">
        <v>38</v>
      </c>
      <c r="C7" s="109" t="s">
        <v>184</v>
      </c>
      <c r="D7" s="109" t="s">
        <v>247</v>
      </c>
      <c r="E7" s="250">
        <v>6695000</v>
      </c>
      <c r="F7" s="250">
        <v>0</v>
      </c>
      <c r="G7" s="250">
        <v>-834240</v>
      </c>
      <c r="H7" s="250">
        <f t="shared" si="0"/>
        <v>88000</v>
      </c>
      <c r="I7" s="110">
        <v>5948760</v>
      </c>
      <c r="J7" s="110">
        <v>5948760</v>
      </c>
    </row>
    <row r="8" spans="1:10" ht="14.25" customHeight="1" x14ac:dyDescent="0.2">
      <c r="A8" s="555"/>
      <c r="B8" s="112" t="s">
        <v>39</v>
      </c>
      <c r="C8" s="109" t="s">
        <v>185</v>
      </c>
      <c r="D8" s="109" t="s">
        <v>248</v>
      </c>
      <c r="E8" s="250">
        <v>1800000</v>
      </c>
      <c r="F8" s="250">
        <v>0</v>
      </c>
      <c r="G8" s="250">
        <v>576200</v>
      </c>
      <c r="H8" s="250">
        <f t="shared" si="0"/>
        <v>0</v>
      </c>
      <c r="I8" s="110">
        <v>2376200</v>
      </c>
      <c r="J8" s="110">
        <v>2376200</v>
      </c>
    </row>
    <row r="9" spans="1:10" ht="14.25" customHeight="1" x14ac:dyDescent="0.2">
      <c r="A9" s="555"/>
      <c r="B9" s="112" t="s">
        <v>40</v>
      </c>
      <c r="C9" s="109" t="s">
        <v>397</v>
      </c>
      <c r="D9" s="109" t="s">
        <v>398</v>
      </c>
      <c r="E9" s="250"/>
      <c r="F9" s="250"/>
      <c r="G9" s="250">
        <v>876300</v>
      </c>
      <c r="H9" s="250">
        <f t="shared" si="0"/>
        <v>0</v>
      </c>
      <c r="I9" s="110">
        <v>876300</v>
      </c>
      <c r="J9" s="110">
        <v>876300</v>
      </c>
    </row>
    <row r="10" spans="1:10" ht="14.25" customHeight="1" x14ac:dyDescent="0.2">
      <c r="A10" s="555"/>
      <c r="B10" s="112" t="s">
        <v>44</v>
      </c>
      <c r="C10" s="109" t="s">
        <v>376</v>
      </c>
      <c r="D10" s="109" t="s">
        <v>377</v>
      </c>
      <c r="E10" s="250"/>
      <c r="F10" s="250">
        <v>228000</v>
      </c>
      <c r="G10" s="250">
        <v>0</v>
      </c>
      <c r="H10" s="250">
        <f t="shared" si="0"/>
        <v>0</v>
      </c>
      <c r="I10" s="110">
        <v>228000</v>
      </c>
      <c r="J10" s="110">
        <v>228000</v>
      </c>
    </row>
    <row r="11" spans="1:10" ht="18" customHeight="1" x14ac:dyDescent="0.2">
      <c r="A11" s="555"/>
      <c r="B11" s="554" t="s">
        <v>186</v>
      </c>
      <c r="C11" s="554"/>
      <c r="D11" s="170" t="s">
        <v>249</v>
      </c>
      <c r="E11" s="251">
        <f>SUM(E5:E8)</f>
        <v>32168830</v>
      </c>
      <c r="F11" s="251">
        <v>301322</v>
      </c>
      <c r="G11" s="251">
        <v>654157</v>
      </c>
      <c r="H11" s="251">
        <f t="shared" si="0"/>
        <v>123691</v>
      </c>
      <c r="I11" s="346">
        <f>SUM(I5:I10)</f>
        <v>33248000</v>
      </c>
      <c r="J11" s="346">
        <f>SUM(J5:J10)</f>
        <v>33248000</v>
      </c>
    </row>
    <row r="12" spans="1:10" ht="38.25" x14ac:dyDescent="0.2">
      <c r="A12" s="555"/>
      <c r="B12" s="327" t="s">
        <v>36</v>
      </c>
      <c r="C12" s="142" t="s">
        <v>424</v>
      </c>
      <c r="D12" s="142" t="s">
        <v>250</v>
      </c>
      <c r="E12" s="326">
        <v>33662224</v>
      </c>
      <c r="F12" s="326">
        <v>0</v>
      </c>
      <c r="G12" s="326">
        <v>0</v>
      </c>
      <c r="H12" s="326">
        <f t="shared" si="0"/>
        <v>-3000000</v>
      </c>
      <c r="I12" s="349">
        <v>30662224</v>
      </c>
      <c r="J12" s="348">
        <v>30662224</v>
      </c>
    </row>
    <row r="13" spans="1:10" x14ac:dyDescent="0.2">
      <c r="A13" s="555"/>
      <c r="B13" s="108" t="s">
        <v>37</v>
      </c>
      <c r="C13" s="136" t="s">
        <v>200</v>
      </c>
      <c r="D13" s="142" t="s">
        <v>250</v>
      </c>
      <c r="E13" s="250">
        <v>0</v>
      </c>
      <c r="F13" s="250">
        <v>0</v>
      </c>
      <c r="G13" s="250">
        <v>0</v>
      </c>
      <c r="H13" s="250">
        <f t="shared" si="0"/>
        <v>0</v>
      </c>
      <c r="I13" s="110">
        <v>0</v>
      </c>
      <c r="J13" s="347">
        <v>0</v>
      </c>
    </row>
    <row r="14" spans="1:10" x14ac:dyDescent="0.2">
      <c r="A14" s="555"/>
      <c r="B14" s="108" t="s">
        <v>38</v>
      </c>
      <c r="C14" s="136" t="s">
        <v>201</v>
      </c>
      <c r="D14" s="142" t="s">
        <v>250</v>
      </c>
      <c r="E14" s="250">
        <v>1574833</v>
      </c>
      <c r="F14" s="250">
        <v>0</v>
      </c>
      <c r="G14" s="250">
        <v>51222</v>
      </c>
      <c r="H14" s="250">
        <f t="shared" si="0"/>
        <v>1337901</v>
      </c>
      <c r="I14" s="110">
        <v>2963956</v>
      </c>
      <c r="J14" s="347">
        <v>2963956</v>
      </c>
    </row>
    <row r="15" spans="1:10" x14ac:dyDescent="0.2">
      <c r="A15" s="555"/>
      <c r="B15" s="108" t="s">
        <v>39</v>
      </c>
      <c r="C15" s="136" t="s">
        <v>202</v>
      </c>
      <c r="D15" s="142" t="s">
        <v>250</v>
      </c>
      <c r="E15" s="250">
        <v>164664</v>
      </c>
      <c r="F15" s="250">
        <v>0</v>
      </c>
      <c r="G15" s="250">
        <v>0</v>
      </c>
      <c r="H15" s="250">
        <f t="shared" si="0"/>
        <v>0</v>
      </c>
      <c r="I15" s="110">
        <v>164664</v>
      </c>
      <c r="J15" s="347">
        <v>164664</v>
      </c>
    </row>
    <row r="16" spans="1:10" s="104" customFormat="1" ht="18.75" customHeight="1" x14ac:dyDescent="0.2">
      <c r="A16" s="555"/>
      <c r="B16" s="554" t="s">
        <v>203</v>
      </c>
      <c r="C16" s="554"/>
      <c r="D16" s="170" t="s">
        <v>250</v>
      </c>
      <c r="E16" s="251">
        <f>SUM(E12:E15)</f>
        <v>35401721</v>
      </c>
      <c r="F16" s="251">
        <v>0</v>
      </c>
      <c r="G16" s="251">
        <v>51222</v>
      </c>
      <c r="H16" s="251">
        <f t="shared" si="0"/>
        <v>-1662099</v>
      </c>
      <c r="I16" s="346">
        <f t="shared" ref="I16" si="1">SUM(I12:I15)</f>
        <v>33790844</v>
      </c>
      <c r="J16" s="346">
        <f>SUM(J12:J15)</f>
        <v>33790844</v>
      </c>
    </row>
    <row r="17" spans="1:10" s="107" customFormat="1" ht="22.5" customHeight="1" x14ac:dyDescent="0.2">
      <c r="A17" s="555"/>
      <c r="B17" s="564" t="s">
        <v>204</v>
      </c>
      <c r="C17" s="564"/>
      <c r="D17" s="171" t="s">
        <v>251</v>
      </c>
      <c r="E17" s="252">
        <f t="shared" ref="E17:J17" si="2">E11+E16</f>
        <v>67570551</v>
      </c>
      <c r="F17" s="252">
        <v>301322</v>
      </c>
      <c r="G17" s="252">
        <v>705379</v>
      </c>
      <c r="H17" s="252">
        <f t="shared" si="0"/>
        <v>-1538408</v>
      </c>
      <c r="I17" s="129">
        <f t="shared" si="2"/>
        <v>67038844</v>
      </c>
      <c r="J17" s="129">
        <f t="shared" si="2"/>
        <v>67038844</v>
      </c>
    </row>
    <row r="18" spans="1:10" s="107" customFormat="1" x14ac:dyDescent="0.2">
      <c r="A18" s="328"/>
      <c r="B18" s="113"/>
      <c r="C18" s="331" t="s">
        <v>399</v>
      </c>
      <c r="D18" s="109" t="s">
        <v>400</v>
      </c>
      <c r="E18" s="250"/>
      <c r="F18" s="250"/>
      <c r="G18" s="250">
        <v>19974162</v>
      </c>
      <c r="H18" s="250">
        <f t="shared" si="0"/>
        <v>0</v>
      </c>
      <c r="I18" s="110">
        <v>19974162</v>
      </c>
      <c r="J18" s="110">
        <v>19974162</v>
      </c>
    </row>
    <row r="19" spans="1:10" s="107" customFormat="1" x14ac:dyDescent="0.2">
      <c r="A19" s="309"/>
      <c r="B19" s="113"/>
      <c r="C19" s="331" t="s">
        <v>380</v>
      </c>
      <c r="D19" s="109" t="s">
        <v>319</v>
      </c>
      <c r="E19" s="250">
        <v>1050000</v>
      </c>
      <c r="F19" s="250">
        <v>598293</v>
      </c>
      <c r="G19" s="250">
        <v>6999999</v>
      </c>
      <c r="H19" s="250">
        <f t="shared" si="0"/>
        <v>16151989</v>
      </c>
      <c r="I19" s="110">
        <v>24800281</v>
      </c>
      <c r="J19" s="110">
        <v>24800281</v>
      </c>
    </row>
    <row r="20" spans="1:10" s="107" customFormat="1" x14ac:dyDescent="0.2">
      <c r="A20" s="309" t="s">
        <v>37</v>
      </c>
      <c r="B20" s="566" t="s">
        <v>378</v>
      </c>
      <c r="C20" s="564"/>
      <c r="D20" s="310" t="s">
        <v>379</v>
      </c>
      <c r="E20" s="252">
        <f>SUM(E18:E19)</f>
        <v>1050000</v>
      </c>
      <c r="F20" s="252">
        <f>SUM(F18:F19)</f>
        <v>598293</v>
      </c>
      <c r="G20" s="252">
        <v>26974161</v>
      </c>
      <c r="H20" s="252">
        <f t="shared" si="0"/>
        <v>16151989</v>
      </c>
      <c r="I20" s="129">
        <f>SUM(I18:I19)</f>
        <v>44774443</v>
      </c>
      <c r="J20" s="129">
        <f>SUM(J18:J19)</f>
        <v>44774443</v>
      </c>
    </row>
    <row r="21" spans="1:10" s="104" customFormat="1" x14ac:dyDescent="0.2">
      <c r="A21" s="555" t="s">
        <v>38</v>
      </c>
      <c r="B21" s="554" t="s">
        <v>187</v>
      </c>
      <c r="C21" s="554"/>
      <c r="D21" s="170" t="s">
        <v>252</v>
      </c>
      <c r="E21" s="251">
        <v>3820000</v>
      </c>
      <c r="F21" s="251">
        <v>0</v>
      </c>
      <c r="G21" s="251">
        <v>0</v>
      </c>
      <c r="H21" s="251">
        <f t="shared" si="0"/>
        <v>498221</v>
      </c>
      <c r="I21" s="346">
        <v>4318221</v>
      </c>
      <c r="J21" s="346">
        <v>3718426</v>
      </c>
    </row>
    <row r="22" spans="1:10" x14ac:dyDescent="0.2">
      <c r="A22" s="555"/>
      <c r="B22" s="112" t="s">
        <v>36</v>
      </c>
      <c r="C22" s="109" t="s">
        <v>179</v>
      </c>
      <c r="D22" s="109" t="s">
        <v>253</v>
      </c>
      <c r="E22" s="250">
        <v>14737352</v>
      </c>
      <c r="F22" s="250">
        <v>0</v>
      </c>
      <c r="G22" s="250">
        <v>0</v>
      </c>
      <c r="H22" s="250">
        <f t="shared" si="0"/>
        <v>4534805</v>
      </c>
      <c r="I22" s="110">
        <v>19272157</v>
      </c>
      <c r="J22" s="110">
        <v>18270273</v>
      </c>
    </row>
    <row r="23" spans="1:10" x14ac:dyDescent="0.2">
      <c r="A23" s="555"/>
      <c r="B23" s="112" t="s">
        <v>37</v>
      </c>
      <c r="C23" s="109" t="s">
        <v>188</v>
      </c>
      <c r="D23" s="109" t="s">
        <v>254</v>
      </c>
      <c r="E23" s="250">
        <v>3760000</v>
      </c>
      <c r="F23" s="250">
        <v>-3760000</v>
      </c>
      <c r="G23" s="250">
        <v>0</v>
      </c>
      <c r="H23" s="250">
        <f t="shared" si="0"/>
        <v>0</v>
      </c>
      <c r="I23" s="110">
        <v>0</v>
      </c>
      <c r="J23" s="110">
        <v>0</v>
      </c>
    </row>
    <row r="24" spans="1:10" x14ac:dyDescent="0.2">
      <c r="A24" s="555"/>
      <c r="B24" s="112" t="s">
        <v>38</v>
      </c>
      <c r="C24" s="109" t="s">
        <v>180</v>
      </c>
      <c r="D24" s="109" t="s">
        <v>255</v>
      </c>
      <c r="E24" s="250">
        <v>0</v>
      </c>
      <c r="F24" s="250">
        <v>0</v>
      </c>
      <c r="G24" s="250">
        <v>0</v>
      </c>
      <c r="H24" s="250">
        <f t="shared" si="0"/>
        <v>0</v>
      </c>
      <c r="I24" s="249"/>
      <c r="J24" s="249"/>
    </row>
    <row r="25" spans="1:10" ht="17.25" customHeight="1" x14ac:dyDescent="0.2">
      <c r="A25" s="555"/>
      <c r="B25" s="554" t="s">
        <v>234</v>
      </c>
      <c r="C25" s="554"/>
      <c r="D25" s="170" t="s">
        <v>256</v>
      </c>
      <c r="E25" s="251">
        <f t="shared" ref="E25:J25" si="3">SUM(E22:E24)</f>
        <v>18497352</v>
      </c>
      <c r="F25" s="251">
        <v>-3760000</v>
      </c>
      <c r="G25" s="251">
        <v>0</v>
      </c>
      <c r="H25" s="251">
        <f t="shared" si="0"/>
        <v>4534805</v>
      </c>
      <c r="I25" s="346">
        <f t="shared" si="3"/>
        <v>19272157</v>
      </c>
      <c r="J25" s="346">
        <f t="shared" si="3"/>
        <v>18270273</v>
      </c>
    </row>
    <row r="26" spans="1:10" s="104" customFormat="1" ht="18.75" customHeight="1" x14ac:dyDescent="0.2">
      <c r="A26" s="555"/>
      <c r="B26" s="554" t="s">
        <v>181</v>
      </c>
      <c r="C26" s="554"/>
      <c r="D26" s="170" t="s">
        <v>257</v>
      </c>
      <c r="E26" s="251">
        <v>210000</v>
      </c>
      <c r="F26" s="251">
        <v>75519</v>
      </c>
      <c r="G26" s="251">
        <v>51509</v>
      </c>
      <c r="H26" s="251">
        <f t="shared" si="0"/>
        <v>599109</v>
      </c>
      <c r="I26" s="346">
        <v>936137</v>
      </c>
      <c r="J26" s="346">
        <v>428629</v>
      </c>
    </row>
    <row r="27" spans="1:10" s="107" customFormat="1" ht="18" customHeight="1" x14ac:dyDescent="0.2">
      <c r="A27" s="555"/>
      <c r="B27" s="564" t="s">
        <v>189</v>
      </c>
      <c r="C27" s="564"/>
      <c r="D27" s="171" t="s">
        <v>258</v>
      </c>
      <c r="E27" s="252">
        <f t="shared" ref="E27:I27" si="4">E21+E25+E26</f>
        <v>22527352</v>
      </c>
      <c r="F27" s="252">
        <v>-3684481</v>
      </c>
      <c r="G27" s="252">
        <v>51509</v>
      </c>
      <c r="H27" s="252">
        <f t="shared" si="0"/>
        <v>5632135</v>
      </c>
      <c r="I27" s="129">
        <f t="shared" si="4"/>
        <v>24526515</v>
      </c>
      <c r="J27" s="129">
        <f>J21+J25+J26</f>
        <v>22417328</v>
      </c>
    </row>
    <row r="28" spans="1:10" x14ac:dyDescent="0.2">
      <c r="A28" s="555" t="s">
        <v>39</v>
      </c>
      <c r="B28" s="114"/>
      <c r="C28" s="109" t="s">
        <v>191</v>
      </c>
      <c r="D28" s="109" t="s">
        <v>259</v>
      </c>
      <c r="E28" s="250">
        <v>6075871</v>
      </c>
      <c r="F28" s="250">
        <v>0</v>
      </c>
      <c r="G28" s="250">
        <v>0</v>
      </c>
      <c r="H28" s="250">
        <f t="shared" si="0"/>
        <v>-59886</v>
      </c>
      <c r="I28" s="110">
        <v>6015985</v>
      </c>
      <c r="J28" s="110">
        <v>6015985</v>
      </c>
    </row>
    <row r="29" spans="1:10" x14ac:dyDescent="0.2">
      <c r="A29" s="555"/>
      <c r="B29" s="114"/>
      <c r="C29" s="109" t="s">
        <v>192</v>
      </c>
      <c r="D29" s="109" t="s">
        <v>260</v>
      </c>
      <c r="E29" s="250">
        <v>0</v>
      </c>
      <c r="F29" s="250">
        <v>0</v>
      </c>
      <c r="G29" s="250">
        <v>0</v>
      </c>
      <c r="H29" s="250">
        <f t="shared" si="0"/>
        <v>0</v>
      </c>
      <c r="I29" s="249"/>
      <c r="J29" s="249"/>
    </row>
    <row r="30" spans="1:10" x14ac:dyDescent="0.2">
      <c r="A30" s="555"/>
      <c r="B30" s="114"/>
      <c r="C30" s="109" t="s">
        <v>193</v>
      </c>
      <c r="D30" s="109" t="s">
        <v>261</v>
      </c>
      <c r="E30" s="250">
        <v>0</v>
      </c>
      <c r="F30" s="250">
        <v>38917</v>
      </c>
      <c r="G30" s="250">
        <v>38917</v>
      </c>
      <c r="H30" s="250">
        <f t="shared" si="0"/>
        <v>0</v>
      </c>
      <c r="I30" s="110">
        <v>77834</v>
      </c>
      <c r="J30" s="110">
        <v>77834</v>
      </c>
    </row>
    <row r="31" spans="1:10" x14ac:dyDescent="0.2">
      <c r="A31" s="555"/>
      <c r="B31" s="114"/>
      <c r="C31" s="109" t="s">
        <v>194</v>
      </c>
      <c r="D31" s="109" t="s">
        <v>262</v>
      </c>
      <c r="E31" s="250">
        <v>1666559</v>
      </c>
      <c r="F31" s="250">
        <v>0</v>
      </c>
      <c r="G31" s="250">
        <v>0</v>
      </c>
      <c r="H31" s="250">
        <f t="shared" si="0"/>
        <v>-250902</v>
      </c>
      <c r="I31" s="110">
        <v>1415657</v>
      </c>
      <c r="J31" s="110">
        <v>1415657</v>
      </c>
    </row>
    <row r="32" spans="1:10" x14ac:dyDescent="0.2">
      <c r="A32" s="555"/>
      <c r="B32" s="114"/>
      <c r="C32" s="109" t="s">
        <v>195</v>
      </c>
      <c r="D32" s="109" t="s">
        <v>263</v>
      </c>
      <c r="E32" s="250">
        <v>547766</v>
      </c>
      <c r="F32" s="250">
        <v>0</v>
      </c>
      <c r="G32" s="250">
        <v>0</v>
      </c>
      <c r="H32" s="250">
        <f t="shared" si="0"/>
        <v>228118</v>
      </c>
      <c r="I32" s="110">
        <v>775884</v>
      </c>
      <c r="J32" s="110">
        <v>775884</v>
      </c>
    </row>
    <row r="33" spans="1:10" x14ac:dyDescent="0.2">
      <c r="A33" s="555"/>
      <c r="B33" s="114"/>
      <c r="C33" s="109" t="s">
        <v>196</v>
      </c>
      <c r="D33" s="109" t="s">
        <v>264</v>
      </c>
      <c r="E33" s="250">
        <v>430000</v>
      </c>
      <c r="F33" s="250">
        <v>0</v>
      </c>
      <c r="G33" s="250">
        <v>347519</v>
      </c>
      <c r="H33" s="250">
        <f t="shared" si="0"/>
        <v>403872</v>
      </c>
      <c r="I33" s="110">
        <v>1181391</v>
      </c>
      <c r="J33" s="110">
        <v>1181391</v>
      </c>
    </row>
    <row r="34" spans="1:10" s="105" customFormat="1" x14ac:dyDescent="0.2">
      <c r="A34" s="555"/>
      <c r="B34" s="115"/>
      <c r="C34" s="109" t="s">
        <v>176</v>
      </c>
      <c r="D34" s="109" t="s">
        <v>265</v>
      </c>
      <c r="E34" s="250">
        <v>38000</v>
      </c>
      <c r="F34" s="250">
        <v>66079</v>
      </c>
      <c r="G34" s="250">
        <v>34204</v>
      </c>
      <c r="H34" s="250">
        <f t="shared" si="0"/>
        <v>42007</v>
      </c>
      <c r="I34" s="110">
        <v>180290</v>
      </c>
      <c r="J34" s="110">
        <v>180290</v>
      </c>
    </row>
    <row r="35" spans="1:10" x14ac:dyDescent="0.2">
      <c r="A35" s="555"/>
      <c r="B35" s="114"/>
      <c r="C35" s="109" t="s">
        <v>197</v>
      </c>
      <c r="D35" s="109" t="s">
        <v>266</v>
      </c>
      <c r="E35" s="250">
        <v>4100</v>
      </c>
      <c r="F35" s="250">
        <v>125314</v>
      </c>
      <c r="G35" s="250">
        <v>66</v>
      </c>
      <c r="H35" s="250">
        <f t="shared" si="0"/>
        <v>524031</v>
      </c>
      <c r="I35" s="110">
        <v>653511</v>
      </c>
      <c r="J35" s="110">
        <v>653511</v>
      </c>
    </row>
    <row r="36" spans="1:10" x14ac:dyDescent="0.2">
      <c r="A36" s="555"/>
      <c r="B36" s="565" t="s">
        <v>190</v>
      </c>
      <c r="C36" s="565"/>
      <c r="D36" s="167" t="s">
        <v>267</v>
      </c>
      <c r="E36" s="253">
        <f>SUM(E28:E35)</f>
        <v>8762296</v>
      </c>
      <c r="F36" s="253">
        <v>230310</v>
      </c>
      <c r="G36" s="253">
        <v>420706</v>
      </c>
      <c r="H36" s="253">
        <f t="shared" si="0"/>
        <v>887240</v>
      </c>
      <c r="I36" s="350">
        <f t="shared" ref="I36:J36" si="5">SUM(I28:I35)</f>
        <v>10300552</v>
      </c>
      <c r="J36" s="350">
        <f t="shared" si="5"/>
        <v>10300552</v>
      </c>
    </row>
    <row r="37" spans="1:10" ht="20.25" customHeight="1" x14ac:dyDescent="0.2">
      <c r="A37" s="555" t="s">
        <v>40</v>
      </c>
      <c r="B37" s="114"/>
      <c r="C37" s="109" t="s">
        <v>198</v>
      </c>
      <c r="D37" s="109" t="s">
        <v>323</v>
      </c>
      <c r="E37" s="250">
        <v>0</v>
      </c>
      <c r="F37" s="250"/>
      <c r="G37" s="250">
        <v>0</v>
      </c>
      <c r="H37" s="250">
        <f t="shared" si="0"/>
        <v>0</v>
      </c>
      <c r="I37" s="249"/>
      <c r="J37" s="249"/>
    </row>
    <row r="38" spans="1:10" ht="16.5" customHeight="1" x14ac:dyDescent="0.2">
      <c r="A38" s="555"/>
      <c r="B38" s="565" t="s">
        <v>177</v>
      </c>
      <c r="C38" s="565"/>
      <c r="D38" s="167" t="s">
        <v>323</v>
      </c>
      <c r="E38" s="253">
        <f t="shared" ref="E38:J38" si="6">SUM(E37)</f>
        <v>0</v>
      </c>
      <c r="F38" s="253">
        <v>0</v>
      </c>
      <c r="G38" s="253">
        <v>0</v>
      </c>
      <c r="H38" s="253">
        <f t="shared" si="0"/>
        <v>0</v>
      </c>
      <c r="I38" s="350">
        <f t="shared" si="6"/>
        <v>0</v>
      </c>
      <c r="J38" s="350">
        <f t="shared" si="6"/>
        <v>0</v>
      </c>
    </row>
    <row r="39" spans="1:10" ht="25.5" x14ac:dyDescent="0.2">
      <c r="A39" s="555" t="s">
        <v>44</v>
      </c>
      <c r="B39" s="114"/>
      <c r="C39" s="109" t="s">
        <v>199</v>
      </c>
      <c r="D39" s="109" t="s">
        <v>268</v>
      </c>
      <c r="E39" s="250">
        <v>216000</v>
      </c>
      <c r="F39" s="250">
        <v>0</v>
      </c>
      <c r="G39" s="250">
        <v>0</v>
      </c>
      <c r="H39" s="250">
        <f t="shared" si="0"/>
        <v>-36000</v>
      </c>
      <c r="I39" s="110">
        <v>180000</v>
      </c>
      <c r="J39" s="110">
        <v>180000</v>
      </c>
    </row>
    <row r="40" spans="1:10" x14ac:dyDescent="0.2">
      <c r="A40" s="555"/>
      <c r="B40" s="114"/>
      <c r="C40" s="109" t="s">
        <v>381</v>
      </c>
      <c r="D40" s="109" t="s">
        <v>382</v>
      </c>
      <c r="E40" s="250">
        <v>0</v>
      </c>
      <c r="F40" s="250">
        <v>63822</v>
      </c>
      <c r="G40" s="250">
        <v>0</v>
      </c>
      <c r="H40" s="250">
        <f t="shared" si="0"/>
        <v>181993</v>
      </c>
      <c r="I40" s="110">
        <v>245815</v>
      </c>
      <c r="J40" s="110">
        <v>245815</v>
      </c>
    </row>
    <row r="41" spans="1:10" x14ac:dyDescent="0.2">
      <c r="A41" s="555"/>
      <c r="B41" s="569" t="s">
        <v>300</v>
      </c>
      <c r="C41" s="565"/>
      <c r="D41" s="167" t="s">
        <v>383</v>
      </c>
      <c r="E41" s="253">
        <f>SUM(E39:E40)</f>
        <v>216000</v>
      </c>
      <c r="F41" s="253">
        <v>63822</v>
      </c>
      <c r="G41" s="253">
        <v>0</v>
      </c>
      <c r="H41" s="253">
        <f t="shared" si="0"/>
        <v>145993</v>
      </c>
      <c r="I41" s="350">
        <f t="shared" ref="I41:J41" si="7">SUM(I39:I40)</f>
        <v>425815</v>
      </c>
      <c r="J41" s="350">
        <f t="shared" si="7"/>
        <v>425815</v>
      </c>
    </row>
    <row r="42" spans="1:10" s="106" customFormat="1" ht="24.75" customHeight="1" x14ac:dyDescent="0.2">
      <c r="A42" s="568" t="s">
        <v>178</v>
      </c>
      <c r="B42" s="568"/>
      <c r="C42" s="568"/>
      <c r="D42" s="172" t="s">
        <v>269</v>
      </c>
      <c r="E42" s="254">
        <f>E17+E20+E27+E36+E38+E41</f>
        <v>100126199</v>
      </c>
      <c r="F42" s="254">
        <v>-2490734</v>
      </c>
      <c r="G42" s="254">
        <v>28151755</v>
      </c>
      <c r="H42" s="254">
        <f t="shared" si="0"/>
        <v>21278949</v>
      </c>
      <c r="I42" s="130">
        <f>I17+I20+I27+I36+I38+I41</f>
        <v>147066169</v>
      </c>
      <c r="J42" s="130">
        <f>J17+J20+J27+J36+J38+J41</f>
        <v>144956982</v>
      </c>
    </row>
    <row r="43" spans="1:10" ht="24" customHeight="1" x14ac:dyDescent="0.2">
      <c r="A43" s="131"/>
      <c r="B43" s="114"/>
      <c r="C43" s="109" t="s">
        <v>238</v>
      </c>
      <c r="D43" s="109" t="s">
        <v>270</v>
      </c>
      <c r="E43" s="250">
        <v>0</v>
      </c>
      <c r="F43" s="250"/>
      <c r="G43" s="250">
        <v>0</v>
      </c>
      <c r="H43" s="250">
        <f t="shared" si="0"/>
        <v>0</v>
      </c>
      <c r="I43" s="249"/>
      <c r="J43" s="249"/>
    </row>
    <row r="44" spans="1:10" ht="18.75" customHeight="1" x14ac:dyDescent="0.2">
      <c r="A44" s="131"/>
      <c r="B44" s="569" t="s">
        <v>239</v>
      </c>
      <c r="C44" s="565"/>
      <c r="D44" s="167" t="s">
        <v>271</v>
      </c>
      <c r="E44" s="253">
        <f t="shared" ref="E44:J44" si="8">SUM(E43)</f>
        <v>0</v>
      </c>
      <c r="F44" s="253">
        <v>0</v>
      </c>
      <c r="G44" s="253">
        <v>0</v>
      </c>
      <c r="H44" s="253">
        <f t="shared" si="0"/>
        <v>0</v>
      </c>
      <c r="I44" s="350">
        <f t="shared" si="8"/>
        <v>0</v>
      </c>
      <c r="J44" s="350">
        <f t="shared" si="8"/>
        <v>0</v>
      </c>
    </row>
    <row r="45" spans="1:10" ht="17.25" customHeight="1" x14ac:dyDescent="0.2">
      <c r="A45" s="555" t="s">
        <v>46</v>
      </c>
      <c r="B45" s="114"/>
      <c r="C45" s="109" t="s">
        <v>206</v>
      </c>
      <c r="D45" s="109" t="s">
        <v>272</v>
      </c>
      <c r="E45" s="250">
        <v>27408017</v>
      </c>
      <c r="F45" s="250">
        <v>0</v>
      </c>
      <c r="G45" s="250">
        <v>0</v>
      </c>
      <c r="H45" s="250">
        <f t="shared" si="0"/>
        <v>-27408017</v>
      </c>
      <c r="I45" s="110">
        <v>0</v>
      </c>
      <c r="J45" s="110"/>
    </row>
    <row r="46" spans="1:10" ht="18.75" customHeight="1" x14ac:dyDescent="0.2">
      <c r="A46" s="555"/>
      <c r="B46" s="565" t="s">
        <v>205</v>
      </c>
      <c r="C46" s="565"/>
      <c r="D46" s="167" t="s">
        <v>395</v>
      </c>
      <c r="E46" s="253">
        <f t="shared" ref="E46:J46" si="9">SUM(E45)</f>
        <v>27408017</v>
      </c>
      <c r="F46" s="253">
        <v>0</v>
      </c>
      <c r="G46" s="253">
        <v>0</v>
      </c>
      <c r="H46" s="253">
        <f t="shared" si="0"/>
        <v>-27408017</v>
      </c>
      <c r="I46" s="350">
        <f t="shared" si="9"/>
        <v>0</v>
      </c>
      <c r="J46" s="350">
        <f t="shared" si="9"/>
        <v>0</v>
      </c>
    </row>
    <row r="47" spans="1:10" ht="15" customHeight="1" x14ac:dyDescent="0.2">
      <c r="A47" s="555" t="s">
        <v>47</v>
      </c>
      <c r="B47" s="114"/>
      <c r="C47" s="109" t="s">
        <v>235</v>
      </c>
      <c r="D47" s="109" t="s">
        <v>320</v>
      </c>
      <c r="E47" s="250">
        <v>70610741</v>
      </c>
      <c r="F47" s="250"/>
      <c r="G47" s="250">
        <v>0</v>
      </c>
      <c r="H47" s="250">
        <f t="shared" si="0"/>
        <v>-1076620</v>
      </c>
      <c r="I47" s="110">
        <v>69534121</v>
      </c>
      <c r="J47" s="110">
        <v>69534121</v>
      </c>
    </row>
    <row r="48" spans="1:10" ht="17.25" customHeight="1" x14ac:dyDescent="0.2">
      <c r="A48" s="555"/>
      <c r="B48" s="565" t="s">
        <v>207</v>
      </c>
      <c r="C48" s="565"/>
      <c r="D48" s="167" t="s">
        <v>321</v>
      </c>
      <c r="E48" s="253">
        <f t="shared" ref="E48:J48" si="10">SUM(E47)</f>
        <v>70610741</v>
      </c>
      <c r="F48" s="253">
        <v>0</v>
      </c>
      <c r="G48" s="253">
        <v>0</v>
      </c>
      <c r="H48" s="253">
        <f t="shared" si="0"/>
        <v>-1076620</v>
      </c>
      <c r="I48" s="350">
        <f t="shared" si="10"/>
        <v>69534121</v>
      </c>
      <c r="J48" s="350">
        <f t="shared" si="10"/>
        <v>69534121</v>
      </c>
    </row>
    <row r="49" spans="1:10" ht="15.75" customHeight="1" x14ac:dyDescent="0.2">
      <c r="A49" s="570" t="s">
        <v>48</v>
      </c>
      <c r="B49" s="114"/>
      <c r="C49" s="109" t="s">
        <v>412</v>
      </c>
      <c r="D49" s="109" t="s">
        <v>413</v>
      </c>
      <c r="E49" s="250">
        <v>0</v>
      </c>
      <c r="F49" s="250"/>
      <c r="G49" s="250">
        <v>0</v>
      </c>
      <c r="H49" s="250">
        <f t="shared" si="0"/>
        <v>1385079</v>
      </c>
      <c r="I49" s="110">
        <v>1385079</v>
      </c>
      <c r="J49" s="110">
        <v>1385079</v>
      </c>
    </row>
    <row r="50" spans="1:10" ht="18" customHeight="1" x14ac:dyDescent="0.2">
      <c r="A50" s="571"/>
      <c r="B50" s="565" t="s">
        <v>237</v>
      </c>
      <c r="C50" s="565"/>
      <c r="D50" s="167" t="s">
        <v>273</v>
      </c>
      <c r="E50" s="253">
        <f t="shared" ref="E50:J50" si="11">SUM(E49)</f>
        <v>0</v>
      </c>
      <c r="F50" s="253">
        <v>0</v>
      </c>
      <c r="G50" s="253">
        <v>0</v>
      </c>
      <c r="H50" s="253">
        <f t="shared" si="0"/>
        <v>1385079</v>
      </c>
      <c r="I50" s="350">
        <f t="shared" si="11"/>
        <v>1385079</v>
      </c>
      <c r="J50" s="350">
        <f t="shared" si="11"/>
        <v>1385079</v>
      </c>
    </row>
    <row r="51" spans="1:10" s="107" customFormat="1" ht="21.75" customHeight="1" x14ac:dyDescent="0.2">
      <c r="A51" s="568" t="s">
        <v>208</v>
      </c>
      <c r="B51" s="568"/>
      <c r="C51" s="568"/>
      <c r="D51" s="172" t="s">
        <v>274</v>
      </c>
      <c r="E51" s="254">
        <f>E46+E48+E50+E44</f>
        <v>98018758</v>
      </c>
      <c r="F51" s="254">
        <v>0</v>
      </c>
      <c r="G51" s="254">
        <v>0</v>
      </c>
      <c r="H51" s="254">
        <f t="shared" si="0"/>
        <v>-27099558</v>
      </c>
      <c r="I51" s="130">
        <f>I46+I48+I50+I44</f>
        <v>70919200</v>
      </c>
      <c r="J51" s="130">
        <f>J46+J48+J50+J44</f>
        <v>70919200</v>
      </c>
    </row>
    <row r="52" spans="1:10" s="118" customFormat="1" ht="22.5" customHeight="1" x14ac:dyDescent="0.25">
      <c r="A52" s="567" t="s">
        <v>209</v>
      </c>
      <c r="B52" s="567"/>
      <c r="C52" s="567"/>
      <c r="D52" s="164"/>
      <c r="E52" s="255">
        <f>E42+E51</f>
        <v>198144957</v>
      </c>
      <c r="F52" s="255">
        <v>-2490734</v>
      </c>
      <c r="G52" s="255">
        <v>28151755</v>
      </c>
      <c r="H52" s="255">
        <f>I52-G52-F52-E52</f>
        <v>-5820609</v>
      </c>
      <c r="I52" s="351">
        <f>I42+I51</f>
        <v>217985369</v>
      </c>
      <c r="J52" s="351">
        <f>J42+J51</f>
        <v>215876182</v>
      </c>
    </row>
  </sheetData>
  <mergeCells count="29">
    <mergeCell ref="A52:C52"/>
    <mergeCell ref="A45:A46"/>
    <mergeCell ref="A47:A48"/>
    <mergeCell ref="A42:C42"/>
    <mergeCell ref="B27:C27"/>
    <mergeCell ref="B41:C41"/>
    <mergeCell ref="A39:A41"/>
    <mergeCell ref="A37:A38"/>
    <mergeCell ref="A51:C51"/>
    <mergeCell ref="B46:C46"/>
    <mergeCell ref="B48:C48"/>
    <mergeCell ref="A21:A27"/>
    <mergeCell ref="B38:C38"/>
    <mergeCell ref="B50:C50"/>
    <mergeCell ref="A49:A50"/>
    <mergeCell ref="B44:C44"/>
    <mergeCell ref="B26:C26"/>
    <mergeCell ref="B17:C17"/>
    <mergeCell ref="B36:C36"/>
    <mergeCell ref="A28:A36"/>
    <mergeCell ref="B21:C21"/>
    <mergeCell ref="B25:C25"/>
    <mergeCell ref="B20:C20"/>
    <mergeCell ref="B11:C11"/>
    <mergeCell ref="B16:C16"/>
    <mergeCell ref="A5:A17"/>
    <mergeCell ref="A3:C4"/>
    <mergeCell ref="A1:J1"/>
    <mergeCell ref="A2:I2"/>
  </mergeCells>
  <phoneticPr fontId="0" type="noConversion"/>
  <printOptions horizontalCentered="1"/>
  <pageMargins left="0.39370078740157483" right="0.27559055118110237" top="0.55118110236220474" bottom="0.39370078740157483" header="0.15748031496062992" footer="0.19685039370078741"/>
  <pageSetup paperSize="9" scale="62" firstPageNumber="39" orientation="portrait" r:id="rId1"/>
  <headerFooter alignWithMargins="0">
    <oddHeader>&amp;R&amp;"Times New Roman,Normál"1. számú melléklet</oddHeader>
    <oddFooter>&amp;C&amp;"Times New Roman,Normál"&amp;P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7"/>
    <pageSetUpPr fitToPage="1"/>
  </sheetPr>
  <dimension ref="A1:I15"/>
  <sheetViews>
    <sheetView workbookViewId="0">
      <selection activeCell="N20" sqref="N20"/>
    </sheetView>
  </sheetViews>
  <sheetFormatPr defaultRowHeight="12.75" x14ac:dyDescent="0.2"/>
  <cols>
    <col min="1" max="1" width="2.28515625" bestFit="1" customWidth="1"/>
    <col min="3" max="3" width="38.42578125" customWidth="1"/>
    <col min="4" max="4" width="15.7109375" bestFit="1" customWidth="1"/>
    <col min="5" max="5" width="7.5703125" bestFit="1" customWidth="1"/>
    <col min="6" max="6" width="10" customWidth="1"/>
    <col min="7" max="7" width="8.85546875" bestFit="1" customWidth="1"/>
    <col min="8" max="8" width="9.85546875" bestFit="1" customWidth="1"/>
    <col min="9" max="9" width="11.85546875" bestFit="1" customWidth="1"/>
  </cols>
  <sheetData>
    <row r="1" spans="1:9" ht="21.75" customHeight="1" x14ac:dyDescent="0.2">
      <c r="A1" s="681" t="s">
        <v>422</v>
      </c>
      <c r="B1" s="681"/>
      <c r="C1" s="681"/>
      <c r="D1" s="681"/>
      <c r="E1" s="681"/>
      <c r="F1" s="681"/>
      <c r="G1" s="681"/>
      <c r="H1" s="681"/>
      <c r="I1" s="681"/>
    </row>
    <row r="2" spans="1:9" x14ac:dyDescent="0.2">
      <c r="A2" s="297"/>
      <c r="B2" s="297"/>
      <c r="C2" s="297"/>
      <c r="D2" s="301"/>
      <c r="E2" s="301"/>
      <c r="F2" s="301"/>
      <c r="G2" s="301"/>
      <c r="H2" s="301"/>
    </row>
    <row r="3" spans="1:9" x14ac:dyDescent="0.2">
      <c r="A3" s="297"/>
      <c r="B3" s="297"/>
      <c r="C3" s="297"/>
      <c r="D3" s="301"/>
      <c r="E3" s="301"/>
      <c r="F3" s="301"/>
      <c r="G3" s="301"/>
      <c r="H3" s="301"/>
    </row>
    <row r="4" spans="1:9" x14ac:dyDescent="0.2">
      <c r="A4" s="297"/>
      <c r="B4" s="297"/>
      <c r="C4" s="297"/>
      <c r="D4" s="301"/>
      <c r="E4" s="301"/>
      <c r="F4" s="301"/>
      <c r="G4" s="301"/>
      <c r="H4" s="301"/>
    </row>
    <row r="5" spans="1:9" x14ac:dyDescent="0.2">
      <c r="A5" s="297"/>
      <c r="B5" s="297"/>
      <c r="C5" s="297"/>
      <c r="E5" s="9"/>
      <c r="F5" s="9"/>
      <c r="G5" s="9"/>
      <c r="H5" s="9"/>
      <c r="I5" s="9" t="s">
        <v>302</v>
      </c>
    </row>
    <row r="6" spans="1:9" ht="12.75" customHeight="1" thickBot="1" x14ac:dyDescent="0.25">
      <c r="A6" s="1"/>
      <c r="B6" s="1"/>
      <c r="C6" s="2"/>
      <c r="D6" s="9"/>
      <c r="E6" s="9"/>
      <c r="F6" s="9"/>
      <c r="G6" s="9"/>
      <c r="H6" s="9"/>
    </row>
    <row r="7" spans="1:9" ht="29.25" customHeight="1" x14ac:dyDescent="0.2">
      <c r="A7" s="690" t="s">
        <v>35</v>
      </c>
      <c r="B7" s="691"/>
      <c r="C7" s="692"/>
      <c r="D7" s="302" t="s">
        <v>329</v>
      </c>
      <c r="E7" s="302" t="s">
        <v>373</v>
      </c>
      <c r="F7" s="302" t="s">
        <v>396</v>
      </c>
      <c r="G7" s="302" t="s">
        <v>411</v>
      </c>
      <c r="H7" s="302" t="s">
        <v>374</v>
      </c>
      <c r="I7" s="302" t="s">
        <v>375</v>
      </c>
    </row>
    <row r="8" spans="1:9" x14ac:dyDescent="0.2">
      <c r="A8" s="303"/>
      <c r="B8" s="693"/>
      <c r="C8" s="693"/>
      <c r="D8" s="304"/>
      <c r="E8" s="304"/>
      <c r="F8" s="304"/>
      <c r="G8" s="304"/>
      <c r="H8" s="304"/>
      <c r="I8" s="304"/>
    </row>
    <row r="9" spans="1:9" x14ac:dyDescent="0.2">
      <c r="A9" s="303" t="s">
        <v>36</v>
      </c>
      <c r="B9" s="693" t="s">
        <v>368</v>
      </c>
      <c r="C9" s="693"/>
      <c r="D9" s="304">
        <f>'[3]1. Bevételek'!E16+'[3]1. Bevételek'!E17+'[3]1. Bevételek'!E19</f>
        <v>18557352</v>
      </c>
      <c r="E9" s="304">
        <v>0</v>
      </c>
      <c r="F9" s="304">
        <v>0</v>
      </c>
      <c r="G9" s="304">
        <f>H9-F9-E9-D9</f>
        <v>5033026</v>
      </c>
      <c r="H9" s="304">
        <v>23590378</v>
      </c>
      <c r="I9" s="304">
        <v>21988699</v>
      </c>
    </row>
    <row r="10" spans="1:9" x14ac:dyDescent="0.2">
      <c r="A10" s="303" t="s">
        <v>37</v>
      </c>
      <c r="B10" s="693" t="s">
        <v>193</v>
      </c>
      <c r="C10" s="693"/>
      <c r="D10" s="304">
        <f>'[3]1. Bevételek'!E25</f>
        <v>0</v>
      </c>
      <c r="E10" s="304">
        <v>38917</v>
      </c>
      <c r="F10" s="304">
        <v>38917</v>
      </c>
      <c r="G10" s="304">
        <f t="shared" ref="G10:G14" si="0">H10-F10-E10-D10</f>
        <v>0</v>
      </c>
      <c r="H10" s="304">
        <v>77834</v>
      </c>
      <c r="I10" s="304">
        <v>77834</v>
      </c>
    </row>
    <row r="11" spans="1:9" x14ac:dyDescent="0.2">
      <c r="A11" s="303" t="s">
        <v>38</v>
      </c>
      <c r="B11" s="693" t="s">
        <v>369</v>
      </c>
      <c r="C11" s="693"/>
      <c r="D11" s="304">
        <f>'[3]1. Bevételek'!E21</f>
        <v>210000</v>
      </c>
      <c r="E11" s="304">
        <v>75519</v>
      </c>
      <c r="F11" s="304">
        <v>51509</v>
      </c>
      <c r="G11" s="304">
        <f t="shared" si="0"/>
        <v>599109</v>
      </c>
      <c r="H11" s="304">
        <v>936137</v>
      </c>
      <c r="I11" s="304">
        <v>428629</v>
      </c>
    </row>
    <row r="12" spans="1:9" ht="13.5" thickBot="1" x14ac:dyDescent="0.25">
      <c r="A12" s="303" t="s">
        <v>39</v>
      </c>
      <c r="B12" s="694" t="s">
        <v>370</v>
      </c>
      <c r="C12" s="694"/>
      <c r="D12" s="305">
        <f>'[3]1. Bevételek'!E32</f>
        <v>0</v>
      </c>
      <c r="E12" s="304">
        <v>0</v>
      </c>
      <c r="F12" s="304">
        <v>0</v>
      </c>
      <c r="G12" s="305">
        <f t="shared" si="0"/>
        <v>0</v>
      </c>
      <c r="H12" s="305"/>
      <c r="I12" s="305"/>
    </row>
    <row r="13" spans="1:9" ht="13.5" thickBot="1" x14ac:dyDescent="0.25">
      <c r="A13" s="684" t="s">
        <v>371</v>
      </c>
      <c r="B13" s="685"/>
      <c r="C13" s="686"/>
      <c r="D13" s="306">
        <f>SUM(D8:D12)</f>
        <v>18767352</v>
      </c>
      <c r="E13" s="306">
        <f t="shared" ref="E13:I13" si="1">SUM(E8:E12)</f>
        <v>114436</v>
      </c>
      <c r="F13" s="306">
        <v>90426</v>
      </c>
      <c r="G13" s="306">
        <f t="shared" si="0"/>
        <v>5632135</v>
      </c>
      <c r="H13" s="306">
        <f t="shared" si="1"/>
        <v>24604349</v>
      </c>
      <c r="I13" s="306">
        <f t="shared" si="1"/>
        <v>22495162</v>
      </c>
    </row>
    <row r="14" spans="1:9" ht="13.5" thickBot="1" x14ac:dyDescent="0.25">
      <c r="A14" s="687" t="s">
        <v>372</v>
      </c>
      <c r="B14" s="688"/>
      <c r="C14" s="688"/>
      <c r="D14" s="307">
        <f>D13*0.5</f>
        <v>9383676</v>
      </c>
      <c r="E14" s="307">
        <f t="shared" ref="E14:I14" si="2">E13*0.5</f>
        <v>57218</v>
      </c>
      <c r="F14" s="307">
        <v>45213</v>
      </c>
      <c r="G14" s="307">
        <f t="shared" si="0"/>
        <v>2816067.5</v>
      </c>
      <c r="H14" s="307">
        <f t="shared" si="2"/>
        <v>12302174.5</v>
      </c>
      <c r="I14" s="307">
        <f t="shared" si="2"/>
        <v>11247581</v>
      </c>
    </row>
    <row r="15" spans="1:9" x14ac:dyDescent="0.2">
      <c r="A15" s="689"/>
      <c r="B15" s="689"/>
      <c r="C15" s="689"/>
      <c r="D15" s="308"/>
      <c r="E15" s="308"/>
      <c r="F15" s="308"/>
      <c r="G15" s="308"/>
      <c r="H15" s="308"/>
    </row>
  </sheetData>
  <mergeCells count="10">
    <mergeCell ref="A1:I1"/>
    <mergeCell ref="A13:C13"/>
    <mergeCell ref="A14:C14"/>
    <mergeCell ref="A15:C15"/>
    <mergeCell ref="A7:C7"/>
    <mergeCell ref="B8:C8"/>
    <mergeCell ref="B9:C9"/>
    <mergeCell ref="B10:C10"/>
    <mergeCell ref="B11:C11"/>
    <mergeCell ref="B12:C12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77" fitToHeight="0" orientation="portrait" r:id="rId1"/>
  <headerFooter alignWithMargins="0">
    <oddHeader>&amp;R8.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6"/>
  <sheetViews>
    <sheetView zoomScaleNormal="100" workbookViewId="0">
      <selection activeCell="L31" sqref="L31"/>
    </sheetView>
  </sheetViews>
  <sheetFormatPr defaultRowHeight="12.75" x14ac:dyDescent="0.2"/>
  <cols>
    <col min="1" max="2" width="2.5703125" style="140" bestFit="1" customWidth="1"/>
    <col min="3" max="3" width="52.7109375" style="140" customWidth="1"/>
    <col min="4" max="4" width="6.28515625" style="140" bestFit="1" customWidth="1"/>
    <col min="5" max="5" width="12.7109375" style="140" bestFit="1" customWidth="1"/>
    <col min="6" max="8" width="12.7109375" style="140" customWidth="1"/>
    <col min="9" max="12" width="12.42578125" style="140" customWidth="1"/>
    <col min="13" max="13" width="12.7109375" style="140" bestFit="1" customWidth="1"/>
    <col min="14" max="16" width="12.7109375" style="140" customWidth="1"/>
    <col min="17" max="18" width="12.7109375" style="140" bestFit="1" customWidth="1"/>
    <col min="19" max="19" width="9.42578125" style="140" bestFit="1" customWidth="1"/>
    <col min="20" max="20" width="6.42578125" style="140" customWidth="1"/>
    <col min="21" max="21" width="7.42578125" style="140" customWidth="1"/>
    <col min="22" max="22" width="9.42578125" style="140" bestFit="1" customWidth="1"/>
    <col min="23" max="23" width="13.140625" style="140" bestFit="1" customWidth="1"/>
    <col min="24" max="16384" width="9.140625" style="140"/>
  </cols>
  <sheetData>
    <row r="1" spans="1:17" s="6" customFormat="1" ht="21.75" customHeight="1" x14ac:dyDescent="0.2">
      <c r="A1" s="572" t="s">
        <v>414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4"/>
      <c r="O1" s="574"/>
      <c r="P1" s="574"/>
      <c r="Q1" s="574"/>
    </row>
    <row r="2" spans="1:17" ht="28.5" customHeight="1" x14ac:dyDescent="0.2">
      <c r="A2" s="563" t="s">
        <v>76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563"/>
      <c r="Q2" s="299" t="s">
        <v>302</v>
      </c>
    </row>
    <row r="3" spans="1:17" ht="28.5" customHeight="1" x14ac:dyDescent="0.2">
      <c r="A3" s="582" t="s">
        <v>35</v>
      </c>
      <c r="B3" s="583"/>
      <c r="C3" s="584"/>
      <c r="D3" s="578" t="s">
        <v>242</v>
      </c>
      <c r="E3" s="595" t="s">
        <v>243</v>
      </c>
      <c r="F3" s="596"/>
      <c r="G3" s="596"/>
      <c r="H3" s="596"/>
      <c r="I3" s="597" t="s">
        <v>244</v>
      </c>
      <c r="J3" s="596"/>
      <c r="K3" s="596"/>
      <c r="L3" s="598"/>
      <c r="M3" s="597" t="s">
        <v>423</v>
      </c>
      <c r="N3" s="596"/>
      <c r="O3" s="596"/>
      <c r="P3" s="598"/>
      <c r="Q3" s="599" t="s">
        <v>74</v>
      </c>
    </row>
    <row r="4" spans="1:17" ht="20.25" customHeight="1" x14ac:dyDescent="0.2">
      <c r="A4" s="585"/>
      <c r="B4" s="586"/>
      <c r="C4" s="587"/>
      <c r="D4" s="591"/>
      <c r="E4" s="578" t="s">
        <v>426</v>
      </c>
      <c r="F4" s="578" t="s">
        <v>373</v>
      </c>
      <c r="G4" s="578" t="s">
        <v>396</v>
      </c>
      <c r="H4" s="602" t="s">
        <v>411</v>
      </c>
      <c r="I4" s="580" t="s">
        <v>426</v>
      </c>
      <c r="J4" s="578" t="s">
        <v>373</v>
      </c>
      <c r="K4" s="578" t="s">
        <v>396</v>
      </c>
      <c r="L4" s="602" t="s">
        <v>411</v>
      </c>
      <c r="M4" s="580" t="s">
        <v>426</v>
      </c>
      <c r="N4" s="578" t="s">
        <v>373</v>
      </c>
      <c r="O4" s="578" t="s">
        <v>396</v>
      </c>
      <c r="P4" s="602" t="s">
        <v>411</v>
      </c>
      <c r="Q4" s="600"/>
    </row>
    <row r="5" spans="1:17" ht="21.75" customHeight="1" x14ac:dyDescent="0.2">
      <c r="A5" s="588"/>
      <c r="B5" s="589"/>
      <c r="C5" s="590"/>
      <c r="D5" s="579"/>
      <c r="E5" s="579"/>
      <c r="F5" s="579"/>
      <c r="G5" s="579"/>
      <c r="H5" s="603"/>
      <c r="I5" s="581"/>
      <c r="J5" s="579"/>
      <c r="K5" s="579"/>
      <c r="L5" s="603"/>
      <c r="M5" s="581"/>
      <c r="N5" s="579"/>
      <c r="O5" s="579"/>
      <c r="P5" s="603"/>
      <c r="Q5" s="601"/>
    </row>
    <row r="6" spans="1:17" ht="17.25" customHeight="1" x14ac:dyDescent="0.2">
      <c r="A6" s="576" t="s">
        <v>36</v>
      </c>
      <c r="B6" s="152"/>
      <c r="C6" s="109" t="s">
        <v>182</v>
      </c>
      <c r="D6" s="109" t="s">
        <v>245</v>
      </c>
      <c r="E6" s="110">
        <v>23673830</v>
      </c>
      <c r="F6" s="110">
        <v>73322</v>
      </c>
      <c r="G6" s="110">
        <v>35897</v>
      </c>
      <c r="H6" s="494">
        <v>35691</v>
      </c>
      <c r="I6" s="505">
        <v>0</v>
      </c>
      <c r="J6" s="140">
        <v>0</v>
      </c>
      <c r="K6" s="140">
        <v>0</v>
      </c>
      <c r="L6" s="515"/>
      <c r="M6" s="140">
        <v>0</v>
      </c>
      <c r="N6" s="140">
        <v>0</v>
      </c>
      <c r="O6" s="140">
        <v>0</v>
      </c>
      <c r="P6" s="514">
        <v>0</v>
      </c>
      <c r="Q6" s="502">
        <f t="shared" ref="Q6:Q16" si="0">SUM(E6:M6)</f>
        <v>23818740</v>
      </c>
    </row>
    <row r="7" spans="1:17" ht="25.5" x14ac:dyDescent="0.2">
      <c r="A7" s="576"/>
      <c r="B7" s="152"/>
      <c r="C7" s="109" t="s">
        <v>183</v>
      </c>
      <c r="D7" s="109" t="s">
        <v>246</v>
      </c>
      <c r="E7" s="110">
        <v>0</v>
      </c>
      <c r="F7" s="110">
        <v>0</v>
      </c>
      <c r="G7" s="110">
        <v>0</v>
      </c>
      <c r="H7" s="494">
        <v>0</v>
      </c>
      <c r="I7" s="505">
        <v>0</v>
      </c>
      <c r="J7" s="499">
        <v>0</v>
      </c>
      <c r="K7" s="499">
        <v>0</v>
      </c>
      <c r="L7" s="506"/>
      <c r="M7" s="499">
        <v>0</v>
      </c>
      <c r="N7" s="499">
        <v>0</v>
      </c>
      <c r="O7" s="499">
        <v>0</v>
      </c>
      <c r="P7" s="516">
        <v>0</v>
      </c>
      <c r="Q7" s="502">
        <f t="shared" si="0"/>
        <v>0</v>
      </c>
    </row>
    <row r="8" spans="1:17" ht="25.5" x14ac:dyDescent="0.2">
      <c r="A8" s="576"/>
      <c r="B8" s="152"/>
      <c r="C8" s="109" t="s">
        <v>184</v>
      </c>
      <c r="D8" s="109" t="s">
        <v>247</v>
      </c>
      <c r="E8" s="110">
        <v>6695000</v>
      </c>
      <c r="F8" s="110">
        <v>0</v>
      </c>
      <c r="G8" s="110">
        <v>-834240</v>
      </c>
      <c r="H8" s="517">
        <v>88000</v>
      </c>
      <c r="I8" s="505">
        <v>0</v>
      </c>
      <c r="J8" s="499">
        <v>0</v>
      </c>
      <c r="K8" s="499">
        <v>0</v>
      </c>
      <c r="L8" s="506"/>
      <c r="M8" s="499">
        <v>0</v>
      </c>
      <c r="N8" s="499">
        <v>0</v>
      </c>
      <c r="O8" s="499">
        <v>0</v>
      </c>
      <c r="P8" s="516">
        <v>0</v>
      </c>
      <c r="Q8" s="502">
        <f t="shared" si="0"/>
        <v>5948760</v>
      </c>
    </row>
    <row r="9" spans="1:17" ht="14.25" customHeight="1" x14ac:dyDescent="0.2">
      <c r="A9" s="576"/>
      <c r="B9" s="152"/>
      <c r="C9" s="109" t="s">
        <v>185</v>
      </c>
      <c r="D9" s="109" t="s">
        <v>248</v>
      </c>
      <c r="E9" s="110">
        <v>1800000</v>
      </c>
      <c r="F9" s="110">
        <v>0</v>
      </c>
      <c r="G9" s="110">
        <v>576200</v>
      </c>
      <c r="H9" s="494">
        <v>0</v>
      </c>
      <c r="I9" s="505">
        <v>0</v>
      </c>
      <c r="J9" s="499">
        <v>0</v>
      </c>
      <c r="K9" s="499">
        <v>0</v>
      </c>
      <c r="L9" s="506"/>
      <c r="M9" s="499">
        <v>0</v>
      </c>
      <c r="N9" s="499">
        <v>0</v>
      </c>
      <c r="O9" s="499">
        <v>0</v>
      </c>
      <c r="P9" s="516">
        <v>0</v>
      </c>
      <c r="Q9" s="502">
        <f t="shared" si="0"/>
        <v>2376200</v>
      </c>
    </row>
    <row r="10" spans="1:17" ht="14.25" customHeight="1" x14ac:dyDescent="0.2">
      <c r="A10" s="576"/>
      <c r="B10" s="152"/>
      <c r="C10" s="109" t="s">
        <v>397</v>
      </c>
      <c r="D10" s="109" t="s">
        <v>398</v>
      </c>
      <c r="E10" s="110"/>
      <c r="F10" s="110"/>
      <c r="G10" s="110">
        <v>876300</v>
      </c>
      <c r="H10" s="494"/>
      <c r="I10" s="505">
        <v>0</v>
      </c>
      <c r="J10" s="499">
        <v>0</v>
      </c>
      <c r="K10" s="499">
        <v>0</v>
      </c>
      <c r="L10" s="506"/>
      <c r="M10" s="499">
        <v>0</v>
      </c>
      <c r="N10" s="499">
        <v>0</v>
      </c>
      <c r="O10" s="499">
        <v>0</v>
      </c>
      <c r="P10" s="516">
        <v>0</v>
      </c>
      <c r="Q10" s="502"/>
    </row>
    <row r="11" spans="1:17" ht="14.25" customHeight="1" x14ac:dyDescent="0.2">
      <c r="A11" s="576"/>
      <c r="B11" s="152"/>
      <c r="C11" s="109" t="s">
        <v>376</v>
      </c>
      <c r="D11" s="109" t="s">
        <v>377</v>
      </c>
      <c r="E11" s="110">
        <v>0</v>
      </c>
      <c r="F11" s="110">
        <v>228000</v>
      </c>
      <c r="G11" s="110">
        <v>0</v>
      </c>
      <c r="H11" s="494">
        <v>0</v>
      </c>
      <c r="I11" s="505">
        <v>0</v>
      </c>
      <c r="J11" s="499">
        <v>0</v>
      </c>
      <c r="K11" s="499">
        <v>0</v>
      </c>
      <c r="L11" s="506"/>
      <c r="M11" s="499">
        <v>0</v>
      </c>
      <c r="N11" s="499">
        <v>0</v>
      </c>
      <c r="O11" s="499">
        <v>0</v>
      </c>
      <c r="P11" s="516">
        <v>0</v>
      </c>
      <c r="Q11" s="502">
        <f t="shared" si="0"/>
        <v>228000</v>
      </c>
    </row>
    <row r="12" spans="1:17" ht="18" customHeight="1" x14ac:dyDescent="0.2">
      <c r="A12" s="576"/>
      <c r="B12" s="577" t="s">
        <v>186</v>
      </c>
      <c r="C12" s="577"/>
      <c r="D12" s="422" t="s">
        <v>249</v>
      </c>
      <c r="E12" s="346">
        <f>SUM(E6:E11)</f>
        <v>32168830</v>
      </c>
      <c r="F12" s="346">
        <f>SUM(F6:F11)</f>
        <v>301322</v>
      </c>
      <c r="G12" s="346">
        <f t="shared" ref="G12:H12" si="1">SUM(G6:G11)</f>
        <v>654157</v>
      </c>
      <c r="H12" s="518">
        <f t="shared" si="1"/>
        <v>123691</v>
      </c>
      <c r="I12" s="519">
        <f>SUM(I6:I11)</f>
        <v>0</v>
      </c>
      <c r="J12" s="520">
        <f>SUM(J6:J11)</f>
        <v>0</v>
      </c>
      <c r="K12" s="520">
        <f>SUM(K6:K11)</f>
        <v>0</v>
      </c>
      <c r="L12" s="521"/>
      <c r="M12" s="520">
        <f>SUM(M6:M11)</f>
        <v>0</v>
      </c>
      <c r="N12" s="520">
        <f>SUM(N6:N11)</f>
        <v>0</v>
      </c>
      <c r="O12" s="520">
        <f>SUM(O6:O11)</f>
        <v>0</v>
      </c>
      <c r="P12" s="522">
        <f>SUM(P6:P11)</f>
        <v>0</v>
      </c>
      <c r="Q12" s="520">
        <f t="shared" si="0"/>
        <v>33248000</v>
      </c>
    </row>
    <row r="13" spans="1:17" ht="38.25" x14ac:dyDescent="0.2">
      <c r="A13" s="576"/>
      <c r="B13" s="108"/>
      <c r="C13" s="142" t="s">
        <v>424</v>
      </c>
      <c r="D13" s="142" t="s">
        <v>250</v>
      </c>
      <c r="E13" s="349">
        <v>33662224</v>
      </c>
      <c r="F13" s="110">
        <v>0</v>
      </c>
      <c r="G13" s="110">
        <v>0</v>
      </c>
      <c r="H13" s="494">
        <v>-3000000</v>
      </c>
      <c r="I13" s="523">
        <v>0</v>
      </c>
      <c r="J13" s="524">
        <v>0</v>
      </c>
      <c r="K13" s="524">
        <v>0</v>
      </c>
      <c r="L13" s="525"/>
      <c r="M13" s="524">
        <v>0</v>
      </c>
      <c r="N13" s="524">
        <v>0</v>
      </c>
      <c r="O13" s="524">
        <v>0</v>
      </c>
      <c r="P13" s="526">
        <v>0</v>
      </c>
      <c r="Q13" s="502">
        <f t="shared" si="0"/>
        <v>30662224</v>
      </c>
    </row>
    <row r="14" spans="1:17" x14ac:dyDescent="0.2">
      <c r="A14" s="576"/>
      <c r="B14" s="108"/>
      <c r="C14" s="136" t="s">
        <v>200</v>
      </c>
      <c r="D14" s="142" t="s">
        <v>250</v>
      </c>
      <c r="E14" s="110">
        <v>0</v>
      </c>
      <c r="F14" s="110">
        <v>0</v>
      </c>
      <c r="G14" s="110">
        <v>0</v>
      </c>
      <c r="H14" s="494">
        <v>0</v>
      </c>
      <c r="I14" s="523">
        <v>0</v>
      </c>
      <c r="J14" s="524">
        <v>0</v>
      </c>
      <c r="K14" s="524">
        <v>0</v>
      </c>
      <c r="L14" s="525"/>
      <c r="M14" s="524">
        <v>0</v>
      </c>
      <c r="N14" s="524">
        <v>0</v>
      </c>
      <c r="O14" s="524">
        <v>0</v>
      </c>
      <c r="P14" s="526">
        <v>0</v>
      </c>
      <c r="Q14" s="502">
        <f t="shared" si="0"/>
        <v>0</v>
      </c>
    </row>
    <row r="15" spans="1:17" x14ac:dyDescent="0.2">
      <c r="A15" s="576"/>
      <c r="B15" s="108"/>
      <c r="C15" s="136" t="s">
        <v>201</v>
      </c>
      <c r="D15" s="142" t="s">
        <v>250</v>
      </c>
      <c r="E15" s="110">
        <v>1574833</v>
      </c>
      <c r="F15" s="110">
        <v>0</v>
      </c>
      <c r="G15" s="110">
        <v>51222</v>
      </c>
      <c r="H15" s="494">
        <v>1337901</v>
      </c>
      <c r="I15" s="523">
        <v>0</v>
      </c>
      <c r="J15" s="524">
        <v>0</v>
      </c>
      <c r="K15" s="524">
        <v>0</v>
      </c>
      <c r="L15" s="525"/>
      <c r="M15" s="524">
        <v>0</v>
      </c>
      <c r="N15" s="524">
        <v>0</v>
      </c>
      <c r="O15" s="524">
        <v>0</v>
      </c>
      <c r="P15" s="526">
        <v>0</v>
      </c>
      <c r="Q15" s="502">
        <f t="shared" si="0"/>
        <v>2963956</v>
      </c>
    </row>
    <row r="16" spans="1:17" x14ac:dyDescent="0.2">
      <c r="A16" s="576"/>
      <c r="B16" s="108"/>
      <c r="C16" s="136" t="s">
        <v>202</v>
      </c>
      <c r="D16" s="142" t="s">
        <v>250</v>
      </c>
      <c r="E16" s="110">
        <v>164664</v>
      </c>
      <c r="F16" s="110">
        <v>0</v>
      </c>
      <c r="G16" s="110">
        <v>0</v>
      </c>
      <c r="H16" s="494">
        <v>0</v>
      </c>
      <c r="I16" s="523">
        <v>0</v>
      </c>
      <c r="J16" s="524">
        <v>0</v>
      </c>
      <c r="K16" s="524">
        <v>0</v>
      </c>
      <c r="L16" s="525"/>
      <c r="M16" s="524">
        <v>0</v>
      </c>
      <c r="N16" s="524">
        <v>0</v>
      </c>
      <c r="O16" s="524">
        <v>0</v>
      </c>
      <c r="P16" s="526">
        <v>0</v>
      </c>
      <c r="Q16" s="502">
        <f t="shared" si="0"/>
        <v>164664</v>
      </c>
    </row>
    <row r="17" spans="1:17" s="104" customFormat="1" ht="18.75" customHeight="1" x14ac:dyDescent="0.2">
      <c r="A17" s="576"/>
      <c r="B17" s="577" t="s">
        <v>203</v>
      </c>
      <c r="C17" s="577"/>
      <c r="D17" s="422" t="s">
        <v>250</v>
      </c>
      <c r="E17" s="346">
        <f>SUM(E13:E16)</f>
        <v>35401721</v>
      </c>
      <c r="F17" s="346">
        <f t="shared" ref="F17:H17" si="2">SUM(F13:F16)</f>
        <v>0</v>
      </c>
      <c r="G17" s="346">
        <f t="shared" si="2"/>
        <v>51222</v>
      </c>
      <c r="H17" s="518">
        <f t="shared" si="2"/>
        <v>-1662099</v>
      </c>
      <c r="I17" s="519">
        <f t="shared" ref="I17:N17" si="3">SUM(I13:I16)</f>
        <v>0</v>
      </c>
      <c r="J17" s="520">
        <f t="shared" ref="J17:K17" si="4">SUM(J13:J16)</f>
        <v>0</v>
      </c>
      <c r="K17" s="520">
        <f t="shared" si="4"/>
        <v>0</v>
      </c>
      <c r="L17" s="521"/>
      <c r="M17" s="520">
        <f t="shared" si="3"/>
        <v>0</v>
      </c>
      <c r="N17" s="520">
        <f t="shared" si="3"/>
        <v>0</v>
      </c>
      <c r="O17" s="520">
        <f t="shared" ref="O17:P17" si="5">SUM(O13:O16)</f>
        <v>0</v>
      </c>
      <c r="P17" s="522">
        <f t="shared" si="5"/>
        <v>0</v>
      </c>
      <c r="Q17" s="520">
        <f t="shared" ref="Q17" si="6">SUM(Q13:Q16)</f>
        <v>33790844</v>
      </c>
    </row>
    <row r="18" spans="1:17" s="148" customFormat="1" ht="22.5" customHeight="1" x14ac:dyDescent="0.2">
      <c r="A18" s="576"/>
      <c r="B18" s="566" t="s">
        <v>204</v>
      </c>
      <c r="C18" s="566"/>
      <c r="D18" s="420" t="s">
        <v>251</v>
      </c>
      <c r="E18" s="129">
        <f t="shared" ref="E18:Q18" si="7">E12+E17</f>
        <v>67570551</v>
      </c>
      <c r="F18" s="129">
        <f t="shared" si="7"/>
        <v>301322</v>
      </c>
      <c r="G18" s="129">
        <f t="shared" si="7"/>
        <v>705379</v>
      </c>
      <c r="H18" s="495">
        <f t="shared" si="7"/>
        <v>-1538408</v>
      </c>
      <c r="I18" s="507">
        <f t="shared" si="7"/>
        <v>0</v>
      </c>
      <c r="J18" s="500">
        <f t="shared" ref="J18:K18" si="8">J12+J17</f>
        <v>0</v>
      </c>
      <c r="K18" s="500">
        <f t="shared" si="8"/>
        <v>0</v>
      </c>
      <c r="L18" s="508"/>
      <c r="M18" s="500">
        <f t="shared" si="7"/>
        <v>0</v>
      </c>
      <c r="N18" s="500">
        <f t="shared" si="7"/>
        <v>0</v>
      </c>
      <c r="O18" s="500">
        <f t="shared" ref="O18:P18" si="9">O12+O17</f>
        <v>0</v>
      </c>
      <c r="P18" s="527">
        <f t="shared" si="9"/>
        <v>0</v>
      </c>
      <c r="Q18" s="500">
        <f t="shared" si="7"/>
        <v>67038844</v>
      </c>
    </row>
    <row r="19" spans="1:17" s="148" customFormat="1" x14ac:dyDescent="0.2">
      <c r="A19" s="421"/>
      <c r="B19" s="152"/>
      <c r="C19" s="528" t="s">
        <v>399</v>
      </c>
      <c r="D19" s="246" t="s">
        <v>400</v>
      </c>
      <c r="E19" s="110"/>
      <c r="F19" s="110"/>
      <c r="G19" s="110">
        <v>19974162</v>
      </c>
      <c r="H19" s="494">
        <v>0</v>
      </c>
      <c r="I19" s="509">
        <v>0</v>
      </c>
      <c r="J19" s="502">
        <v>0</v>
      </c>
      <c r="K19" s="502">
        <v>0</v>
      </c>
      <c r="L19" s="510"/>
      <c r="M19" s="502">
        <v>0</v>
      </c>
      <c r="N19" s="502">
        <v>0</v>
      </c>
      <c r="O19" s="502">
        <v>0</v>
      </c>
      <c r="P19" s="529">
        <v>0</v>
      </c>
      <c r="Q19" s="502">
        <f t="shared" ref="Q19" si="10">SUM(E19:M19)</f>
        <v>19974162</v>
      </c>
    </row>
    <row r="20" spans="1:17" s="148" customFormat="1" x14ac:dyDescent="0.2">
      <c r="A20" s="421"/>
      <c r="B20" s="108"/>
      <c r="C20" s="528" t="s">
        <v>380</v>
      </c>
      <c r="D20" s="109" t="s">
        <v>319</v>
      </c>
      <c r="E20" s="110">
        <v>1050000</v>
      </c>
      <c r="F20" s="110">
        <v>598293</v>
      </c>
      <c r="G20" s="110">
        <v>6999999</v>
      </c>
      <c r="H20" s="494">
        <v>16151989</v>
      </c>
      <c r="I20" s="509">
        <v>0</v>
      </c>
      <c r="J20" s="502">
        <v>0</v>
      </c>
      <c r="K20" s="502">
        <v>0</v>
      </c>
      <c r="L20" s="510"/>
      <c r="M20" s="502">
        <v>0</v>
      </c>
      <c r="N20" s="502">
        <v>0</v>
      </c>
      <c r="O20" s="502">
        <v>0</v>
      </c>
      <c r="P20" s="529">
        <v>0</v>
      </c>
      <c r="Q20" s="502">
        <f>SUM(E20:M20)</f>
        <v>24800281</v>
      </c>
    </row>
    <row r="21" spans="1:17" s="148" customFormat="1" x14ac:dyDescent="0.2">
      <c r="A21" s="421" t="s">
        <v>37</v>
      </c>
      <c r="B21" s="566" t="s">
        <v>378</v>
      </c>
      <c r="C21" s="566"/>
      <c r="D21" s="420" t="s">
        <v>379</v>
      </c>
      <c r="E21" s="129">
        <f>SUM(E19:E20)</f>
        <v>1050000</v>
      </c>
      <c r="F21" s="129">
        <f t="shared" ref="F21:H21" si="11">SUM(F19:F20)</f>
        <v>598293</v>
      </c>
      <c r="G21" s="129">
        <f t="shared" si="11"/>
        <v>26974161</v>
      </c>
      <c r="H21" s="495">
        <f t="shared" si="11"/>
        <v>16151989</v>
      </c>
      <c r="I21" s="507">
        <f t="shared" ref="I21:N21" si="12">SUM(I20)</f>
        <v>0</v>
      </c>
      <c r="J21" s="500">
        <f t="shared" ref="J21:K21" si="13">SUM(J20)</f>
        <v>0</v>
      </c>
      <c r="K21" s="500">
        <f t="shared" si="13"/>
        <v>0</v>
      </c>
      <c r="L21" s="508"/>
      <c r="M21" s="500">
        <f t="shared" si="12"/>
        <v>0</v>
      </c>
      <c r="N21" s="500">
        <f t="shared" si="12"/>
        <v>0</v>
      </c>
      <c r="O21" s="500">
        <f t="shared" ref="O21:P21" si="14">SUM(O20)</f>
        <v>0</v>
      </c>
      <c r="P21" s="527">
        <f t="shared" si="14"/>
        <v>0</v>
      </c>
      <c r="Q21" s="500">
        <f>SUM(Q19:Q20)</f>
        <v>44774443</v>
      </c>
    </row>
    <row r="22" spans="1:17" s="104" customFormat="1" x14ac:dyDescent="0.2">
      <c r="A22" s="576" t="s">
        <v>37</v>
      </c>
      <c r="B22" s="577" t="s">
        <v>187</v>
      </c>
      <c r="C22" s="577"/>
      <c r="D22" s="422" t="s">
        <v>252</v>
      </c>
      <c r="E22" s="346">
        <v>3820000</v>
      </c>
      <c r="F22" s="346">
        <v>0</v>
      </c>
      <c r="G22" s="346">
        <v>0</v>
      </c>
      <c r="H22" s="518">
        <v>498221</v>
      </c>
      <c r="I22" s="530">
        <v>0</v>
      </c>
      <c r="J22" s="531">
        <v>0</v>
      </c>
      <c r="K22" s="531">
        <v>0</v>
      </c>
      <c r="L22" s="532"/>
      <c r="M22" s="531">
        <v>0</v>
      </c>
      <c r="N22" s="531">
        <v>0</v>
      </c>
      <c r="O22" s="531">
        <v>0</v>
      </c>
      <c r="P22" s="533">
        <v>0</v>
      </c>
      <c r="Q22" s="520">
        <f>SUM(E22:M22)</f>
        <v>4318221</v>
      </c>
    </row>
    <row r="23" spans="1:17" x14ac:dyDescent="0.2">
      <c r="A23" s="576"/>
      <c r="B23" s="152" t="s">
        <v>36</v>
      </c>
      <c r="C23" s="109" t="s">
        <v>179</v>
      </c>
      <c r="D23" s="109" t="s">
        <v>253</v>
      </c>
      <c r="E23" s="110">
        <v>14737352</v>
      </c>
      <c r="F23" s="110">
        <v>0</v>
      </c>
      <c r="G23" s="110">
        <v>0</v>
      </c>
      <c r="H23" s="494">
        <v>4534805</v>
      </c>
      <c r="I23" s="505">
        <v>0</v>
      </c>
      <c r="J23" s="499">
        <v>0</v>
      </c>
      <c r="K23" s="499">
        <v>0</v>
      </c>
      <c r="L23" s="506"/>
      <c r="M23" s="499">
        <v>0</v>
      </c>
      <c r="N23" s="499">
        <v>0</v>
      </c>
      <c r="O23" s="499">
        <v>0</v>
      </c>
      <c r="P23" s="516">
        <v>0</v>
      </c>
      <c r="Q23" s="502">
        <f>SUM(E23:M23)</f>
        <v>19272157</v>
      </c>
    </row>
    <row r="24" spans="1:17" x14ac:dyDescent="0.2">
      <c r="A24" s="576"/>
      <c r="B24" s="152" t="s">
        <v>37</v>
      </c>
      <c r="C24" s="109" t="s">
        <v>188</v>
      </c>
      <c r="D24" s="109" t="s">
        <v>254</v>
      </c>
      <c r="E24" s="110">
        <v>3760000</v>
      </c>
      <c r="F24" s="110">
        <v>-3760000</v>
      </c>
      <c r="G24" s="110">
        <v>0</v>
      </c>
      <c r="H24" s="494">
        <v>0</v>
      </c>
      <c r="I24" s="505">
        <v>0</v>
      </c>
      <c r="J24" s="499">
        <v>0</v>
      </c>
      <c r="K24" s="499">
        <v>0</v>
      </c>
      <c r="L24" s="506"/>
      <c r="M24" s="499">
        <v>0</v>
      </c>
      <c r="N24" s="499">
        <v>0</v>
      </c>
      <c r="O24" s="499">
        <v>0</v>
      </c>
      <c r="P24" s="516">
        <v>0</v>
      </c>
      <c r="Q24" s="502">
        <f>SUM(E24:M24)</f>
        <v>0</v>
      </c>
    </row>
    <row r="25" spans="1:17" x14ac:dyDescent="0.2">
      <c r="A25" s="576"/>
      <c r="B25" s="152" t="s">
        <v>38</v>
      </c>
      <c r="C25" s="109" t="s">
        <v>180</v>
      </c>
      <c r="D25" s="109" t="s">
        <v>255</v>
      </c>
      <c r="E25" s="110">
        <v>0</v>
      </c>
      <c r="F25" s="110">
        <v>0</v>
      </c>
      <c r="G25" s="110">
        <v>0</v>
      </c>
      <c r="H25" s="494">
        <v>0</v>
      </c>
      <c r="I25" s="505">
        <v>0</v>
      </c>
      <c r="J25" s="499">
        <v>0</v>
      </c>
      <c r="K25" s="499">
        <v>0</v>
      </c>
      <c r="L25" s="506"/>
      <c r="M25" s="499">
        <v>0</v>
      </c>
      <c r="N25" s="499">
        <v>0</v>
      </c>
      <c r="O25" s="499">
        <v>0</v>
      </c>
      <c r="P25" s="516">
        <v>0</v>
      </c>
      <c r="Q25" s="502">
        <f>SUM(E25:M25)</f>
        <v>0</v>
      </c>
    </row>
    <row r="26" spans="1:17" ht="17.25" customHeight="1" x14ac:dyDescent="0.2">
      <c r="A26" s="576"/>
      <c r="B26" s="577" t="s">
        <v>234</v>
      </c>
      <c r="C26" s="577"/>
      <c r="D26" s="422" t="s">
        <v>256</v>
      </c>
      <c r="E26" s="346">
        <f t="shared" ref="E26:N26" si="15">SUM(E23:E25)</f>
        <v>18497352</v>
      </c>
      <c r="F26" s="346">
        <f t="shared" si="15"/>
        <v>-3760000</v>
      </c>
      <c r="G26" s="346">
        <f t="shared" si="15"/>
        <v>0</v>
      </c>
      <c r="H26" s="518">
        <f t="shared" si="15"/>
        <v>4534805</v>
      </c>
      <c r="I26" s="519">
        <f t="shared" si="15"/>
        <v>0</v>
      </c>
      <c r="J26" s="520">
        <f t="shared" ref="J26:K26" si="16">SUM(J23:J25)</f>
        <v>0</v>
      </c>
      <c r="K26" s="520">
        <f t="shared" si="16"/>
        <v>0</v>
      </c>
      <c r="L26" s="521"/>
      <c r="M26" s="520">
        <f t="shared" si="15"/>
        <v>0</v>
      </c>
      <c r="N26" s="520">
        <f t="shared" si="15"/>
        <v>0</v>
      </c>
      <c r="O26" s="520">
        <f t="shared" ref="O26:P26" si="17">SUM(O23:O25)</f>
        <v>0</v>
      </c>
      <c r="P26" s="522">
        <f t="shared" si="17"/>
        <v>0</v>
      </c>
      <c r="Q26" s="520">
        <f>SUM(Q23:Q25)</f>
        <v>19272157</v>
      </c>
    </row>
    <row r="27" spans="1:17" s="104" customFormat="1" ht="18.75" customHeight="1" x14ac:dyDescent="0.2">
      <c r="A27" s="576"/>
      <c r="B27" s="577" t="s">
        <v>181</v>
      </c>
      <c r="C27" s="577"/>
      <c r="D27" s="422" t="s">
        <v>257</v>
      </c>
      <c r="E27" s="346">
        <v>210000</v>
      </c>
      <c r="F27" s="346">
        <v>75519</v>
      </c>
      <c r="G27" s="346">
        <v>51509</v>
      </c>
      <c r="H27" s="518">
        <v>599109</v>
      </c>
      <c r="I27" s="530">
        <v>0</v>
      </c>
      <c r="J27" s="531">
        <v>0</v>
      </c>
      <c r="K27" s="531">
        <v>0</v>
      </c>
      <c r="L27" s="532"/>
      <c r="M27" s="531">
        <v>0</v>
      </c>
      <c r="N27" s="531">
        <v>0</v>
      </c>
      <c r="O27" s="531">
        <v>0</v>
      </c>
      <c r="P27" s="533">
        <v>0</v>
      </c>
      <c r="Q27" s="520">
        <f>SUM(E27:M27)</f>
        <v>936137</v>
      </c>
    </row>
    <row r="28" spans="1:17" s="148" customFormat="1" ht="18" customHeight="1" x14ac:dyDescent="0.2">
      <c r="A28" s="576"/>
      <c r="B28" s="566" t="s">
        <v>189</v>
      </c>
      <c r="C28" s="566"/>
      <c r="D28" s="420" t="s">
        <v>258</v>
      </c>
      <c r="E28" s="129">
        <f t="shared" ref="E28:N28" si="18">E22+E26+E27</f>
        <v>22527352</v>
      </c>
      <c r="F28" s="129">
        <f t="shared" si="18"/>
        <v>-3684481</v>
      </c>
      <c r="G28" s="129">
        <f t="shared" si="18"/>
        <v>51509</v>
      </c>
      <c r="H28" s="495">
        <f t="shared" si="18"/>
        <v>5632135</v>
      </c>
      <c r="I28" s="507">
        <v>0</v>
      </c>
      <c r="J28" s="500">
        <f t="shared" ref="J28:K28" si="19">J22+J26+J27</f>
        <v>0</v>
      </c>
      <c r="K28" s="500">
        <f t="shared" si="19"/>
        <v>0</v>
      </c>
      <c r="L28" s="508"/>
      <c r="M28" s="500">
        <f t="shared" si="18"/>
        <v>0</v>
      </c>
      <c r="N28" s="500">
        <f t="shared" si="18"/>
        <v>0</v>
      </c>
      <c r="O28" s="500">
        <f t="shared" ref="O28:P28" si="20">O22+O26+O27</f>
        <v>0</v>
      </c>
      <c r="P28" s="527">
        <f t="shared" si="20"/>
        <v>0</v>
      </c>
      <c r="Q28" s="500">
        <f>Q22+Q26+Q27</f>
        <v>24526515</v>
      </c>
    </row>
    <row r="29" spans="1:17" x14ac:dyDescent="0.2">
      <c r="A29" s="576" t="s">
        <v>38</v>
      </c>
      <c r="B29" s="153"/>
      <c r="C29" s="109" t="s">
        <v>191</v>
      </c>
      <c r="D29" s="109" t="s">
        <v>259</v>
      </c>
      <c r="E29" s="110">
        <v>6075871</v>
      </c>
      <c r="F29" s="110">
        <v>0</v>
      </c>
      <c r="G29" s="110"/>
      <c r="H29" s="494">
        <v>-59886</v>
      </c>
      <c r="I29" s="509">
        <v>0</v>
      </c>
      <c r="J29" s="502">
        <v>0</v>
      </c>
      <c r="K29" s="502">
        <v>0</v>
      </c>
      <c r="L29" s="510"/>
      <c r="M29" s="502">
        <v>0</v>
      </c>
      <c r="N29" s="502">
        <v>0</v>
      </c>
      <c r="O29" s="502">
        <v>0</v>
      </c>
      <c r="P29" s="529">
        <v>0</v>
      </c>
      <c r="Q29" s="502">
        <f t="shared" ref="Q29:Q36" si="21">SUM(E29:M29)</f>
        <v>6015985</v>
      </c>
    </row>
    <row r="30" spans="1:17" x14ac:dyDescent="0.2">
      <c r="A30" s="576"/>
      <c r="B30" s="153"/>
      <c r="C30" s="109" t="s">
        <v>192</v>
      </c>
      <c r="D30" s="109" t="s">
        <v>260</v>
      </c>
      <c r="E30" s="110">
        <v>0</v>
      </c>
      <c r="F30" s="110">
        <v>0</v>
      </c>
      <c r="G30" s="110">
        <v>0</v>
      </c>
      <c r="H30" s="494">
        <v>0</v>
      </c>
      <c r="I30" s="509">
        <v>0</v>
      </c>
      <c r="J30" s="502">
        <v>0</v>
      </c>
      <c r="K30" s="502">
        <v>0</v>
      </c>
      <c r="L30" s="510"/>
      <c r="M30" s="502">
        <v>0</v>
      </c>
      <c r="N30" s="502">
        <v>0</v>
      </c>
      <c r="O30" s="502">
        <v>0</v>
      </c>
      <c r="P30" s="529">
        <v>0</v>
      </c>
      <c r="Q30" s="502">
        <f t="shared" si="21"/>
        <v>0</v>
      </c>
    </row>
    <row r="31" spans="1:17" x14ac:dyDescent="0.2">
      <c r="A31" s="576"/>
      <c r="B31" s="153"/>
      <c r="C31" s="109" t="s">
        <v>193</v>
      </c>
      <c r="D31" s="109" t="s">
        <v>261</v>
      </c>
      <c r="E31" s="110">
        <v>0</v>
      </c>
      <c r="F31" s="110">
        <v>38917</v>
      </c>
      <c r="G31" s="110">
        <v>38917</v>
      </c>
      <c r="H31" s="494">
        <v>0</v>
      </c>
      <c r="I31" s="505">
        <v>0</v>
      </c>
      <c r="J31" s="502">
        <v>0</v>
      </c>
      <c r="K31" s="502">
        <v>0</v>
      </c>
      <c r="L31" s="506"/>
      <c r="M31" s="502">
        <v>0</v>
      </c>
      <c r="N31" s="502">
        <v>0</v>
      </c>
      <c r="O31" s="502">
        <v>0</v>
      </c>
      <c r="P31" s="529">
        <v>0</v>
      </c>
      <c r="Q31" s="502">
        <f t="shared" si="21"/>
        <v>77834</v>
      </c>
    </row>
    <row r="32" spans="1:17" x14ac:dyDescent="0.2">
      <c r="A32" s="576"/>
      <c r="B32" s="153"/>
      <c r="C32" s="109" t="s">
        <v>194</v>
      </c>
      <c r="D32" s="109" t="s">
        <v>262</v>
      </c>
      <c r="E32" s="110">
        <v>1666559</v>
      </c>
      <c r="F32" s="110">
        <v>0</v>
      </c>
      <c r="G32" s="110">
        <v>0</v>
      </c>
      <c r="H32" s="494">
        <v>-250902</v>
      </c>
      <c r="I32" s="505">
        <v>0</v>
      </c>
      <c r="J32" s="502">
        <v>0</v>
      </c>
      <c r="K32" s="502">
        <v>0</v>
      </c>
      <c r="L32" s="506"/>
      <c r="M32" s="502">
        <v>0</v>
      </c>
      <c r="N32" s="502">
        <v>0</v>
      </c>
      <c r="O32" s="502">
        <v>0</v>
      </c>
      <c r="P32" s="529">
        <v>0</v>
      </c>
      <c r="Q32" s="502">
        <f t="shared" si="21"/>
        <v>1415657</v>
      </c>
    </row>
    <row r="33" spans="1:17" x14ac:dyDescent="0.2">
      <c r="A33" s="576"/>
      <c r="B33" s="153"/>
      <c r="C33" s="109" t="s">
        <v>195</v>
      </c>
      <c r="D33" s="109" t="s">
        <v>263</v>
      </c>
      <c r="E33" s="110">
        <v>547766</v>
      </c>
      <c r="F33" s="110">
        <v>0</v>
      </c>
      <c r="G33" s="110">
        <v>0</v>
      </c>
      <c r="H33" s="494">
        <v>228118</v>
      </c>
      <c r="I33" s="505">
        <v>0</v>
      </c>
      <c r="J33" s="502">
        <v>0</v>
      </c>
      <c r="K33" s="502">
        <v>0</v>
      </c>
      <c r="L33" s="506"/>
      <c r="M33" s="502">
        <v>0</v>
      </c>
      <c r="N33" s="502">
        <v>0</v>
      </c>
      <c r="O33" s="502">
        <v>0</v>
      </c>
      <c r="P33" s="529">
        <v>0</v>
      </c>
      <c r="Q33" s="502">
        <f t="shared" si="21"/>
        <v>775884</v>
      </c>
    </row>
    <row r="34" spans="1:17" x14ac:dyDescent="0.2">
      <c r="A34" s="576"/>
      <c r="B34" s="153"/>
      <c r="C34" s="109" t="s">
        <v>196</v>
      </c>
      <c r="D34" s="109" t="s">
        <v>264</v>
      </c>
      <c r="E34" s="110">
        <v>430000</v>
      </c>
      <c r="F34" s="110">
        <v>0</v>
      </c>
      <c r="G34" s="110">
        <v>347519</v>
      </c>
      <c r="H34" s="494">
        <v>403872</v>
      </c>
      <c r="I34" s="505">
        <v>0</v>
      </c>
      <c r="J34" s="502">
        <v>0</v>
      </c>
      <c r="K34" s="502">
        <v>0</v>
      </c>
      <c r="L34" s="506"/>
      <c r="M34" s="502">
        <v>0</v>
      </c>
      <c r="N34" s="502">
        <v>0</v>
      </c>
      <c r="O34" s="502">
        <v>0</v>
      </c>
      <c r="P34" s="529">
        <v>0</v>
      </c>
      <c r="Q34" s="502">
        <f t="shared" si="21"/>
        <v>1181391</v>
      </c>
    </row>
    <row r="35" spans="1:17" x14ac:dyDescent="0.2">
      <c r="A35" s="576"/>
      <c r="B35" s="153"/>
      <c r="C35" s="109" t="s">
        <v>176</v>
      </c>
      <c r="D35" s="109" t="s">
        <v>265</v>
      </c>
      <c r="E35" s="110">
        <v>38000</v>
      </c>
      <c r="F35" s="110">
        <v>66079</v>
      </c>
      <c r="G35" s="110">
        <v>34204</v>
      </c>
      <c r="H35" s="494">
        <v>42007</v>
      </c>
      <c r="I35" s="505">
        <v>0</v>
      </c>
      <c r="J35" s="502">
        <v>0</v>
      </c>
      <c r="K35" s="502">
        <v>0</v>
      </c>
      <c r="L35" s="506"/>
      <c r="M35" s="502">
        <v>0</v>
      </c>
      <c r="N35" s="502">
        <v>0</v>
      </c>
      <c r="O35" s="502">
        <v>0</v>
      </c>
      <c r="P35" s="529">
        <v>0</v>
      </c>
      <c r="Q35" s="502">
        <f t="shared" si="21"/>
        <v>180290</v>
      </c>
    </row>
    <row r="36" spans="1:17" x14ac:dyDescent="0.2">
      <c r="A36" s="576"/>
      <c r="B36" s="153"/>
      <c r="C36" s="109" t="s">
        <v>197</v>
      </c>
      <c r="D36" s="109" t="s">
        <v>266</v>
      </c>
      <c r="E36" s="110">
        <v>4100</v>
      </c>
      <c r="F36" s="110">
        <v>125314</v>
      </c>
      <c r="G36" s="110">
        <v>66</v>
      </c>
      <c r="H36" s="494">
        <v>524031</v>
      </c>
      <c r="I36" s="505">
        <v>0</v>
      </c>
      <c r="J36" s="502">
        <v>0</v>
      </c>
      <c r="K36" s="502">
        <v>0</v>
      </c>
      <c r="L36" s="506"/>
      <c r="M36" s="502">
        <v>0</v>
      </c>
      <c r="N36" s="502">
        <v>0</v>
      </c>
      <c r="O36" s="502">
        <v>0</v>
      </c>
      <c r="P36" s="529">
        <v>0</v>
      </c>
      <c r="Q36" s="502">
        <f t="shared" si="21"/>
        <v>653511</v>
      </c>
    </row>
    <row r="37" spans="1:17" x14ac:dyDescent="0.2">
      <c r="A37" s="576"/>
      <c r="B37" s="569" t="s">
        <v>190</v>
      </c>
      <c r="C37" s="569"/>
      <c r="D37" s="419" t="s">
        <v>267</v>
      </c>
      <c r="E37" s="350">
        <f>SUM(E29:E36)</f>
        <v>8762296</v>
      </c>
      <c r="F37" s="350">
        <f t="shared" ref="F37:H37" si="22">SUM(F29:F36)</f>
        <v>230310</v>
      </c>
      <c r="G37" s="350">
        <f t="shared" si="22"/>
        <v>420706</v>
      </c>
      <c r="H37" s="534">
        <f t="shared" si="22"/>
        <v>887240</v>
      </c>
      <c r="I37" s="535">
        <f t="shared" ref="I37:N37" si="23">SUM(I29:I36)</f>
        <v>0</v>
      </c>
      <c r="J37" s="536">
        <f t="shared" ref="J37:K37" si="24">SUM(J29:J36)</f>
        <v>0</v>
      </c>
      <c r="K37" s="536">
        <f t="shared" si="24"/>
        <v>0</v>
      </c>
      <c r="L37" s="537"/>
      <c r="M37" s="536">
        <f t="shared" si="23"/>
        <v>0</v>
      </c>
      <c r="N37" s="536">
        <f t="shared" si="23"/>
        <v>0</v>
      </c>
      <c r="O37" s="536">
        <f t="shared" ref="O37:P37" si="25">SUM(O29:O36)</f>
        <v>0</v>
      </c>
      <c r="P37" s="538">
        <f t="shared" si="25"/>
        <v>0</v>
      </c>
      <c r="Q37" s="536">
        <f t="shared" ref="Q37" si="26">SUM(Q29:Q36)</f>
        <v>10300552</v>
      </c>
    </row>
    <row r="38" spans="1:17" ht="20.25" customHeight="1" x14ac:dyDescent="0.2">
      <c r="A38" s="576" t="s">
        <v>39</v>
      </c>
      <c r="B38" s="153"/>
      <c r="C38" s="109" t="s">
        <v>198</v>
      </c>
      <c r="D38" s="109" t="s">
        <v>323</v>
      </c>
      <c r="E38" s="110">
        <v>0</v>
      </c>
      <c r="F38" s="110">
        <v>0</v>
      </c>
      <c r="G38" s="110">
        <v>0</v>
      </c>
      <c r="H38" s="494">
        <v>0</v>
      </c>
      <c r="I38" s="505">
        <v>0</v>
      </c>
      <c r="J38" s="499">
        <v>0</v>
      </c>
      <c r="K38" s="499">
        <v>0</v>
      </c>
      <c r="L38" s="506"/>
      <c r="M38" s="499">
        <v>0</v>
      </c>
      <c r="N38" s="499">
        <v>0</v>
      </c>
      <c r="O38" s="499">
        <v>0</v>
      </c>
      <c r="P38" s="516">
        <v>0</v>
      </c>
      <c r="Q38" s="502">
        <f>SUM(E38:M38)</f>
        <v>0</v>
      </c>
    </row>
    <row r="39" spans="1:17" ht="16.5" customHeight="1" x14ac:dyDescent="0.2">
      <c r="A39" s="576"/>
      <c r="B39" s="569" t="s">
        <v>177</v>
      </c>
      <c r="C39" s="569"/>
      <c r="D39" s="419" t="s">
        <v>323</v>
      </c>
      <c r="E39" s="350">
        <f t="shared" ref="E39:H39" si="27">SUM(E38)</f>
        <v>0</v>
      </c>
      <c r="F39" s="350">
        <f t="shared" si="27"/>
        <v>0</v>
      </c>
      <c r="G39" s="350">
        <f t="shared" si="27"/>
        <v>0</v>
      </c>
      <c r="H39" s="534">
        <f t="shared" si="27"/>
        <v>0</v>
      </c>
      <c r="I39" s="535">
        <v>0</v>
      </c>
      <c r="J39" s="536">
        <v>0</v>
      </c>
      <c r="K39" s="536">
        <v>0</v>
      </c>
      <c r="L39" s="537"/>
      <c r="M39" s="536">
        <v>0</v>
      </c>
      <c r="N39" s="536">
        <v>0</v>
      </c>
      <c r="O39" s="536">
        <v>0</v>
      </c>
      <c r="P39" s="538">
        <v>0</v>
      </c>
      <c r="Q39" s="536">
        <f>SUM(Q38)</f>
        <v>0</v>
      </c>
    </row>
    <row r="40" spans="1:17" ht="25.5" x14ac:dyDescent="0.2">
      <c r="A40" s="576" t="s">
        <v>40</v>
      </c>
      <c r="B40" s="153"/>
      <c r="C40" s="109" t="s">
        <v>199</v>
      </c>
      <c r="D40" s="109" t="s">
        <v>268</v>
      </c>
      <c r="F40" s="539">
        <v>0</v>
      </c>
      <c r="G40" s="539"/>
      <c r="H40" s="517"/>
      <c r="I40" s="509">
        <v>216000</v>
      </c>
      <c r="J40" s="499">
        <v>0</v>
      </c>
      <c r="K40" s="499">
        <v>0</v>
      </c>
      <c r="L40" s="510">
        <v>-36000</v>
      </c>
      <c r="M40" s="499">
        <v>0</v>
      </c>
      <c r="N40" s="499">
        <v>0</v>
      </c>
      <c r="O40" s="499">
        <v>0</v>
      </c>
      <c r="P40" s="516">
        <v>0</v>
      </c>
      <c r="Q40" s="502">
        <f>SUM(E40:M40)</f>
        <v>180000</v>
      </c>
    </row>
    <row r="41" spans="1:17" x14ac:dyDescent="0.2">
      <c r="A41" s="576"/>
      <c r="B41" s="153"/>
      <c r="C41" s="109" t="s">
        <v>381</v>
      </c>
      <c r="D41" s="109" t="s">
        <v>382</v>
      </c>
      <c r="E41" s="110">
        <v>0</v>
      </c>
      <c r="F41" s="110">
        <v>63822</v>
      </c>
      <c r="G41" s="110">
        <v>0</v>
      </c>
      <c r="H41" s="494">
        <v>181993</v>
      </c>
      <c r="I41" s="505">
        <v>0</v>
      </c>
      <c r="J41" s="499">
        <v>0</v>
      </c>
      <c r="K41" s="499">
        <v>0</v>
      </c>
      <c r="L41" s="506"/>
      <c r="M41" s="499">
        <v>0</v>
      </c>
      <c r="N41" s="499">
        <v>0</v>
      </c>
      <c r="O41" s="499">
        <v>0</v>
      </c>
      <c r="P41" s="516">
        <v>0</v>
      </c>
      <c r="Q41" s="502">
        <f>SUM(E41:M41)</f>
        <v>245815</v>
      </c>
    </row>
    <row r="42" spans="1:17" ht="12.75" customHeight="1" x14ac:dyDescent="0.2">
      <c r="A42" s="576"/>
      <c r="B42" s="569" t="s">
        <v>300</v>
      </c>
      <c r="C42" s="569"/>
      <c r="D42" s="419" t="s">
        <v>383</v>
      </c>
      <c r="E42" s="350">
        <f>SUM(E40:E41)</f>
        <v>0</v>
      </c>
      <c r="F42" s="350">
        <f t="shared" ref="F42:H42" si="28">SUM(F40:F41)</f>
        <v>63822</v>
      </c>
      <c r="G42" s="350">
        <f t="shared" si="28"/>
        <v>0</v>
      </c>
      <c r="H42" s="534">
        <f t="shared" si="28"/>
        <v>181993</v>
      </c>
      <c r="I42" s="535">
        <f t="shared" ref="I42:Q42" si="29">SUM(I40:I41)</f>
        <v>216000</v>
      </c>
      <c r="J42" s="536">
        <f t="shared" ref="J42:K42" si="30">SUM(J40:J41)</f>
        <v>0</v>
      </c>
      <c r="K42" s="536">
        <f t="shared" si="30"/>
        <v>0</v>
      </c>
      <c r="L42" s="537">
        <f t="shared" si="29"/>
        <v>-36000</v>
      </c>
      <c r="M42" s="536">
        <f t="shared" si="29"/>
        <v>0</v>
      </c>
      <c r="N42" s="536">
        <f t="shared" si="29"/>
        <v>0</v>
      </c>
      <c r="O42" s="536">
        <f t="shared" ref="O42:P42" si="31">SUM(O40:O41)</f>
        <v>0</v>
      </c>
      <c r="P42" s="538">
        <f t="shared" si="31"/>
        <v>0</v>
      </c>
      <c r="Q42" s="536">
        <f t="shared" si="29"/>
        <v>425815</v>
      </c>
    </row>
    <row r="43" spans="1:17" s="150" customFormat="1" ht="24.75" customHeight="1" x14ac:dyDescent="0.2">
      <c r="A43" s="575" t="s">
        <v>178</v>
      </c>
      <c r="B43" s="575"/>
      <c r="C43" s="575"/>
      <c r="D43" s="423" t="s">
        <v>269</v>
      </c>
      <c r="E43" s="130">
        <f>E18+E21+E28+E37+E39+E42</f>
        <v>99910199</v>
      </c>
      <c r="F43" s="130">
        <f t="shared" ref="F43:H43" si="32">F18+F21+F28+F37+F39+F42</f>
        <v>-2490734</v>
      </c>
      <c r="G43" s="130">
        <f t="shared" si="32"/>
        <v>28151755</v>
      </c>
      <c r="H43" s="497">
        <f t="shared" si="32"/>
        <v>21314949</v>
      </c>
      <c r="I43" s="511">
        <f t="shared" ref="I43:Q43" si="33">I18+I21+I28+I37+I39+I42</f>
        <v>216000</v>
      </c>
      <c r="J43" s="503">
        <f t="shared" ref="J43:K43" si="34">J18+J21+J28+J37+J39+J42</f>
        <v>0</v>
      </c>
      <c r="K43" s="503">
        <f t="shared" si="34"/>
        <v>0</v>
      </c>
      <c r="L43" s="512">
        <f t="shared" si="33"/>
        <v>-36000</v>
      </c>
      <c r="M43" s="503">
        <f t="shared" si="33"/>
        <v>0</v>
      </c>
      <c r="N43" s="503">
        <f t="shared" si="33"/>
        <v>0</v>
      </c>
      <c r="O43" s="503">
        <f t="shared" ref="O43:P43" si="35">O18+O21+O28+O37+O39+O42</f>
        <v>0</v>
      </c>
      <c r="P43" s="540">
        <f t="shared" si="35"/>
        <v>0</v>
      </c>
      <c r="Q43" s="503">
        <f t="shared" si="33"/>
        <v>147066169</v>
      </c>
    </row>
    <row r="44" spans="1:17" ht="24" customHeight="1" x14ac:dyDescent="0.2">
      <c r="A44" s="145"/>
      <c r="B44" s="153"/>
      <c r="C44" s="109" t="s">
        <v>238</v>
      </c>
      <c r="D44" s="109" t="s">
        <v>270</v>
      </c>
      <c r="E44" s="110">
        <v>0</v>
      </c>
      <c r="F44" s="110">
        <v>0</v>
      </c>
      <c r="G44" s="110"/>
      <c r="H44" s="494"/>
      <c r="I44" s="509">
        <v>0</v>
      </c>
      <c r="J44" s="502">
        <v>0</v>
      </c>
      <c r="K44" s="502">
        <v>0</v>
      </c>
      <c r="L44" s="510"/>
      <c r="M44" s="502">
        <v>0</v>
      </c>
      <c r="N44" s="502">
        <v>0</v>
      </c>
      <c r="O44" s="502">
        <v>0</v>
      </c>
      <c r="P44" s="529">
        <v>0</v>
      </c>
      <c r="Q44" s="502">
        <f>SUM(E44:M44)</f>
        <v>0</v>
      </c>
    </row>
    <row r="45" spans="1:17" ht="18.75" customHeight="1" x14ac:dyDescent="0.2">
      <c r="A45" s="145"/>
      <c r="B45" s="569" t="s">
        <v>239</v>
      </c>
      <c r="C45" s="569"/>
      <c r="D45" s="419" t="s">
        <v>271</v>
      </c>
      <c r="E45" s="350">
        <f t="shared" ref="E45:Q45" si="36">SUM(E44)</f>
        <v>0</v>
      </c>
      <c r="F45" s="350">
        <f t="shared" si="36"/>
        <v>0</v>
      </c>
      <c r="G45" s="350"/>
      <c r="H45" s="534"/>
      <c r="I45" s="535">
        <f t="shared" si="36"/>
        <v>0</v>
      </c>
      <c r="J45" s="536">
        <f t="shared" ref="J45:K45" si="37">SUM(J44)</f>
        <v>0</v>
      </c>
      <c r="K45" s="536">
        <f t="shared" si="37"/>
        <v>0</v>
      </c>
      <c r="L45" s="537"/>
      <c r="M45" s="536">
        <f t="shared" si="36"/>
        <v>0</v>
      </c>
      <c r="N45" s="536">
        <f t="shared" si="36"/>
        <v>0</v>
      </c>
      <c r="O45" s="536">
        <f t="shared" ref="O45:P45" si="38">SUM(O44)</f>
        <v>0</v>
      </c>
      <c r="P45" s="538">
        <f t="shared" si="38"/>
        <v>0</v>
      </c>
      <c r="Q45" s="536">
        <f t="shared" si="36"/>
        <v>0</v>
      </c>
    </row>
    <row r="46" spans="1:17" ht="17.25" customHeight="1" x14ac:dyDescent="0.2">
      <c r="A46" s="576" t="s">
        <v>44</v>
      </c>
      <c r="B46" s="153"/>
      <c r="C46" s="109" t="s">
        <v>206</v>
      </c>
      <c r="D46" s="109" t="s">
        <v>272</v>
      </c>
      <c r="E46" s="110">
        <v>27408017</v>
      </c>
      <c r="F46" s="110">
        <v>0</v>
      </c>
      <c r="G46" s="110">
        <v>0</v>
      </c>
      <c r="H46" s="494">
        <v>-27408017</v>
      </c>
      <c r="I46" s="505">
        <v>0</v>
      </c>
      <c r="J46" s="499">
        <v>0</v>
      </c>
      <c r="K46" s="499">
        <v>0</v>
      </c>
      <c r="L46" s="506"/>
      <c r="M46" s="499">
        <v>0</v>
      </c>
      <c r="N46" s="499">
        <v>0</v>
      </c>
      <c r="O46" s="499">
        <v>0</v>
      </c>
      <c r="P46" s="516">
        <v>0</v>
      </c>
      <c r="Q46" s="502">
        <f>SUM(E46:M46)</f>
        <v>0</v>
      </c>
    </row>
    <row r="47" spans="1:17" ht="18.75" customHeight="1" x14ac:dyDescent="0.2">
      <c r="A47" s="576"/>
      <c r="B47" s="569" t="s">
        <v>205</v>
      </c>
      <c r="C47" s="569"/>
      <c r="D47" s="419" t="s">
        <v>395</v>
      </c>
      <c r="E47" s="350">
        <f t="shared" ref="E47:Q47" si="39">SUM(E46)</f>
        <v>27408017</v>
      </c>
      <c r="F47" s="350">
        <f t="shared" si="39"/>
        <v>0</v>
      </c>
      <c r="G47" s="350">
        <f t="shared" si="39"/>
        <v>0</v>
      </c>
      <c r="H47" s="534">
        <f t="shared" si="39"/>
        <v>-27408017</v>
      </c>
      <c r="I47" s="535">
        <f t="shared" si="39"/>
        <v>0</v>
      </c>
      <c r="J47" s="536">
        <f t="shared" ref="J47:K47" si="40">SUM(J46)</f>
        <v>0</v>
      </c>
      <c r="K47" s="536">
        <f t="shared" si="40"/>
        <v>0</v>
      </c>
      <c r="L47" s="537"/>
      <c r="M47" s="536">
        <f t="shared" si="39"/>
        <v>0</v>
      </c>
      <c r="N47" s="536">
        <f t="shared" si="39"/>
        <v>0</v>
      </c>
      <c r="O47" s="536">
        <f t="shared" ref="O47:P47" si="41">SUM(O46)</f>
        <v>0</v>
      </c>
      <c r="P47" s="538">
        <f t="shared" si="41"/>
        <v>0</v>
      </c>
      <c r="Q47" s="536">
        <f t="shared" si="39"/>
        <v>0</v>
      </c>
    </row>
    <row r="48" spans="1:17" ht="15" customHeight="1" x14ac:dyDescent="0.2">
      <c r="A48" s="576" t="s">
        <v>46</v>
      </c>
      <c r="B48" s="153"/>
      <c r="C48" s="109" t="s">
        <v>235</v>
      </c>
      <c r="D48" s="109" t="s">
        <v>320</v>
      </c>
      <c r="E48" s="110">
        <v>70610741</v>
      </c>
      <c r="F48" s="110">
        <v>0</v>
      </c>
      <c r="G48" s="110">
        <v>0</v>
      </c>
      <c r="H48" s="494">
        <v>-1076620</v>
      </c>
      <c r="I48" s="505">
        <v>0</v>
      </c>
      <c r="J48" s="499">
        <v>0</v>
      </c>
      <c r="K48" s="499">
        <v>0</v>
      </c>
      <c r="L48" s="506"/>
      <c r="M48" s="499">
        <v>0</v>
      </c>
      <c r="N48" s="499">
        <v>0</v>
      </c>
      <c r="O48" s="499">
        <v>0</v>
      </c>
      <c r="P48" s="516">
        <v>0</v>
      </c>
      <c r="Q48" s="502">
        <f>SUM(E48:M48)</f>
        <v>69534121</v>
      </c>
    </row>
    <row r="49" spans="1:17" ht="17.25" customHeight="1" x14ac:dyDescent="0.2">
      <c r="A49" s="576"/>
      <c r="B49" s="569" t="s">
        <v>207</v>
      </c>
      <c r="C49" s="569"/>
      <c r="D49" s="419" t="s">
        <v>321</v>
      </c>
      <c r="E49" s="350">
        <f t="shared" ref="E49:Q49" si="42">SUM(E48)</f>
        <v>70610741</v>
      </c>
      <c r="F49" s="350">
        <f t="shared" si="42"/>
        <v>0</v>
      </c>
      <c r="G49" s="350">
        <f t="shared" si="42"/>
        <v>0</v>
      </c>
      <c r="H49" s="534">
        <f t="shared" si="42"/>
        <v>-1076620</v>
      </c>
      <c r="I49" s="535">
        <f t="shared" si="42"/>
        <v>0</v>
      </c>
      <c r="J49" s="536">
        <v>0</v>
      </c>
      <c r="K49" s="536">
        <v>0</v>
      </c>
      <c r="L49" s="537"/>
      <c r="M49" s="536">
        <v>0</v>
      </c>
      <c r="N49" s="536">
        <v>0</v>
      </c>
      <c r="O49" s="536">
        <v>0</v>
      </c>
      <c r="P49" s="538">
        <v>0</v>
      </c>
      <c r="Q49" s="536">
        <f t="shared" si="42"/>
        <v>69534121</v>
      </c>
    </row>
    <row r="50" spans="1:17" ht="15.75" customHeight="1" x14ac:dyDescent="0.2">
      <c r="A50" s="593" t="s">
        <v>47</v>
      </c>
      <c r="B50" s="153"/>
      <c r="C50" s="109" t="s">
        <v>412</v>
      </c>
      <c r="D50" s="109" t="s">
        <v>413</v>
      </c>
      <c r="E50" s="110">
        <v>0</v>
      </c>
      <c r="F50" s="110">
        <v>0</v>
      </c>
      <c r="G50" s="110">
        <v>0</v>
      </c>
      <c r="H50" s="494">
        <v>1385079</v>
      </c>
      <c r="I50" s="505">
        <v>0</v>
      </c>
      <c r="J50" s="499">
        <v>0</v>
      </c>
      <c r="K50" s="499">
        <v>0</v>
      </c>
      <c r="L50" s="506"/>
      <c r="M50" s="499">
        <v>0</v>
      </c>
      <c r="N50" s="499">
        <v>0</v>
      </c>
      <c r="O50" s="499">
        <v>0</v>
      </c>
      <c r="P50" s="516">
        <v>0</v>
      </c>
      <c r="Q50" s="502">
        <f>SUM(E50:M50)</f>
        <v>1385079</v>
      </c>
    </row>
    <row r="51" spans="1:17" ht="18" customHeight="1" x14ac:dyDescent="0.2">
      <c r="A51" s="594"/>
      <c r="B51" s="569" t="s">
        <v>237</v>
      </c>
      <c r="C51" s="569"/>
      <c r="D51" s="419" t="s">
        <v>273</v>
      </c>
      <c r="E51" s="350">
        <f t="shared" ref="E51:Q51" si="43">SUM(E50)</f>
        <v>0</v>
      </c>
      <c r="F51" s="350">
        <f t="shared" si="43"/>
        <v>0</v>
      </c>
      <c r="G51" s="350">
        <f t="shared" si="43"/>
        <v>0</v>
      </c>
      <c r="H51" s="534">
        <f t="shared" si="43"/>
        <v>1385079</v>
      </c>
      <c r="I51" s="535">
        <f t="shared" si="43"/>
        <v>0</v>
      </c>
      <c r="J51" s="536">
        <f t="shared" ref="J51:K51" si="44">SUM(J50)</f>
        <v>0</v>
      </c>
      <c r="K51" s="536">
        <f t="shared" si="44"/>
        <v>0</v>
      </c>
      <c r="L51" s="537">
        <f t="shared" si="43"/>
        <v>0</v>
      </c>
      <c r="M51" s="536">
        <f t="shared" si="43"/>
        <v>0</v>
      </c>
      <c r="N51" s="536">
        <f t="shared" si="43"/>
        <v>0</v>
      </c>
      <c r="O51" s="536">
        <f t="shared" ref="O51:P51" si="45">SUM(O50)</f>
        <v>0</v>
      </c>
      <c r="P51" s="538">
        <f t="shared" si="45"/>
        <v>0</v>
      </c>
      <c r="Q51" s="536">
        <f t="shared" si="43"/>
        <v>1385079</v>
      </c>
    </row>
    <row r="52" spans="1:17" s="148" customFormat="1" ht="21.75" customHeight="1" x14ac:dyDescent="0.2">
      <c r="A52" s="575" t="s">
        <v>208</v>
      </c>
      <c r="B52" s="575"/>
      <c r="C52" s="575"/>
      <c r="D52" s="423" t="s">
        <v>274</v>
      </c>
      <c r="E52" s="130">
        <f>E47+E49+E51+E45</f>
        <v>98018758</v>
      </c>
      <c r="F52" s="130">
        <f t="shared" ref="F52:H52" si="46">F47+F49+F51+F45</f>
        <v>0</v>
      </c>
      <c r="G52" s="130">
        <f t="shared" si="46"/>
        <v>0</v>
      </c>
      <c r="H52" s="497">
        <f t="shared" si="46"/>
        <v>-27099558</v>
      </c>
      <c r="I52" s="511">
        <f t="shared" ref="I52:N52" si="47">I47+I49+I51+I45</f>
        <v>0</v>
      </c>
      <c r="J52" s="503">
        <f t="shared" ref="J52:K52" si="48">J47+J49+J51+J45</f>
        <v>0</v>
      </c>
      <c r="K52" s="503">
        <f t="shared" si="48"/>
        <v>0</v>
      </c>
      <c r="L52" s="512"/>
      <c r="M52" s="503">
        <f t="shared" si="47"/>
        <v>0</v>
      </c>
      <c r="N52" s="503">
        <f t="shared" si="47"/>
        <v>0</v>
      </c>
      <c r="O52" s="503">
        <f t="shared" ref="O52:P52" si="49">O47+O49+O51+O45</f>
        <v>0</v>
      </c>
      <c r="P52" s="540">
        <f t="shared" si="49"/>
        <v>0</v>
      </c>
      <c r="Q52" s="503">
        <f t="shared" ref="Q52" si="50">Q47+Q49+Q51+Q45</f>
        <v>70919200</v>
      </c>
    </row>
    <row r="53" spans="1:17" s="104" customFormat="1" ht="22.5" customHeight="1" x14ac:dyDescent="0.25">
      <c r="A53" s="592" t="s">
        <v>209</v>
      </c>
      <c r="B53" s="592"/>
      <c r="C53" s="592"/>
      <c r="D53" s="424"/>
      <c r="E53" s="351">
        <f>E43+E52</f>
        <v>197928957</v>
      </c>
      <c r="F53" s="351">
        <f t="shared" ref="F53:H53" si="51">F43+F52</f>
        <v>-2490734</v>
      </c>
      <c r="G53" s="351">
        <f t="shared" si="51"/>
        <v>28151755</v>
      </c>
      <c r="H53" s="541">
        <f t="shared" si="51"/>
        <v>-5784609</v>
      </c>
      <c r="I53" s="542">
        <f t="shared" ref="I53:Q53" si="52">I43+I52</f>
        <v>216000</v>
      </c>
      <c r="J53" s="543">
        <f t="shared" ref="J53:K53" si="53">J43+J52</f>
        <v>0</v>
      </c>
      <c r="K53" s="543">
        <f t="shared" si="53"/>
        <v>0</v>
      </c>
      <c r="L53" s="544">
        <f t="shared" si="52"/>
        <v>-36000</v>
      </c>
      <c r="M53" s="543">
        <f t="shared" si="52"/>
        <v>0</v>
      </c>
      <c r="N53" s="543">
        <f t="shared" si="52"/>
        <v>0</v>
      </c>
      <c r="O53" s="543">
        <f t="shared" ref="O53:P53" si="54">O43+O52</f>
        <v>0</v>
      </c>
      <c r="P53" s="545">
        <f t="shared" si="54"/>
        <v>0</v>
      </c>
      <c r="Q53" s="543">
        <f t="shared" si="52"/>
        <v>217985369</v>
      </c>
    </row>
    <row r="56" spans="1:17" x14ac:dyDescent="0.2">
      <c r="M56" s="146"/>
      <c r="N56" s="146"/>
      <c r="O56" s="146"/>
      <c r="P56" s="146"/>
      <c r="Q56" s="146"/>
    </row>
  </sheetData>
  <mergeCells count="46">
    <mergeCell ref="G4:G5"/>
    <mergeCell ref="H4:H5"/>
    <mergeCell ref="M3:P3"/>
    <mergeCell ref="Q3:Q5"/>
    <mergeCell ref="K4:K5"/>
    <mergeCell ref="L4:L5"/>
    <mergeCell ref="O4:O5"/>
    <mergeCell ref="P4:P5"/>
    <mergeCell ref="N4:N5"/>
    <mergeCell ref="M4:M5"/>
    <mergeCell ref="A52:C52"/>
    <mergeCell ref="A53:C53"/>
    <mergeCell ref="A46:A47"/>
    <mergeCell ref="B47:C47"/>
    <mergeCell ref="A48:A49"/>
    <mergeCell ref="B49:C49"/>
    <mergeCell ref="A50:A51"/>
    <mergeCell ref="B51:C51"/>
    <mergeCell ref="B45:C45"/>
    <mergeCell ref="A22:A28"/>
    <mergeCell ref="A38:A39"/>
    <mergeCell ref="B39:C39"/>
    <mergeCell ref="A40:A42"/>
    <mergeCell ref="B42:C42"/>
    <mergeCell ref="B22:C22"/>
    <mergeCell ref="B26:C26"/>
    <mergeCell ref="B27:C27"/>
    <mergeCell ref="B28:C28"/>
    <mergeCell ref="A29:A37"/>
    <mergeCell ref="B37:C37"/>
    <mergeCell ref="A1:Q1"/>
    <mergeCell ref="A43:C43"/>
    <mergeCell ref="A6:A18"/>
    <mergeCell ref="B12:C12"/>
    <mergeCell ref="B17:C17"/>
    <mergeCell ref="B18:C18"/>
    <mergeCell ref="E4:E5"/>
    <mergeCell ref="I4:I5"/>
    <mergeCell ref="A3:C5"/>
    <mergeCell ref="D3:D5"/>
    <mergeCell ref="B21:C21"/>
    <mergeCell ref="F4:F5"/>
    <mergeCell ref="J4:J5"/>
    <mergeCell ref="A2:P2"/>
    <mergeCell ref="E3:H3"/>
    <mergeCell ref="I3:L3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>
    <oddHeader>&amp;R1.1. számú melléklet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4">
    <tabColor indexed="11"/>
    <pageSetUpPr fitToPage="1"/>
  </sheetPr>
  <dimension ref="A1:K31"/>
  <sheetViews>
    <sheetView topLeftCell="A7" zoomScaleNormal="100" zoomScaleSheetLayoutView="100" workbookViewId="0">
      <selection activeCell="H24" sqref="H24"/>
    </sheetView>
  </sheetViews>
  <sheetFormatPr defaultRowHeight="12.75" x14ac:dyDescent="0.2"/>
  <cols>
    <col min="1" max="1" width="4.28515625" customWidth="1"/>
    <col min="2" max="2" width="2.85546875" customWidth="1"/>
    <col min="3" max="3" width="54.28515625" bestFit="1" customWidth="1"/>
    <col min="4" max="4" width="7" bestFit="1" customWidth="1"/>
    <col min="5" max="5" width="12.5703125" style="132" customWidth="1"/>
    <col min="6" max="6" width="10" style="132" bestFit="1" customWidth="1"/>
    <col min="7" max="7" width="10.42578125" style="132" bestFit="1" customWidth="1"/>
    <col min="8" max="8" width="10.85546875" style="132" bestFit="1" customWidth="1"/>
    <col min="9" max="9" width="11.140625" style="132" bestFit="1" customWidth="1"/>
    <col min="10" max="10" width="12.7109375" style="132" bestFit="1" customWidth="1"/>
  </cols>
  <sheetData>
    <row r="1" spans="1:11" ht="21.75" customHeight="1" x14ac:dyDescent="0.2">
      <c r="A1" s="572" t="s">
        <v>415</v>
      </c>
      <c r="B1" s="572"/>
      <c r="C1" s="572"/>
      <c r="D1" s="572"/>
      <c r="E1" s="572"/>
      <c r="F1" s="572"/>
      <c r="G1" s="572"/>
      <c r="H1" s="572"/>
      <c r="I1" s="572"/>
      <c r="J1" s="562"/>
      <c r="K1" s="435"/>
    </row>
    <row r="2" spans="1:11" ht="28.5" customHeight="1" x14ac:dyDescent="0.2">
      <c r="A2" s="563" t="s">
        <v>77</v>
      </c>
      <c r="B2" s="563"/>
      <c r="C2" s="563"/>
      <c r="D2" s="563"/>
      <c r="E2" s="563"/>
      <c r="F2" s="563"/>
      <c r="G2" s="563"/>
      <c r="H2" s="563"/>
      <c r="I2" s="563"/>
      <c r="J2" s="299" t="s">
        <v>302</v>
      </c>
    </row>
    <row r="3" spans="1:11" ht="45" customHeight="1" x14ac:dyDescent="0.2">
      <c r="A3" s="556" t="s">
        <v>35</v>
      </c>
      <c r="B3" s="557"/>
      <c r="C3" s="558"/>
      <c r="D3" s="606" t="s">
        <v>242</v>
      </c>
      <c r="E3" s="604" t="s">
        <v>299</v>
      </c>
      <c r="F3" s="604" t="s">
        <v>373</v>
      </c>
      <c r="G3" s="329" t="s">
        <v>396</v>
      </c>
      <c r="H3" s="344" t="s">
        <v>411</v>
      </c>
      <c r="I3" s="604" t="s">
        <v>374</v>
      </c>
      <c r="J3" s="604" t="s">
        <v>375</v>
      </c>
    </row>
    <row r="4" spans="1:11" ht="21.75" customHeight="1" x14ac:dyDescent="0.2">
      <c r="A4" s="559"/>
      <c r="B4" s="560"/>
      <c r="C4" s="561"/>
      <c r="D4" s="607"/>
      <c r="E4" s="605"/>
      <c r="F4" s="605"/>
      <c r="G4" s="330"/>
      <c r="H4" s="345"/>
      <c r="I4" s="605"/>
      <c r="J4" s="605"/>
    </row>
    <row r="5" spans="1:11" s="105" customFormat="1" ht="16.5" customHeight="1" x14ac:dyDescent="0.2">
      <c r="A5" s="616" t="s">
        <v>36</v>
      </c>
      <c r="B5" s="108"/>
      <c r="C5" s="109" t="s">
        <v>211</v>
      </c>
      <c r="D5" s="109" t="str">
        <f>'2.1.Kiadások (KÖT, ÖNV, Áll.i)'!D6</f>
        <v>K11</v>
      </c>
      <c r="E5" s="250">
        <v>17264420</v>
      </c>
      <c r="F5" s="250">
        <v>0</v>
      </c>
      <c r="G5" s="250">
        <v>894348</v>
      </c>
      <c r="H5" s="250">
        <f>I5-G5-F5-E5</f>
        <v>-2198295</v>
      </c>
      <c r="I5" s="250">
        <v>15960473</v>
      </c>
      <c r="J5" s="250">
        <v>15960473</v>
      </c>
    </row>
    <row r="6" spans="1:11" s="105" customFormat="1" ht="16.5" customHeight="1" x14ac:dyDescent="0.2">
      <c r="A6" s="616"/>
      <c r="B6" s="108"/>
      <c r="C6" s="109" t="s">
        <v>212</v>
      </c>
      <c r="D6" s="109" t="str">
        <f>'2.1.Kiadások (KÖT, ÖNV, Áll.i)'!D7</f>
        <v>K12</v>
      </c>
      <c r="E6" s="250">
        <v>8453580</v>
      </c>
      <c r="F6" s="250">
        <v>318993</v>
      </c>
      <c r="G6" s="250">
        <v>963733</v>
      </c>
      <c r="H6" s="250">
        <f t="shared" ref="H6:H31" si="0">I6-G6-F6-E6</f>
        <v>331098</v>
      </c>
      <c r="I6" s="250">
        <v>10067404</v>
      </c>
      <c r="J6" s="250">
        <v>10067404</v>
      </c>
    </row>
    <row r="7" spans="1:11" s="107" customFormat="1" ht="21.75" customHeight="1" x14ac:dyDescent="0.2">
      <c r="A7" s="616"/>
      <c r="B7" s="564" t="s">
        <v>210</v>
      </c>
      <c r="C7" s="564"/>
      <c r="D7" s="166" t="str">
        <f>'2.1.Kiadások (KÖT, ÖNV, Áll.i)'!D8</f>
        <v>K1</v>
      </c>
      <c r="E7" s="252">
        <f t="shared" ref="E7:J7" si="1">SUM(E5:E6)</f>
        <v>25718000</v>
      </c>
      <c r="F7" s="252">
        <f t="shared" si="1"/>
        <v>318993</v>
      </c>
      <c r="G7" s="252">
        <v>1858081</v>
      </c>
      <c r="H7" s="252">
        <f t="shared" si="0"/>
        <v>-1867197</v>
      </c>
      <c r="I7" s="252">
        <f t="shared" si="1"/>
        <v>26027877</v>
      </c>
      <c r="J7" s="252">
        <f t="shared" si="1"/>
        <v>26027877</v>
      </c>
    </row>
    <row r="8" spans="1:11" s="107" customFormat="1" ht="22.5" customHeight="1" x14ac:dyDescent="0.2">
      <c r="A8" s="119" t="s">
        <v>37</v>
      </c>
      <c r="B8" s="564" t="s">
        <v>213</v>
      </c>
      <c r="C8" s="564"/>
      <c r="D8" s="166" t="str">
        <f>'2.1.Kiadások (KÖT, ÖNV, Áll.i)'!D9</f>
        <v>K2</v>
      </c>
      <c r="E8" s="252">
        <v>4024868</v>
      </c>
      <c r="F8" s="252">
        <v>0</v>
      </c>
      <c r="G8" s="252">
        <v>138624</v>
      </c>
      <c r="H8" s="252">
        <f t="shared" si="0"/>
        <v>-506061</v>
      </c>
      <c r="I8" s="252">
        <v>3657431</v>
      </c>
      <c r="J8" s="252">
        <v>3657431</v>
      </c>
    </row>
    <row r="9" spans="1:11" s="105" customFormat="1" ht="13.5" customHeight="1" x14ac:dyDescent="0.2">
      <c r="A9" s="555" t="s">
        <v>38</v>
      </c>
      <c r="B9" s="108"/>
      <c r="C9" s="109" t="s">
        <v>214</v>
      </c>
      <c r="D9" s="246" t="str">
        <f>'2.1.Kiadások (KÖT, ÖNV, Áll.i)'!D10</f>
        <v>K31</v>
      </c>
      <c r="E9" s="250">
        <v>7122235</v>
      </c>
      <c r="F9" s="250">
        <v>-764507</v>
      </c>
      <c r="G9" s="250">
        <v>876300</v>
      </c>
      <c r="H9" s="250">
        <f t="shared" si="0"/>
        <v>-1002051</v>
      </c>
      <c r="I9" s="250">
        <v>6231977</v>
      </c>
      <c r="J9" s="250">
        <v>6231977</v>
      </c>
    </row>
    <row r="10" spans="1:11" s="105" customFormat="1" ht="13.5" customHeight="1" x14ac:dyDescent="0.2">
      <c r="A10" s="555"/>
      <c r="B10" s="108"/>
      <c r="C10" s="109" t="s">
        <v>215</v>
      </c>
      <c r="D10" s="109" t="str">
        <f>'2.1.Kiadások (KÖT, ÖNV, Áll.i)'!D11</f>
        <v>K32</v>
      </c>
      <c r="E10" s="250">
        <v>760500</v>
      </c>
      <c r="F10" s="250">
        <v>0</v>
      </c>
      <c r="G10" s="250">
        <v>0</v>
      </c>
      <c r="H10" s="250">
        <f t="shared" si="0"/>
        <v>1348644</v>
      </c>
      <c r="I10" s="250">
        <v>2109144</v>
      </c>
      <c r="J10" s="250">
        <v>2109144</v>
      </c>
    </row>
    <row r="11" spans="1:11" s="105" customFormat="1" ht="13.5" customHeight="1" x14ac:dyDescent="0.2">
      <c r="A11" s="555"/>
      <c r="B11" s="108"/>
      <c r="C11" s="109" t="s">
        <v>216</v>
      </c>
      <c r="D11" s="109" t="str">
        <f>'2.1.Kiadások (KÖT, ÖNV, Áll.i)'!D12</f>
        <v>K33</v>
      </c>
      <c r="E11" s="250">
        <v>24323757</v>
      </c>
      <c r="F11" s="250">
        <v>-937230</v>
      </c>
      <c r="G11" s="250">
        <v>-70947</v>
      </c>
      <c r="H11" s="250">
        <f t="shared" si="0"/>
        <v>-2387023</v>
      </c>
      <c r="I11" s="250">
        <v>20928557</v>
      </c>
      <c r="J11" s="250">
        <v>20928557</v>
      </c>
    </row>
    <row r="12" spans="1:11" s="105" customFormat="1" ht="13.5" customHeight="1" x14ac:dyDescent="0.2">
      <c r="A12" s="555"/>
      <c r="B12" s="108"/>
      <c r="C12" s="109" t="s">
        <v>217</v>
      </c>
      <c r="D12" s="109" t="str">
        <f>'2.1.Kiadások (KÖT, ÖNV, Áll.i)'!D14</f>
        <v>K34</v>
      </c>
      <c r="E12" s="250">
        <v>32000</v>
      </c>
      <c r="F12" s="250">
        <v>0</v>
      </c>
      <c r="G12" s="250">
        <v>0</v>
      </c>
      <c r="H12" s="250">
        <f t="shared" si="0"/>
        <v>-32000</v>
      </c>
      <c r="I12" s="250">
        <v>0</v>
      </c>
      <c r="J12" s="250">
        <v>0</v>
      </c>
    </row>
    <row r="13" spans="1:11" s="105" customFormat="1" ht="13.5" customHeight="1" x14ac:dyDescent="0.2">
      <c r="A13" s="555"/>
      <c r="B13" s="108"/>
      <c r="C13" s="109" t="s">
        <v>218</v>
      </c>
      <c r="D13" s="109" t="str">
        <f>'2.1.Kiadások (KÖT, ÖNV, Áll.i)'!D15</f>
        <v>K35</v>
      </c>
      <c r="E13" s="250">
        <v>9869708</v>
      </c>
      <c r="F13" s="250">
        <v>0</v>
      </c>
      <c r="G13" s="250">
        <v>4889764</v>
      </c>
      <c r="H13" s="250">
        <f t="shared" si="0"/>
        <v>3484048</v>
      </c>
      <c r="I13" s="250">
        <v>18243520</v>
      </c>
      <c r="J13" s="250">
        <v>18243520</v>
      </c>
    </row>
    <row r="14" spans="1:11" s="107" customFormat="1" ht="19.5" customHeight="1" x14ac:dyDescent="0.2">
      <c r="A14" s="555"/>
      <c r="B14" s="564" t="s">
        <v>219</v>
      </c>
      <c r="C14" s="564"/>
      <c r="D14" s="166" t="str">
        <f>'2.1.Kiadások (KÖT, ÖNV, Áll.i)'!D16</f>
        <v>K3</v>
      </c>
      <c r="E14" s="252">
        <f t="shared" ref="E14:J14" si="2">SUM(E9:E13)</f>
        <v>42108200</v>
      </c>
      <c r="F14" s="252">
        <f t="shared" si="2"/>
        <v>-1701737</v>
      </c>
      <c r="G14" s="252">
        <v>5695117</v>
      </c>
      <c r="H14" s="252">
        <f t="shared" si="0"/>
        <v>1411618</v>
      </c>
      <c r="I14" s="252">
        <f t="shared" si="2"/>
        <v>47513198</v>
      </c>
      <c r="J14" s="252">
        <f t="shared" si="2"/>
        <v>47513198</v>
      </c>
    </row>
    <row r="15" spans="1:11" s="107" customFormat="1" ht="25.5" customHeight="1" x14ac:dyDescent="0.2">
      <c r="A15" s="111" t="s">
        <v>39</v>
      </c>
      <c r="B15" s="564" t="s">
        <v>80</v>
      </c>
      <c r="C15" s="564"/>
      <c r="D15" s="166" t="str">
        <f>'2.1.Kiadások (KÖT, ÖNV, Áll.i)'!D17</f>
        <v>K4</v>
      </c>
      <c r="E15" s="252">
        <v>4310000</v>
      </c>
      <c r="F15" s="252">
        <v>0</v>
      </c>
      <c r="G15" s="252">
        <v>0</v>
      </c>
      <c r="H15" s="252">
        <f t="shared" si="0"/>
        <v>839750</v>
      </c>
      <c r="I15" s="252">
        <v>5149750</v>
      </c>
      <c r="J15" s="252">
        <v>5149750</v>
      </c>
    </row>
    <row r="16" spans="1:11" s="107" customFormat="1" ht="25.5" customHeight="1" x14ac:dyDescent="0.2">
      <c r="A16" s="111" t="s">
        <v>40</v>
      </c>
      <c r="B16" s="564" t="s">
        <v>220</v>
      </c>
      <c r="C16" s="564"/>
      <c r="D16" s="166" t="str">
        <f>'2.1.Kiadások (KÖT, ÖNV, Áll.i)'!D18</f>
        <v>K502</v>
      </c>
      <c r="E16" s="252">
        <v>0</v>
      </c>
      <c r="F16" s="252">
        <v>101903</v>
      </c>
      <c r="G16" s="252">
        <v>0</v>
      </c>
      <c r="H16" s="252">
        <f t="shared" si="0"/>
        <v>230</v>
      </c>
      <c r="I16" s="252">
        <v>102133</v>
      </c>
      <c r="J16" s="252">
        <v>102133</v>
      </c>
    </row>
    <row r="17" spans="1:10" x14ac:dyDescent="0.2">
      <c r="A17" s="570" t="s">
        <v>44</v>
      </c>
      <c r="B17" s="108"/>
      <c r="C17" s="109" t="s">
        <v>221</v>
      </c>
      <c r="D17" s="109" t="str">
        <f>'2.1.Kiadások (KÖT, ÖNV, Áll.i)'!D19</f>
        <v>K506</v>
      </c>
      <c r="E17" s="250">
        <v>8372793</v>
      </c>
      <c r="F17" s="250">
        <v>0</v>
      </c>
      <c r="G17" s="250">
        <v>0</v>
      </c>
      <c r="H17" s="250">
        <f t="shared" si="0"/>
        <v>-4657309</v>
      </c>
      <c r="I17" s="250">
        <v>3715484</v>
      </c>
      <c r="J17" s="250">
        <v>3715484</v>
      </c>
    </row>
    <row r="18" spans="1:10" x14ac:dyDescent="0.2">
      <c r="A18" s="608"/>
      <c r="B18" s="108"/>
      <c r="C18" s="109" t="s">
        <v>222</v>
      </c>
      <c r="D18" s="109" t="str">
        <f>'2.1.Kiadások (KÖT, ÖNV, Áll.i)'!D20</f>
        <v>K512</v>
      </c>
      <c r="E18" s="250">
        <v>3962000</v>
      </c>
      <c r="F18" s="250">
        <v>0</v>
      </c>
      <c r="G18" s="250">
        <v>0</v>
      </c>
      <c r="H18" s="250">
        <f t="shared" si="0"/>
        <v>-2380000</v>
      </c>
      <c r="I18" s="250">
        <v>1582000</v>
      </c>
      <c r="J18" s="250">
        <v>1582000</v>
      </c>
    </row>
    <row r="19" spans="1:10" ht="25.5" customHeight="1" x14ac:dyDescent="0.2">
      <c r="A19" s="571"/>
      <c r="B19" s="564" t="s">
        <v>223</v>
      </c>
      <c r="C19" s="564"/>
      <c r="D19" s="171" t="s">
        <v>322</v>
      </c>
      <c r="E19" s="252">
        <f>SUM(E17:E18)</f>
        <v>12334793</v>
      </c>
      <c r="F19" s="252">
        <f t="shared" ref="F19:J19" si="3">SUM(F17:F18)</f>
        <v>0</v>
      </c>
      <c r="G19" s="252">
        <f t="shared" si="3"/>
        <v>0</v>
      </c>
      <c r="H19" s="252">
        <f t="shared" si="3"/>
        <v>-7037309</v>
      </c>
      <c r="I19" s="252">
        <f t="shared" si="3"/>
        <v>5297484</v>
      </c>
      <c r="J19" s="252">
        <f t="shared" si="3"/>
        <v>5297484</v>
      </c>
    </row>
    <row r="20" spans="1:10" s="106" customFormat="1" ht="25.5" customHeight="1" x14ac:dyDescent="0.2">
      <c r="A20" s="111" t="s">
        <v>46</v>
      </c>
      <c r="B20" s="614" t="s">
        <v>425</v>
      </c>
      <c r="C20" s="615"/>
      <c r="D20" s="175" t="str">
        <f>'2.1.Kiadások (KÖT, ÖNV, Áll.i)'!D22</f>
        <v>K513</v>
      </c>
      <c r="E20" s="256">
        <v>39325302</v>
      </c>
      <c r="F20" s="256">
        <v>-4809727</v>
      </c>
      <c r="G20" s="252">
        <v>-5131502</v>
      </c>
      <c r="H20" s="252">
        <f t="shared" si="0"/>
        <v>35160561</v>
      </c>
      <c r="I20" s="492">
        <v>64544634</v>
      </c>
      <c r="J20" s="492">
        <v>0</v>
      </c>
    </row>
    <row r="21" spans="1:10" s="120" customFormat="1" ht="19.5" customHeight="1" x14ac:dyDescent="0.2">
      <c r="A21" s="135" t="s">
        <v>47</v>
      </c>
      <c r="B21" s="564" t="s">
        <v>224</v>
      </c>
      <c r="C21" s="564"/>
      <c r="D21" s="166" t="str">
        <f>'2.1.Kiadások (KÖT, ÖNV, Áll.i)'!D23</f>
        <v>K6</v>
      </c>
      <c r="E21" s="252">
        <v>59337045</v>
      </c>
      <c r="F21" s="252">
        <v>2000000</v>
      </c>
      <c r="G21" s="252">
        <v>3117273</v>
      </c>
      <c r="H21" s="252">
        <f t="shared" si="0"/>
        <v>-11635614</v>
      </c>
      <c r="I21" s="252">
        <v>52818704</v>
      </c>
      <c r="J21" s="252">
        <v>52818704</v>
      </c>
    </row>
    <row r="22" spans="1:10" s="120" customFormat="1" ht="18.75" customHeight="1" x14ac:dyDescent="0.2">
      <c r="A22" s="135" t="s">
        <v>48</v>
      </c>
      <c r="B22" s="564" t="s">
        <v>125</v>
      </c>
      <c r="C22" s="564"/>
      <c r="D22" s="166" t="str">
        <f>'2.1.Kiadások (KÖT, ÖNV, Áll.i)'!D24</f>
        <v>K7</v>
      </c>
      <c r="E22" s="252">
        <v>9699996</v>
      </c>
      <c r="F22" s="252">
        <v>1349684</v>
      </c>
      <c r="G22" s="252">
        <v>22474162</v>
      </c>
      <c r="H22" s="252">
        <f t="shared" si="0"/>
        <v>-22186587</v>
      </c>
      <c r="I22" s="252">
        <v>11337255</v>
      </c>
      <c r="J22" s="252">
        <v>11337255</v>
      </c>
    </row>
    <row r="23" spans="1:10" ht="25.5" x14ac:dyDescent="0.2">
      <c r="A23" s="570" t="s">
        <v>49</v>
      </c>
      <c r="B23" s="108"/>
      <c r="C23" s="109" t="s">
        <v>225</v>
      </c>
      <c r="D23" s="109" t="str">
        <f>'2.1.Kiadások (KÖT, ÖNV, Áll.i)'!D25</f>
        <v>K84</v>
      </c>
      <c r="E23" s="250">
        <v>0</v>
      </c>
      <c r="F23" s="250">
        <v>250150</v>
      </c>
      <c r="G23" s="250">
        <v>0</v>
      </c>
      <c r="H23" s="250">
        <f t="shared" si="0"/>
        <v>0</v>
      </c>
      <c r="I23" s="250">
        <v>250150</v>
      </c>
      <c r="J23" s="250">
        <v>250150</v>
      </c>
    </row>
    <row r="24" spans="1:10" ht="25.5" x14ac:dyDescent="0.2">
      <c r="A24" s="609"/>
      <c r="B24" s="108"/>
      <c r="C24" s="109" t="s">
        <v>226</v>
      </c>
      <c r="D24" s="109" t="str">
        <f>'2.1.Kiadások (KÖT, ÖNV, Áll.i)'!D26</f>
        <v>K86</v>
      </c>
      <c r="E24" s="250">
        <v>0</v>
      </c>
      <c r="F24" s="250">
        <v>0</v>
      </c>
      <c r="G24" s="250">
        <v>0</v>
      </c>
      <c r="H24" s="250">
        <f t="shared" si="0"/>
        <v>0</v>
      </c>
      <c r="I24" s="250">
        <v>0</v>
      </c>
      <c r="J24" s="250">
        <v>0</v>
      </c>
    </row>
    <row r="25" spans="1:10" x14ac:dyDescent="0.2">
      <c r="A25" s="609"/>
      <c r="B25" s="108"/>
      <c r="C25" s="109" t="s">
        <v>227</v>
      </c>
      <c r="D25" s="109" t="str">
        <f>'2.1.Kiadások (KÖT, ÖNV, Áll.i)'!D27</f>
        <v>K89</v>
      </c>
      <c r="E25" s="250">
        <v>0</v>
      </c>
      <c r="F25" s="250">
        <v>0</v>
      </c>
      <c r="G25" s="250">
        <v>0</v>
      </c>
      <c r="H25" s="250">
        <f t="shared" si="0"/>
        <v>0</v>
      </c>
      <c r="I25" s="250">
        <v>0</v>
      </c>
      <c r="J25" s="250">
        <v>0</v>
      </c>
    </row>
    <row r="26" spans="1:10" s="107" customFormat="1" ht="25.5" customHeight="1" x14ac:dyDescent="0.2">
      <c r="A26" s="610"/>
      <c r="B26" s="564" t="s">
        <v>228</v>
      </c>
      <c r="C26" s="564"/>
      <c r="D26" s="166" t="str">
        <f>'2.1.Kiadások (KÖT, ÖNV, Áll.i)'!D28</f>
        <v>K8</v>
      </c>
      <c r="E26" s="252">
        <f t="shared" ref="E26:J26" si="4">SUM(E23:E25)</f>
        <v>0</v>
      </c>
      <c r="F26" s="252">
        <f t="shared" si="4"/>
        <v>250150</v>
      </c>
      <c r="G26" s="252">
        <v>0</v>
      </c>
      <c r="H26" s="252">
        <f t="shared" si="0"/>
        <v>0</v>
      </c>
      <c r="I26" s="252">
        <f t="shared" si="4"/>
        <v>250150</v>
      </c>
      <c r="J26" s="252">
        <f t="shared" si="4"/>
        <v>250150</v>
      </c>
    </row>
    <row r="27" spans="1:10" s="107" customFormat="1" ht="25.5" customHeight="1" x14ac:dyDescent="0.2">
      <c r="A27" s="568" t="s">
        <v>229</v>
      </c>
      <c r="B27" s="568"/>
      <c r="C27" s="568"/>
      <c r="D27" s="165" t="str">
        <f>'2.1.Kiadások (KÖT, ÖNV, Áll.i)'!D29</f>
        <v>K1-K8</v>
      </c>
      <c r="E27" s="254">
        <f t="shared" ref="E27:J27" si="5">E7+E8+E14+E15+E16+E19+E21+E22+E26+E20</f>
        <v>196858204</v>
      </c>
      <c r="F27" s="254">
        <f t="shared" si="5"/>
        <v>-2490734</v>
      </c>
      <c r="G27" s="254">
        <v>28151755</v>
      </c>
      <c r="H27" s="254">
        <f t="shared" si="0"/>
        <v>-5820609</v>
      </c>
      <c r="I27" s="254">
        <f t="shared" si="5"/>
        <v>216698616</v>
      </c>
      <c r="J27" s="254">
        <f t="shared" si="5"/>
        <v>152153982</v>
      </c>
    </row>
    <row r="28" spans="1:10" x14ac:dyDescent="0.2">
      <c r="A28" s="570" t="s">
        <v>22</v>
      </c>
      <c r="B28" s="108"/>
      <c r="C28" s="109" t="s">
        <v>232</v>
      </c>
      <c r="D28" s="109" t="str">
        <f>'2.1.Kiadások (KÖT, ÖNV, Áll.i)'!D30</f>
        <v>K914</v>
      </c>
      <c r="E28" s="250">
        <v>1286753</v>
      </c>
      <c r="F28" s="250">
        <v>0</v>
      </c>
      <c r="G28" s="250">
        <v>0</v>
      </c>
      <c r="H28" s="250">
        <f t="shared" si="0"/>
        <v>0</v>
      </c>
      <c r="I28" s="250">
        <v>1286753</v>
      </c>
      <c r="J28" s="250">
        <v>1286753</v>
      </c>
    </row>
    <row r="29" spans="1:10" x14ac:dyDescent="0.2">
      <c r="A29" s="571"/>
      <c r="B29" s="108"/>
      <c r="C29" s="109" t="s">
        <v>233</v>
      </c>
      <c r="D29" s="109" t="str">
        <f>'2.1.Kiadások (KÖT, ÖNV, Áll.i)'!D31</f>
        <v>K915</v>
      </c>
      <c r="E29" s="250">
        <v>0</v>
      </c>
      <c r="F29" s="250">
        <v>0</v>
      </c>
      <c r="G29" s="250">
        <v>0</v>
      </c>
      <c r="H29" s="250">
        <f t="shared" si="0"/>
        <v>0</v>
      </c>
      <c r="I29" s="250">
        <v>0</v>
      </c>
      <c r="J29" s="250">
        <v>0</v>
      </c>
    </row>
    <row r="30" spans="1:10" s="107" customFormat="1" ht="22.5" customHeight="1" x14ac:dyDescent="0.2">
      <c r="A30" s="611" t="s">
        <v>230</v>
      </c>
      <c r="B30" s="612"/>
      <c r="C30" s="613"/>
      <c r="D30" s="174" t="str">
        <f>'2.1.Kiadások (KÖT, ÖNV, Áll.i)'!D32</f>
        <v>K9</v>
      </c>
      <c r="E30" s="254">
        <f t="shared" ref="E30:J30" si="6">SUM(E28:E29)</f>
        <v>1286753</v>
      </c>
      <c r="F30" s="254">
        <f t="shared" si="6"/>
        <v>0</v>
      </c>
      <c r="G30" s="254">
        <v>0</v>
      </c>
      <c r="H30" s="254">
        <f t="shared" si="0"/>
        <v>0</v>
      </c>
      <c r="I30" s="254">
        <f t="shared" si="6"/>
        <v>1286753</v>
      </c>
      <c r="J30" s="254">
        <f t="shared" si="6"/>
        <v>1286753</v>
      </c>
    </row>
    <row r="31" spans="1:10" s="104" customFormat="1" ht="22.5" customHeight="1" x14ac:dyDescent="0.2">
      <c r="A31" s="592" t="s">
        <v>231</v>
      </c>
      <c r="B31" s="592"/>
      <c r="C31" s="592"/>
      <c r="D31" s="173"/>
      <c r="E31" s="257">
        <f t="shared" ref="E31:J31" si="7">E27+E30</f>
        <v>198144957</v>
      </c>
      <c r="F31" s="257">
        <f t="shared" si="7"/>
        <v>-2490734</v>
      </c>
      <c r="G31" s="257">
        <v>28151755</v>
      </c>
      <c r="H31" s="257">
        <f t="shared" si="0"/>
        <v>-5820609</v>
      </c>
      <c r="I31" s="257">
        <f t="shared" si="7"/>
        <v>217985369</v>
      </c>
      <c r="J31" s="257">
        <f t="shared" si="7"/>
        <v>153440735</v>
      </c>
    </row>
  </sheetData>
  <mergeCells count="26">
    <mergeCell ref="A1:J1"/>
    <mergeCell ref="A2:I2"/>
    <mergeCell ref="A31:C31"/>
    <mergeCell ref="B26:C26"/>
    <mergeCell ref="B21:C21"/>
    <mergeCell ref="B22:C22"/>
    <mergeCell ref="A23:A26"/>
    <mergeCell ref="A28:A29"/>
    <mergeCell ref="A30:C30"/>
    <mergeCell ref="A27:C27"/>
    <mergeCell ref="E3:E4"/>
    <mergeCell ref="B20:C20"/>
    <mergeCell ref="A3:C4"/>
    <mergeCell ref="B7:C7"/>
    <mergeCell ref="B8:C8"/>
    <mergeCell ref="A5:A7"/>
    <mergeCell ref="A17:A19"/>
    <mergeCell ref="B14:C14"/>
    <mergeCell ref="A9:A14"/>
    <mergeCell ref="B15:C15"/>
    <mergeCell ref="B16:C16"/>
    <mergeCell ref="F3:F4"/>
    <mergeCell ref="I3:I4"/>
    <mergeCell ref="J3:J4"/>
    <mergeCell ref="D3:D4"/>
    <mergeCell ref="B19:C19"/>
  </mergeCells>
  <phoneticPr fontId="0" type="noConversion"/>
  <printOptions horizontalCentered="1"/>
  <pageMargins left="0.7" right="0.7" top="0.75" bottom="0.75" header="0.3" footer="0.3"/>
  <pageSetup paperSize="9" scale="65" firstPageNumber="41" orientation="portrait" r:id="rId1"/>
  <headerFooter alignWithMargins="0">
    <oddHeader>&amp;R&amp;"Times New Roman,Normál"2. számú melléklet</oddHeader>
    <oddFooter>&amp;C&amp;"Times New Roman,Normál"&amp;P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3"/>
  <sheetViews>
    <sheetView zoomScaleNormal="100" workbookViewId="0">
      <selection activeCell="H20" sqref="H20"/>
    </sheetView>
  </sheetViews>
  <sheetFormatPr defaultRowHeight="12.75" x14ac:dyDescent="0.2"/>
  <cols>
    <col min="1" max="1" width="3.5703125" style="140" bestFit="1" customWidth="1"/>
    <col min="2" max="2" width="2.85546875" style="140" customWidth="1"/>
    <col min="3" max="3" width="51.7109375" style="140" customWidth="1"/>
    <col min="4" max="4" width="6.140625" style="140" bestFit="1" customWidth="1"/>
    <col min="5" max="5" width="12.7109375" style="140" bestFit="1" customWidth="1"/>
    <col min="6" max="8" width="12.7109375" style="140" customWidth="1"/>
    <col min="9" max="12" width="10.85546875" style="140" customWidth="1"/>
    <col min="13" max="13" width="12.7109375" style="140" bestFit="1" customWidth="1"/>
    <col min="14" max="16" width="12.7109375" style="140" customWidth="1"/>
    <col min="17" max="17" width="13.140625" style="140" bestFit="1" customWidth="1"/>
    <col min="18" max="18" width="15" style="140" customWidth="1"/>
    <col min="19" max="16384" width="9.140625" style="140"/>
  </cols>
  <sheetData>
    <row r="1" spans="1:18" ht="21.75" customHeight="1" x14ac:dyDescent="0.2">
      <c r="A1" s="572" t="s">
        <v>415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4"/>
      <c r="O1" s="574"/>
      <c r="P1" s="574"/>
      <c r="Q1" s="574"/>
      <c r="R1" s="6"/>
    </row>
    <row r="2" spans="1:18" ht="21" customHeight="1" x14ac:dyDescent="0.2">
      <c r="A2" s="563" t="s">
        <v>77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563"/>
      <c r="Q2" s="299" t="s">
        <v>302</v>
      </c>
    </row>
    <row r="3" spans="1:18" ht="28.5" customHeight="1" x14ac:dyDescent="0.2">
      <c r="A3" s="582" t="s">
        <v>35</v>
      </c>
      <c r="B3" s="583"/>
      <c r="C3" s="584"/>
      <c r="D3" s="578" t="s">
        <v>242</v>
      </c>
      <c r="E3" s="595" t="s">
        <v>243</v>
      </c>
      <c r="F3" s="596"/>
      <c r="G3" s="596"/>
      <c r="H3" s="596"/>
      <c r="I3" s="597" t="s">
        <v>244</v>
      </c>
      <c r="J3" s="596"/>
      <c r="K3" s="596"/>
      <c r="L3" s="598"/>
      <c r="M3" s="597" t="s">
        <v>423</v>
      </c>
      <c r="N3" s="596"/>
      <c r="O3" s="596"/>
      <c r="P3" s="598"/>
      <c r="Q3" s="599" t="s">
        <v>74</v>
      </c>
    </row>
    <row r="4" spans="1:18" ht="20.25" customHeight="1" x14ac:dyDescent="0.2">
      <c r="A4" s="585"/>
      <c r="B4" s="586"/>
      <c r="C4" s="587"/>
      <c r="D4" s="591"/>
      <c r="E4" s="578" t="s">
        <v>426</v>
      </c>
      <c r="F4" s="578" t="s">
        <v>373</v>
      </c>
      <c r="G4" s="578" t="s">
        <v>396</v>
      </c>
      <c r="H4" s="602" t="s">
        <v>411</v>
      </c>
      <c r="I4" s="580" t="s">
        <v>426</v>
      </c>
      <c r="J4" s="578" t="s">
        <v>373</v>
      </c>
      <c r="K4" s="578" t="s">
        <v>396</v>
      </c>
      <c r="L4" s="602" t="s">
        <v>411</v>
      </c>
      <c r="M4" s="580" t="s">
        <v>426</v>
      </c>
      <c r="N4" s="578" t="s">
        <v>373</v>
      </c>
      <c r="O4" s="578" t="s">
        <v>396</v>
      </c>
      <c r="P4" s="602" t="s">
        <v>411</v>
      </c>
      <c r="Q4" s="600"/>
    </row>
    <row r="5" spans="1:18" ht="21.75" customHeight="1" x14ac:dyDescent="0.2">
      <c r="A5" s="588"/>
      <c r="B5" s="589"/>
      <c r="C5" s="590"/>
      <c r="D5" s="579"/>
      <c r="E5" s="579"/>
      <c r="F5" s="579"/>
      <c r="G5" s="579"/>
      <c r="H5" s="603"/>
      <c r="I5" s="581"/>
      <c r="J5" s="579"/>
      <c r="K5" s="579"/>
      <c r="L5" s="603"/>
      <c r="M5" s="581"/>
      <c r="N5" s="579"/>
      <c r="O5" s="579"/>
      <c r="P5" s="603"/>
      <c r="Q5" s="601"/>
    </row>
    <row r="6" spans="1:18" ht="16.5" customHeight="1" x14ac:dyDescent="0.2">
      <c r="A6" s="576" t="s">
        <v>36</v>
      </c>
      <c r="B6" s="108"/>
      <c r="C6" s="109" t="s">
        <v>211</v>
      </c>
      <c r="D6" s="109" t="s">
        <v>275</v>
      </c>
      <c r="E6" s="110">
        <f>'2. Kiadások'!E5</f>
        <v>17264420</v>
      </c>
      <c r="F6" s="110">
        <v>0</v>
      </c>
      <c r="G6" s="110">
        <v>894348</v>
      </c>
      <c r="H6" s="494">
        <v>-2198295</v>
      </c>
      <c r="I6" s="546">
        <v>0</v>
      </c>
      <c r="J6" s="141">
        <v>0</v>
      </c>
      <c r="K6" s="499">
        <v>0</v>
      </c>
      <c r="L6" s="516">
        <v>0</v>
      </c>
      <c r="M6" s="546">
        <v>0</v>
      </c>
      <c r="N6" s="141">
        <v>0</v>
      </c>
      <c r="O6" s="141">
        <v>0</v>
      </c>
      <c r="P6" s="516">
        <v>0</v>
      </c>
      <c r="Q6" s="502">
        <f>SUM(E6:M6)</f>
        <v>15960473</v>
      </c>
    </row>
    <row r="7" spans="1:18" ht="16.5" customHeight="1" x14ac:dyDescent="0.2">
      <c r="A7" s="576"/>
      <c r="B7" s="108"/>
      <c r="C7" s="109" t="s">
        <v>212</v>
      </c>
      <c r="D7" s="109" t="s">
        <v>276</v>
      </c>
      <c r="E7" s="110">
        <f>'2. Kiadások'!E6</f>
        <v>8453580</v>
      </c>
      <c r="F7" s="110">
        <v>318993</v>
      </c>
      <c r="G7" s="110">
        <v>963733</v>
      </c>
      <c r="H7" s="494">
        <v>331098</v>
      </c>
      <c r="I7" s="546">
        <v>0</v>
      </c>
      <c r="J7" s="141">
        <v>0</v>
      </c>
      <c r="K7" s="499">
        <v>0</v>
      </c>
      <c r="L7" s="516">
        <v>0</v>
      </c>
      <c r="M7" s="546">
        <v>0</v>
      </c>
      <c r="N7" s="141">
        <v>0</v>
      </c>
      <c r="O7" s="141">
        <v>0</v>
      </c>
      <c r="P7" s="516">
        <v>0</v>
      </c>
      <c r="Q7" s="502">
        <f>SUM(E7:M7)</f>
        <v>10067404</v>
      </c>
    </row>
    <row r="8" spans="1:18" s="148" customFormat="1" ht="21.75" customHeight="1" x14ac:dyDescent="0.2">
      <c r="A8" s="576"/>
      <c r="B8" s="566" t="s">
        <v>210</v>
      </c>
      <c r="C8" s="566"/>
      <c r="D8" s="143" t="s">
        <v>277</v>
      </c>
      <c r="E8" s="129">
        <f>SUM(E6:E7)</f>
        <v>25718000</v>
      </c>
      <c r="F8" s="129">
        <f t="shared" ref="F8:J8" si="0">SUM(F6:F7)</f>
        <v>318993</v>
      </c>
      <c r="G8" s="129">
        <f t="shared" si="0"/>
        <v>1858081</v>
      </c>
      <c r="H8" s="495">
        <f t="shared" si="0"/>
        <v>-1867197</v>
      </c>
      <c r="I8" s="547">
        <f t="shared" si="0"/>
        <v>0</v>
      </c>
      <c r="J8" s="129">
        <f t="shared" si="0"/>
        <v>0</v>
      </c>
      <c r="K8" s="500">
        <f t="shared" ref="K8:L8" si="1">SUM(K6:K7)</f>
        <v>0</v>
      </c>
      <c r="L8" s="527">
        <f t="shared" si="1"/>
        <v>0</v>
      </c>
      <c r="M8" s="547">
        <f t="shared" ref="M8:Q8" si="2">SUM(M6:M7)</f>
        <v>0</v>
      </c>
      <c r="N8" s="129">
        <f t="shared" si="2"/>
        <v>0</v>
      </c>
      <c r="O8" s="129">
        <f t="shared" ref="O8:P8" si="3">SUM(O6:O7)</f>
        <v>0</v>
      </c>
      <c r="P8" s="527">
        <f t="shared" si="3"/>
        <v>0</v>
      </c>
      <c r="Q8" s="500">
        <f t="shared" si="2"/>
        <v>26027877</v>
      </c>
    </row>
    <row r="9" spans="1:18" s="148" customFormat="1" ht="22.5" customHeight="1" x14ac:dyDescent="0.2">
      <c r="A9" s="149" t="s">
        <v>37</v>
      </c>
      <c r="B9" s="566" t="s">
        <v>213</v>
      </c>
      <c r="C9" s="566"/>
      <c r="D9" s="143" t="s">
        <v>278</v>
      </c>
      <c r="E9" s="129">
        <f>'2. Kiadások'!E8</f>
        <v>4024868</v>
      </c>
      <c r="F9" s="129">
        <v>0</v>
      </c>
      <c r="G9" s="129">
        <v>138624</v>
      </c>
      <c r="H9" s="495">
        <v>-506061</v>
      </c>
      <c r="I9" s="547">
        <v>0</v>
      </c>
      <c r="J9" s="129">
        <v>0</v>
      </c>
      <c r="K9" s="500">
        <v>0</v>
      </c>
      <c r="L9" s="527">
        <v>0</v>
      </c>
      <c r="M9" s="547">
        <v>0</v>
      </c>
      <c r="N9" s="129">
        <v>0</v>
      </c>
      <c r="O9" s="129">
        <v>0</v>
      </c>
      <c r="P9" s="527">
        <v>0</v>
      </c>
      <c r="Q9" s="500">
        <f>SUM(E9:M9)</f>
        <v>3657431</v>
      </c>
    </row>
    <row r="10" spans="1:18" ht="13.5" customHeight="1" x14ac:dyDescent="0.2">
      <c r="A10" s="576" t="s">
        <v>38</v>
      </c>
      <c r="B10" s="108"/>
      <c r="C10" s="109" t="s">
        <v>214</v>
      </c>
      <c r="D10" s="109" t="s">
        <v>279</v>
      </c>
      <c r="E10" s="110">
        <f>'2. Kiadások'!E9</f>
        <v>7122235</v>
      </c>
      <c r="F10" s="110">
        <v>-764507</v>
      </c>
      <c r="G10" s="110">
        <v>876300</v>
      </c>
      <c r="H10" s="494">
        <v>-1002051</v>
      </c>
      <c r="I10" s="546">
        <v>0</v>
      </c>
      <c r="J10" s="141">
        <v>0</v>
      </c>
      <c r="K10" s="499">
        <v>0</v>
      </c>
      <c r="L10" s="516">
        <v>0</v>
      </c>
      <c r="M10" s="546">
        <v>0</v>
      </c>
      <c r="N10" s="141">
        <v>0</v>
      </c>
      <c r="O10" s="141">
        <v>0</v>
      </c>
      <c r="P10" s="516">
        <v>0</v>
      </c>
      <c r="Q10" s="502">
        <f>SUM(E10:M10)</f>
        <v>6231977</v>
      </c>
    </row>
    <row r="11" spans="1:18" ht="13.5" customHeight="1" x14ac:dyDescent="0.2">
      <c r="A11" s="576"/>
      <c r="B11" s="108"/>
      <c r="C11" s="109" t="s">
        <v>215</v>
      </c>
      <c r="D11" s="109" t="s">
        <v>280</v>
      </c>
      <c r="E11" s="110">
        <f>'2. Kiadások'!E10</f>
        <v>760500</v>
      </c>
      <c r="F11" s="110">
        <v>0</v>
      </c>
      <c r="G11" s="110">
        <v>0</v>
      </c>
      <c r="H11" s="494">
        <v>1348644</v>
      </c>
      <c r="I11" s="546">
        <v>0</v>
      </c>
      <c r="J11" s="141">
        <v>0</v>
      </c>
      <c r="K11" s="499">
        <v>0</v>
      </c>
      <c r="L11" s="516">
        <v>0</v>
      </c>
      <c r="M11" s="546">
        <v>0</v>
      </c>
      <c r="N11" s="141">
        <v>0</v>
      </c>
      <c r="O11" s="141">
        <v>0</v>
      </c>
      <c r="P11" s="516">
        <v>0</v>
      </c>
      <c r="Q11" s="502">
        <f t="shared" ref="Q11:Q15" si="4">SUM(E11:M11)</f>
        <v>2109144</v>
      </c>
    </row>
    <row r="12" spans="1:18" ht="13.5" customHeight="1" x14ac:dyDescent="0.2">
      <c r="A12" s="576"/>
      <c r="B12" s="108"/>
      <c r="C12" s="109" t="s">
        <v>216</v>
      </c>
      <c r="D12" s="109" t="s">
        <v>281</v>
      </c>
      <c r="E12" s="110">
        <f>'2. Kiadások'!E11</f>
        <v>24323757</v>
      </c>
      <c r="F12" s="110">
        <v>-937230</v>
      </c>
      <c r="G12" s="110">
        <v>-70947</v>
      </c>
      <c r="H12" s="494">
        <v>-2387023</v>
      </c>
      <c r="I12" s="546">
        <v>0</v>
      </c>
      <c r="J12" s="141">
        <v>0</v>
      </c>
      <c r="K12" s="499">
        <v>0</v>
      </c>
      <c r="L12" s="516">
        <v>0</v>
      </c>
      <c r="M12" s="546">
        <v>0</v>
      </c>
      <c r="N12" s="141">
        <v>0</v>
      </c>
      <c r="O12" s="141">
        <v>0</v>
      </c>
      <c r="P12" s="516">
        <v>0</v>
      </c>
      <c r="Q12" s="502">
        <f t="shared" si="4"/>
        <v>20928557</v>
      </c>
    </row>
    <row r="13" spans="1:18" ht="13.5" customHeight="1" x14ac:dyDescent="0.2">
      <c r="A13" s="576"/>
      <c r="B13" s="108"/>
      <c r="C13" s="109" t="s">
        <v>282</v>
      </c>
      <c r="D13" s="109" t="s">
        <v>283</v>
      </c>
      <c r="E13" s="110">
        <v>0</v>
      </c>
      <c r="F13" s="110">
        <v>0</v>
      </c>
      <c r="G13" s="110">
        <v>0</v>
      </c>
      <c r="H13" s="494">
        <v>0</v>
      </c>
      <c r="I13" s="548">
        <v>0</v>
      </c>
      <c r="J13" s="141">
        <v>0</v>
      </c>
      <c r="K13" s="499">
        <v>0</v>
      </c>
      <c r="L13" s="516">
        <v>0</v>
      </c>
      <c r="M13" s="546">
        <v>0</v>
      </c>
      <c r="N13" s="141">
        <v>0</v>
      </c>
      <c r="O13" s="141">
        <v>0</v>
      </c>
      <c r="P13" s="516">
        <v>0</v>
      </c>
      <c r="Q13" s="502">
        <f t="shared" si="4"/>
        <v>0</v>
      </c>
    </row>
    <row r="14" spans="1:18" ht="13.5" customHeight="1" x14ac:dyDescent="0.2">
      <c r="A14" s="576"/>
      <c r="B14" s="108"/>
      <c r="C14" s="109" t="s">
        <v>217</v>
      </c>
      <c r="D14" s="109" t="s">
        <v>284</v>
      </c>
      <c r="E14" s="110">
        <f>'2. Kiadások'!E12</f>
        <v>32000</v>
      </c>
      <c r="F14" s="110">
        <v>0</v>
      </c>
      <c r="G14" s="110">
        <v>0</v>
      </c>
      <c r="H14" s="494">
        <v>-32000</v>
      </c>
      <c r="I14" s="546">
        <v>0</v>
      </c>
      <c r="J14" s="141">
        <v>0</v>
      </c>
      <c r="K14" s="499">
        <v>0</v>
      </c>
      <c r="L14" s="516">
        <v>0</v>
      </c>
      <c r="M14" s="546">
        <v>0</v>
      </c>
      <c r="N14" s="141">
        <v>0</v>
      </c>
      <c r="O14" s="141">
        <v>0</v>
      </c>
      <c r="P14" s="516">
        <v>0</v>
      </c>
      <c r="Q14" s="502">
        <f t="shared" si="4"/>
        <v>0</v>
      </c>
    </row>
    <row r="15" spans="1:18" ht="13.5" customHeight="1" x14ac:dyDescent="0.2">
      <c r="A15" s="576"/>
      <c r="B15" s="108"/>
      <c r="C15" s="109" t="s">
        <v>218</v>
      </c>
      <c r="D15" s="109" t="s">
        <v>285</v>
      </c>
      <c r="E15" s="110">
        <f>'2. Kiadások'!E13</f>
        <v>9869708</v>
      </c>
      <c r="F15" s="110">
        <v>0</v>
      </c>
      <c r="G15" s="110">
        <v>4889764</v>
      </c>
      <c r="H15" s="494">
        <v>3484048</v>
      </c>
      <c r="I15" s="546">
        <v>0</v>
      </c>
      <c r="J15" s="141">
        <v>0</v>
      </c>
      <c r="K15" s="499">
        <v>0</v>
      </c>
      <c r="L15" s="516">
        <v>0</v>
      </c>
      <c r="M15" s="546">
        <v>0</v>
      </c>
      <c r="N15" s="141">
        <v>0</v>
      </c>
      <c r="O15" s="141">
        <v>0</v>
      </c>
      <c r="P15" s="516">
        <v>0</v>
      </c>
      <c r="Q15" s="502">
        <f t="shared" si="4"/>
        <v>18243520</v>
      </c>
    </row>
    <row r="16" spans="1:18" s="148" customFormat="1" ht="19.5" customHeight="1" x14ac:dyDescent="0.2">
      <c r="A16" s="576"/>
      <c r="B16" s="566" t="s">
        <v>219</v>
      </c>
      <c r="C16" s="566"/>
      <c r="D16" s="143" t="s">
        <v>286</v>
      </c>
      <c r="E16" s="129">
        <f>SUM(E10:E15)</f>
        <v>42108200</v>
      </c>
      <c r="F16" s="129">
        <f t="shared" ref="F16:H16" si="5">SUM(F10:F15)</f>
        <v>-1701737</v>
      </c>
      <c r="G16" s="129">
        <f t="shared" si="5"/>
        <v>5695117</v>
      </c>
      <c r="H16" s="495">
        <f t="shared" si="5"/>
        <v>1411618</v>
      </c>
      <c r="I16" s="547">
        <f t="shared" ref="I16:N16" si="6">SUM(I10:I15)</f>
        <v>0</v>
      </c>
      <c r="J16" s="129">
        <f t="shared" ref="J16:L16" si="7">SUM(J10:J15)</f>
        <v>0</v>
      </c>
      <c r="K16" s="500">
        <f t="shared" si="7"/>
        <v>0</v>
      </c>
      <c r="L16" s="527">
        <f t="shared" si="7"/>
        <v>0</v>
      </c>
      <c r="M16" s="547">
        <f t="shared" si="6"/>
        <v>0</v>
      </c>
      <c r="N16" s="129">
        <f t="shared" si="6"/>
        <v>0</v>
      </c>
      <c r="O16" s="129">
        <f t="shared" ref="O16:P16" si="8">SUM(O10:O15)</f>
        <v>0</v>
      </c>
      <c r="P16" s="527">
        <f t="shared" si="8"/>
        <v>0</v>
      </c>
      <c r="Q16" s="500">
        <f t="shared" ref="Q16" si="9">SUM(Q10:Q15)</f>
        <v>47513198</v>
      </c>
    </row>
    <row r="17" spans="1:17" s="148" customFormat="1" ht="25.5" customHeight="1" x14ac:dyDescent="0.2">
      <c r="A17" s="149" t="s">
        <v>39</v>
      </c>
      <c r="B17" s="566" t="s">
        <v>80</v>
      </c>
      <c r="C17" s="566"/>
      <c r="D17" s="143" t="s">
        <v>287</v>
      </c>
      <c r="E17" s="129">
        <f>'2. Kiadások'!E15</f>
        <v>4310000</v>
      </c>
      <c r="F17" s="129">
        <v>0</v>
      </c>
      <c r="G17" s="129">
        <v>0</v>
      </c>
      <c r="H17" s="495">
        <v>839750</v>
      </c>
      <c r="I17" s="547">
        <v>0</v>
      </c>
      <c r="J17" s="129">
        <v>0</v>
      </c>
      <c r="K17" s="500">
        <v>0</v>
      </c>
      <c r="L17" s="527">
        <v>0</v>
      </c>
      <c r="M17" s="547">
        <v>0</v>
      </c>
      <c r="N17" s="129">
        <v>0</v>
      </c>
      <c r="O17" s="129">
        <v>0</v>
      </c>
      <c r="P17" s="527">
        <v>0</v>
      </c>
      <c r="Q17" s="500">
        <f>SUM(E17:M17)</f>
        <v>5149750</v>
      </c>
    </row>
    <row r="18" spans="1:17" s="148" customFormat="1" ht="25.5" customHeight="1" x14ac:dyDescent="0.2">
      <c r="A18" s="149" t="s">
        <v>40</v>
      </c>
      <c r="B18" s="566" t="s">
        <v>220</v>
      </c>
      <c r="C18" s="566"/>
      <c r="D18" s="143" t="s">
        <v>288</v>
      </c>
      <c r="E18" s="129">
        <f>'2. Kiadások'!E16</f>
        <v>0</v>
      </c>
      <c r="F18" s="129">
        <v>101903</v>
      </c>
      <c r="G18" s="129">
        <v>0</v>
      </c>
      <c r="H18" s="495">
        <v>230</v>
      </c>
      <c r="I18" s="547">
        <v>0</v>
      </c>
      <c r="J18" s="129">
        <v>0</v>
      </c>
      <c r="K18" s="500">
        <v>0</v>
      </c>
      <c r="L18" s="527">
        <v>0</v>
      </c>
      <c r="M18" s="547">
        <v>0</v>
      </c>
      <c r="N18" s="129">
        <v>0</v>
      </c>
      <c r="O18" s="129">
        <v>0</v>
      </c>
      <c r="P18" s="527">
        <v>0</v>
      </c>
      <c r="Q18" s="500">
        <f>SUM(E18:M18)</f>
        <v>102133</v>
      </c>
    </row>
    <row r="19" spans="1:17" ht="25.5" x14ac:dyDescent="0.2">
      <c r="A19" s="593" t="s">
        <v>44</v>
      </c>
      <c r="B19" s="108"/>
      <c r="C19" s="109" t="s">
        <v>221</v>
      </c>
      <c r="D19" s="109" t="s">
        <v>289</v>
      </c>
      <c r="E19" s="110">
        <f>'2. Kiadások'!E17</f>
        <v>8372793</v>
      </c>
      <c r="F19" s="110">
        <v>0</v>
      </c>
      <c r="G19" s="110">
        <v>0</v>
      </c>
      <c r="H19" s="494">
        <v>-4657309</v>
      </c>
      <c r="I19" s="546">
        <v>0</v>
      </c>
      <c r="J19" s="141">
        <v>0</v>
      </c>
      <c r="K19" s="499">
        <v>0</v>
      </c>
      <c r="L19" s="516">
        <v>0</v>
      </c>
      <c r="M19" s="546">
        <v>0</v>
      </c>
      <c r="N19" s="141">
        <v>0</v>
      </c>
      <c r="O19" s="141">
        <v>0</v>
      </c>
      <c r="P19" s="516">
        <v>0</v>
      </c>
      <c r="Q19" s="502">
        <f t="shared" ref="Q19" si="10">SUM(E19:M19)</f>
        <v>3715484</v>
      </c>
    </row>
    <row r="20" spans="1:17" s="132" customFormat="1" ht="25.5" x14ac:dyDescent="0.2">
      <c r="A20" s="617"/>
      <c r="B20" s="352"/>
      <c r="C20" s="109" t="s">
        <v>222</v>
      </c>
      <c r="D20" s="109" t="s">
        <v>290</v>
      </c>
      <c r="E20" s="110">
        <f>'2. Kiadások'!E18-2200000</f>
        <v>1762000</v>
      </c>
      <c r="F20" s="110">
        <v>0</v>
      </c>
      <c r="G20" s="110">
        <v>0</v>
      </c>
      <c r="H20" s="494">
        <v>-1000000</v>
      </c>
      <c r="I20" s="548">
        <v>2200000</v>
      </c>
      <c r="J20" s="141">
        <v>0</v>
      </c>
      <c r="K20" s="499">
        <v>0</v>
      </c>
      <c r="L20" s="510">
        <v>-1380000</v>
      </c>
      <c r="M20" s="546">
        <v>0</v>
      </c>
      <c r="N20" s="141">
        <v>0</v>
      </c>
      <c r="O20" s="141">
        <v>0</v>
      </c>
      <c r="P20" s="516">
        <v>0</v>
      </c>
      <c r="Q20" s="502">
        <f>SUM(E20:M20)</f>
        <v>1582000</v>
      </c>
    </row>
    <row r="21" spans="1:17" ht="25.5" customHeight="1" x14ac:dyDescent="0.2">
      <c r="A21" s="594"/>
      <c r="B21" s="566" t="s">
        <v>223</v>
      </c>
      <c r="C21" s="566"/>
      <c r="D21" s="143" t="s">
        <v>322</v>
      </c>
      <c r="E21" s="129">
        <f>SUM(E19:E20)</f>
        <v>10134793</v>
      </c>
      <c r="F21" s="129">
        <f t="shared" ref="F21:H21" si="11">SUM(F19:F20)</f>
        <v>0</v>
      </c>
      <c r="G21" s="129">
        <f t="shared" si="11"/>
        <v>0</v>
      </c>
      <c r="H21" s="495">
        <f t="shared" si="11"/>
        <v>-5657309</v>
      </c>
      <c r="I21" s="547">
        <f t="shared" ref="I21:L21" si="12">SUM(I19:I20)</f>
        <v>2200000</v>
      </c>
      <c r="J21" s="129">
        <f t="shared" si="12"/>
        <v>0</v>
      </c>
      <c r="K21" s="500">
        <f t="shared" ref="K21" si="13">SUM(K19:K20)</f>
        <v>0</v>
      </c>
      <c r="L21" s="508">
        <f t="shared" si="12"/>
        <v>-1380000</v>
      </c>
      <c r="M21" s="547">
        <f t="shared" ref="M21:Q21" si="14">SUM(M19:M20)</f>
        <v>0</v>
      </c>
      <c r="N21" s="129">
        <f t="shared" si="14"/>
        <v>0</v>
      </c>
      <c r="O21" s="129">
        <f t="shared" ref="O21:P21" si="15">SUM(O19:O20)</f>
        <v>0</v>
      </c>
      <c r="P21" s="527">
        <f t="shared" si="15"/>
        <v>0</v>
      </c>
      <c r="Q21" s="500">
        <f t="shared" si="14"/>
        <v>5297484</v>
      </c>
    </row>
    <row r="22" spans="1:17" s="150" customFormat="1" ht="25.5" customHeight="1" x14ac:dyDescent="0.2">
      <c r="A22" s="149" t="s">
        <v>46</v>
      </c>
      <c r="B22" s="614" t="s">
        <v>425</v>
      </c>
      <c r="C22" s="615"/>
      <c r="D22" s="138" t="s">
        <v>291</v>
      </c>
      <c r="E22" s="493">
        <f>'2. Kiadások'!E20</f>
        <v>39325302</v>
      </c>
      <c r="F22" s="493">
        <v>-4809727</v>
      </c>
      <c r="G22" s="493">
        <v>-5131502</v>
      </c>
      <c r="H22" s="496">
        <v>35160561</v>
      </c>
      <c r="I22" s="549">
        <v>0</v>
      </c>
      <c r="J22" s="493">
        <v>0</v>
      </c>
      <c r="K22" s="501">
        <v>0</v>
      </c>
      <c r="L22" s="552">
        <v>0</v>
      </c>
      <c r="M22" s="549">
        <v>0</v>
      </c>
      <c r="N22" s="493">
        <v>0</v>
      </c>
      <c r="O22" s="493">
        <v>0</v>
      </c>
      <c r="P22" s="552">
        <v>0</v>
      </c>
      <c r="Q22" s="501">
        <f>SUM(E22:M22)</f>
        <v>64544634</v>
      </c>
    </row>
    <row r="23" spans="1:17" s="120" customFormat="1" ht="19.5" customHeight="1" x14ac:dyDescent="0.2">
      <c r="A23" s="151" t="s">
        <v>47</v>
      </c>
      <c r="B23" s="566" t="s">
        <v>224</v>
      </c>
      <c r="C23" s="566"/>
      <c r="D23" s="143" t="s">
        <v>292</v>
      </c>
      <c r="E23" s="129">
        <f>'2. Kiadások'!E21</f>
        <v>59337045</v>
      </c>
      <c r="F23" s="129">
        <v>2000000</v>
      </c>
      <c r="G23" s="129">
        <v>3117273</v>
      </c>
      <c r="H23" s="495">
        <v>-11635614</v>
      </c>
      <c r="I23" s="547">
        <v>0</v>
      </c>
      <c r="J23" s="129">
        <v>0</v>
      </c>
      <c r="K23" s="500">
        <v>0</v>
      </c>
      <c r="L23" s="527">
        <v>0</v>
      </c>
      <c r="M23" s="547">
        <v>0</v>
      </c>
      <c r="N23" s="129">
        <v>0</v>
      </c>
      <c r="O23" s="129">
        <v>0</v>
      </c>
      <c r="P23" s="527">
        <v>0</v>
      </c>
      <c r="Q23" s="501">
        <f t="shared" ref="Q23:Q24" si="16">SUM(E23:M23)</f>
        <v>52818704</v>
      </c>
    </row>
    <row r="24" spans="1:17" s="120" customFormat="1" ht="18.75" customHeight="1" x14ac:dyDescent="0.2">
      <c r="A24" s="151" t="s">
        <v>48</v>
      </c>
      <c r="B24" s="566" t="s">
        <v>125</v>
      </c>
      <c r="C24" s="566"/>
      <c r="D24" s="143" t="s">
        <v>293</v>
      </c>
      <c r="E24" s="129">
        <f>'2. Kiadások'!E22</f>
        <v>9699996</v>
      </c>
      <c r="F24" s="129">
        <v>1349684</v>
      </c>
      <c r="G24" s="129">
        <v>22474162</v>
      </c>
      <c r="H24" s="495">
        <v>-22186587</v>
      </c>
      <c r="I24" s="547">
        <v>0</v>
      </c>
      <c r="J24" s="129">
        <v>0</v>
      </c>
      <c r="K24" s="500">
        <v>0</v>
      </c>
      <c r="L24" s="527">
        <v>0</v>
      </c>
      <c r="M24" s="547">
        <v>0</v>
      </c>
      <c r="N24" s="129">
        <v>0</v>
      </c>
      <c r="O24" s="129">
        <v>0</v>
      </c>
      <c r="P24" s="527">
        <v>0</v>
      </c>
      <c r="Q24" s="501">
        <f t="shared" si="16"/>
        <v>11337255</v>
      </c>
    </row>
    <row r="25" spans="1:17" ht="25.5" x14ac:dyDescent="0.2">
      <c r="A25" s="593" t="s">
        <v>49</v>
      </c>
      <c r="B25" s="108"/>
      <c r="C25" s="109" t="s">
        <v>225</v>
      </c>
      <c r="D25" s="109" t="s">
        <v>59</v>
      </c>
      <c r="E25" s="110">
        <f>'2. Kiadások'!E23</f>
        <v>0</v>
      </c>
      <c r="F25" s="110">
        <v>250150</v>
      </c>
      <c r="G25" s="110">
        <v>0</v>
      </c>
      <c r="H25" s="494">
        <v>0</v>
      </c>
      <c r="I25" s="548">
        <v>0</v>
      </c>
      <c r="J25" s="110">
        <v>0</v>
      </c>
      <c r="K25" s="502">
        <v>0</v>
      </c>
      <c r="L25" s="529">
        <v>0</v>
      </c>
      <c r="M25" s="548">
        <v>0</v>
      </c>
      <c r="N25" s="110">
        <v>0</v>
      </c>
      <c r="O25" s="110">
        <v>0</v>
      </c>
      <c r="P25" s="529">
        <v>0</v>
      </c>
      <c r="Q25" s="502">
        <f t="shared" ref="Q25:Q27" si="17">SUM(E25:M25)</f>
        <v>250150</v>
      </c>
    </row>
    <row r="26" spans="1:17" ht="25.5" x14ac:dyDescent="0.2">
      <c r="A26" s="617"/>
      <c r="B26" s="108"/>
      <c r="C26" s="109" t="s">
        <v>226</v>
      </c>
      <c r="D26" s="109" t="s">
        <v>60</v>
      </c>
      <c r="E26" s="110">
        <f>'2. Kiadások'!E24</f>
        <v>0</v>
      </c>
      <c r="F26" s="110">
        <v>0</v>
      </c>
      <c r="G26" s="110">
        <v>0</v>
      </c>
      <c r="H26" s="494">
        <v>0</v>
      </c>
      <c r="I26" s="548">
        <v>0</v>
      </c>
      <c r="J26" s="141">
        <v>0</v>
      </c>
      <c r="K26" s="499">
        <v>0</v>
      </c>
      <c r="L26" s="516">
        <v>0</v>
      </c>
      <c r="M26" s="546">
        <v>0</v>
      </c>
      <c r="N26" s="141">
        <v>0</v>
      </c>
      <c r="O26" s="141">
        <v>0</v>
      </c>
      <c r="P26" s="516">
        <v>0</v>
      </c>
      <c r="Q26" s="502">
        <f t="shared" si="17"/>
        <v>0</v>
      </c>
    </row>
    <row r="27" spans="1:17" ht="25.5" x14ac:dyDescent="0.2">
      <c r="A27" s="617"/>
      <c r="B27" s="108"/>
      <c r="C27" s="109" t="s">
        <v>227</v>
      </c>
      <c r="D27" s="109" t="s">
        <v>324</v>
      </c>
      <c r="E27" s="110">
        <f>'2. Kiadások'!E25</f>
        <v>0</v>
      </c>
      <c r="F27" s="110">
        <v>0</v>
      </c>
      <c r="G27" s="110">
        <v>0</v>
      </c>
      <c r="H27" s="494">
        <v>0</v>
      </c>
      <c r="I27" s="546">
        <v>0</v>
      </c>
      <c r="J27" s="141">
        <v>0</v>
      </c>
      <c r="K27" s="499">
        <v>0</v>
      </c>
      <c r="L27" s="516">
        <v>0</v>
      </c>
      <c r="M27" s="546">
        <v>0</v>
      </c>
      <c r="N27" s="141">
        <v>0</v>
      </c>
      <c r="O27" s="141">
        <v>0</v>
      </c>
      <c r="P27" s="516">
        <v>0</v>
      </c>
      <c r="Q27" s="502">
        <f t="shared" si="17"/>
        <v>0</v>
      </c>
    </row>
    <row r="28" spans="1:17" s="148" customFormat="1" ht="25.5" customHeight="1" x14ac:dyDescent="0.2">
      <c r="A28" s="594"/>
      <c r="B28" s="566" t="s">
        <v>228</v>
      </c>
      <c r="C28" s="566"/>
      <c r="D28" s="143" t="s">
        <v>294</v>
      </c>
      <c r="E28" s="129">
        <f>SUM(E25:E27)</f>
        <v>0</v>
      </c>
      <c r="F28" s="129">
        <f t="shared" ref="F28:J28" si="18">SUM(F25:F27)</f>
        <v>250150</v>
      </c>
      <c r="G28" s="129">
        <f t="shared" si="18"/>
        <v>0</v>
      </c>
      <c r="H28" s="495">
        <f t="shared" si="18"/>
        <v>0</v>
      </c>
      <c r="I28" s="547">
        <f t="shared" si="18"/>
        <v>0</v>
      </c>
      <c r="J28" s="129">
        <f t="shared" si="18"/>
        <v>0</v>
      </c>
      <c r="K28" s="500">
        <f t="shared" ref="K28:L28" si="19">SUM(K25:K27)</f>
        <v>0</v>
      </c>
      <c r="L28" s="527">
        <f t="shared" si="19"/>
        <v>0</v>
      </c>
      <c r="M28" s="547">
        <f t="shared" ref="M28:Q28" si="20">SUM(M25:M27)</f>
        <v>0</v>
      </c>
      <c r="N28" s="129">
        <f t="shared" si="20"/>
        <v>0</v>
      </c>
      <c r="O28" s="129">
        <f t="shared" ref="O28:P28" si="21">SUM(O25:O27)</f>
        <v>0</v>
      </c>
      <c r="P28" s="527">
        <f t="shared" si="21"/>
        <v>0</v>
      </c>
      <c r="Q28" s="500">
        <f t="shared" si="20"/>
        <v>250150</v>
      </c>
    </row>
    <row r="29" spans="1:17" s="148" customFormat="1" ht="25.5" customHeight="1" x14ac:dyDescent="0.2">
      <c r="A29" s="575" t="s">
        <v>229</v>
      </c>
      <c r="B29" s="575"/>
      <c r="C29" s="575"/>
      <c r="D29" s="144" t="s">
        <v>295</v>
      </c>
      <c r="E29" s="130">
        <f>E8+E9+E16+E17+E18+E21+E23+E24+E28+E22</f>
        <v>194658204</v>
      </c>
      <c r="F29" s="130">
        <f t="shared" ref="F29:H29" si="22">F8+F9+F16+F17+F18+F21+F23+F24+F28+F22</f>
        <v>-2490734</v>
      </c>
      <c r="G29" s="130">
        <f t="shared" si="22"/>
        <v>28151755</v>
      </c>
      <c r="H29" s="497">
        <f t="shared" si="22"/>
        <v>-4440609</v>
      </c>
      <c r="I29" s="550">
        <f>I8+I9+I16+I17+I18+I21+I23+I24+I28+I22</f>
        <v>2200000</v>
      </c>
      <c r="J29" s="130">
        <f t="shared" ref="J29:K29" si="23">J8+J9+J16+J17+J18+J21+J23+J24+J28+J22</f>
        <v>0</v>
      </c>
      <c r="K29" s="503">
        <f t="shared" si="23"/>
        <v>0</v>
      </c>
      <c r="L29" s="512">
        <f t="shared" ref="L29" si="24">L8+L9+L16+L17+L18+L21+L23+L24+L28+L22</f>
        <v>-1380000</v>
      </c>
      <c r="M29" s="550">
        <f t="shared" ref="M29:Q29" si="25">M8+M9+M16+M17+M18+M21+M23+M24+M28+M22</f>
        <v>0</v>
      </c>
      <c r="N29" s="130">
        <f t="shared" si="25"/>
        <v>0</v>
      </c>
      <c r="O29" s="130">
        <f t="shared" ref="O29:P29" si="26">O8+O9+O16+O17+O18+O21+O23+O24+O28+O22</f>
        <v>0</v>
      </c>
      <c r="P29" s="540">
        <f t="shared" si="26"/>
        <v>0</v>
      </c>
      <c r="Q29" s="503">
        <f t="shared" si="25"/>
        <v>216698616</v>
      </c>
    </row>
    <row r="30" spans="1:17" x14ac:dyDescent="0.2">
      <c r="A30" s="593" t="s">
        <v>22</v>
      </c>
      <c r="B30" s="108"/>
      <c r="C30" s="109" t="s">
        <v>232</v>
      </c>
      <c r="D30" s="109" t="s">
        <v>296</v>
      </c>
      <c r="E30" s="110">
        <f>'2. Kiadások'!E28</f>
        <v>1286753</v>
      </c>
      <c r="F30" s="110">
        <v>0</v>
      </c>
      <c r="G30" s="110">
        <v>0</v>
      </c>
      <c r="H30" s="494">
        <v>0</v>
      </c>
      <c r="I30" s="546">
        <v>0</v>
      </c>
      <c r="J30" s="141">
        <v>0</v>
      </c>
      <c r="K30" s="499">
        <v>0</v>
      </c>
      <c r="L30" s="506">
        <v>0</v>
      </c>
      <c r="M30" s="546">
        <v>0</v>
      </c>
      <c r="N30" s="141">
        <v>0</v>
      </c>
      <c r="O30" s="141">
        <v>0</v>
      </c>
      <c r="P30" s="516">
        <v>0</v>
      </c>
      <c r="Q30" s="502">
        <f t="shared" ref="Q30:Q31" si="27">SUM(E30:M30)</f>
        <v>1286753</v>
      </c>
    </row>
    <row r="31" spans="1:17" x14ac:dyDescent="0.2">
      <c r="A31" s="594"/>
      <c r="B31" s="108"/>
      <c r="C31" s="109" t="s">
        <v>233</v>
      </c>
      <c r="D31" s="109" t="s">
        <v>61</v>
      </c>
      <c r="E31" s="110">
        <f>'2. Kiadások'!E29</f>
        <v>0</v>
      </c>
      <c r="F31" s="110">
        <v>0</v>
      </c>
      <c r="G31" s="110">
        <v>0</v>
      </c>
      <c r="H31" s="494">
        <v>0</v>
      </c>
      <c r="I31" s="546">
        <v>0</v>
      </c>
      <c r="J31" s="141">
        <v>0</v>
      </c>
      <c r="K31" s="499">
        <v>0</v>
      </c>
      <c r="L31" s="506">
        <v>0</v>
      </c>
      <c r="M31" s="546">
        <v>0</v>
      </c>
      <c r="N31" s="141">
        <v>0</v>
      </c>
      <c r="O31" s="141">
        <v>0</v>
      </c>
      <c r="P31" s="516">
        <v>0</v>
      </c>
      <c r="Q31" s="502">
        <f t="shared" si="27"/>
        <v>0</v>
      </c>
    </row>
    <row r="32" spans="1:17" s="148" customFormat="1" ht="22.5" customHeight="1" x14ac:dyDescent="0.2">
      <c r="A32" s="618" t="s">
        <v>230</v>
      </c>
      <c r="B32" s="619"/>
      <c r="C32" s="620"/>
      <c r="D32" s="147" t="s">
        <v>297</v>
      </c>
      <c r="E32" s="130">
        <f>SUM(E30:E31)</f>
        <v>1286753</v>
      </c>
      <c r="F32" s="130">
        <f t="shared" ref="F32:J32" si="28">SUM(F30:F31)</f>
        <v>0</v>
      </c>
      <c r="G32" s="130">
        <f t="shared" si="28"/>
        <v>0</v>
      </c>
      <c r="H32" s="497">
        <f t="shared" si="28"/>
        <v>0</v>
      </c>
      <c r="I32" s="550">
        <f t="shared" si="28"/>
        <v>0</v>
      </c>
      <c r="J32" s="130">
        <f t="shared" si="28"/>
        <v>0</v>
      </c>
      <c r="K32" s="503">
        <f t="shared" ref="K32" si="29">SUM(K30:K31)</f>
        <v>0</v>
      </c>
      <c r="L32" s="512">
        <v>0</v>
      </c>
      <c r="M32" s="550">
        <f t="shared" ref="M32:Q32" si="30">SUM(M30:M31)</f>
        <v>0</v>
      </c>
      <c r="N32" s="130">
        <f t="shared" si="30"/>
        <v>0</v>
      </c>
      <c r="O32" s="130">
        <f t="shared" ref="O32:P32" si="31">SUM(O30:O31)</f>
        <v>0</v>
      </c>
      <c r="P32" s="540">
        <f t="shared" si="31"/>
        <v>0</v>
      </c>
      <c r="Q32" s="503">
        <f t="shared" si="30"/>
        <v>1286753</v>
      </c>
    </row>
    <row r="33" spans="1:17" s="104" customFormat="1" ht="22.5" customHeight="1" x14ac:dyDescent="0.2">
      <c r="A33" s="592" t="s">
        <v>231</v>
      </c>
      <c r="B33" s="592"/>
      <c r="C33" s="592"/>
      <c r="D33" s="139"/>
      <c r="E33" s="117">
        <f>E29+E32</f>
        <v>195944957</v>
      </c>
      <c r="F33" s="117">
        <f t="shared" ref="F33:H33" si="32">F29+F32</f>
        <v>-2490734</v>
      </c>
      <c r="G33" s="117">
        <f t="shared" si="32"/>
        <v>28151755</v>
      </c>
      <c r="H33" s="498">
        <f t="shared" si="32"/>
        <v>-4440609</v>
      </c>
      <c r="I33" s="551">
        <f>I29+I32</f>
        <v>2200000</v>
      </c>
      <c r="J33" s="117">
        <f t="shared" ref="J33:K33" si="33">J29+J32</f>
        <v>0</v>
      </c>
      <c r="K33" s="504">
        <f t="shared" si="33"/>
        <v>0</v>
      </c>
      <c r="L33" s="513">
        <f t="shared" ref="L33" si="34">L29+L32</f>
        <v>-1380000</v>
      </c>
      <c r="M33" s="551">
        <f t="shared" ref="M33:N33" si="35">M29+M32</f>
        <v>0</v>
      </c>
      <c r="N33" s="117">
        <f t="shared" si="35"/>
        <v>0</v>
      </c>
      <c r="O33" s="117">
        <f t="shared" ref="O33:P33" si="36">O29+O32</f>
        <v>0</v>
      </c>
      <c r="P33" s="553">
        <f t="shared" si="36"/>
        <v>0</v>
      </c>
      <c r="Q33" s="504">
        <f t="shared" ref="Q33" si="37">Q29+Q32</f>
        <v>217985369</v>
      </c>
    </row>
  </sheetData>
  <mergeCells count="38">
    <mergeCell ref="B28:C28"/>
    <mergeCell ref="Q3:Q5"/>
    <mergeCell ref="G4:G5"/>
    <mergeCell ref="F4:F5"/>
    <mergeCell ref="E4:E5"/>
    <mergeCell ref="D3:D5"/>
    <mergeCell ref="A1:Q1"/>
    <mergeCell ref="A32:C32"/>
    <mergeCell ref="A2:P2"/>
    <mergeCell ref="E3:H3"/>
    <mergeCell ref="I3:L3"/>
    <mergeCell ref="M3:P3"/>
    <mergeCell ref="N4:N5"/>
    <mergeCell ref="M4:M5"/>
    <mergeCell ref="K4:K5"/>
    <mergeCell ref="J4:J5"/>
    <mergeCell ref="I4:I5"/>
    <mergeCell ref="H4:H5"/>
    <mergeCell ref="A3:C5"/>
    <mergeCell ref="L4:L5"/>
    <mergeCell ref="O4:O5"/>
    <mergeCell ref="P4:P5"/>
    <mergeCell ref="A33:C33"/>
    <mergeCell ref="A6:A8"/>
    <mergeCell ref="B8:C8"/>
    <mergeCell ref="B9:C9"/>
    <mergeCell ref="A10:A16"/>
    <mergeCell ref="B18:C18"/>
    <mergeCell ref="A19:A21"/>
    <mergeCell ref="B24:C24"/>
    <mergeCell ref="A25:A28"/>
    <mergeCell ref="B17:C17"/>
    <mergeCell ref="B21:C21"/>
    <mergeCell ref="B22:C22"/>
    <mergeCell ref="B23:C23"/>
    <mergeCell ref="A29:C29"/>
    <mergeCell ref="A30:A31"/>
    <mergeCell ref="B16:C16"/>
  </mergeCells>
  <pageMargins left="0.7" right="0.7" top="0.75" bottom="0.75" header="0.3" footer="0.3"/>
  <pageSetup paperSize="9" scale="60" orientation="landscape" r:id="rId1"/>
  <headerFooter>
    <oddHeader>&amp;R2.1.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2"/>
  <sheetViews>
    <sheetView topLeftCell="B1" zoomScaleNormal="100" workbookViewId="0">
      <selection activeCell="F23" sqref="F23"/>
    </sheetView>
  </sheetViews>
  <sheetFormatPr defaultRowHeight="12.75" x14ac:dyDescent="0.2"/>
  <cols>
    <col min="1" max="1" width="5.85546875" style="124" customWidth="1"/>
    <col min="2" max="2" width="47.28515625" style="125" customWidth="1"/>
    <col min="3" max="3" width="13" style="125" customWidth="1"/>
    <col min="4" max="6" width="12.5703125" style="125" customWidth="1"/>
    <col min="7" max="7" width="13" style="134" customWidth="1"/>
    <col min="8" max="8" width="15.28515625" style="134" customWidth="1"/>
    <col min="9" max="9" width="47.28515625" style="124" customWidth="1"/>
    <col min="10" max="13" width="14.7109375" style="124" customWidth="1"/>
    <col min="14" max="14" width="12.5703125" style="124" bestFit="1" customWidth="1"/>
    <col min="15" max="15" width="11.5703125" style="124" bestFit="1" customWidth="1"/>
    <col min="16" max="16" width="4.140625" style="124" customWidth="1"/>
    <col min="17" max="16384" width="9.140625" style="124"/>
  </cols>
  <sheetData>
    <row r="1" spans="1:16" ht="39.75" customHeight="1" x14ac:dyDescent="0.2">
      <c r="A1" s="122"/>
      <c r="B1" s="55" t="s">
        <v>303</v>
      </c>
      <c r="C1" s="55"/>
      <c r="D1" s="55"/>
      <c r="E1" s="55"/>
      <c r="F1" s="55"/>
      <c r="G1" s="133"/>
      <c r="H1" s="133"/>
      <c r="I1" s="123"/>
      <c r="J1" s="123"/>
      <c r="K1" s="123"/>
      <c r="L1" s="123"/>
      <c r="M1" s="123"/>
      <c r="N1" s="123"/>
      <c r="O1" s="123"/>
      <c r="P1" s="621"/>
    </row>
    <row r="2" spans="1:16" ht="14.25" thickBot="1" x14ac:dyDescent="0.25">
      <c r="O2" s="56" t="s">
        <v>175</v>
      </c>
      <c r="P2" s="621"/>
    </row>
    <row r="3" spans="1:16" ht="18" customHeight="1" thickBot="1" x14ac:dyDescent="0.25">
      <c r="A3" s="622" t="s">
        <v>75</v>
      </c>
      <c r="B3" s="57" t="s">
        <v>76</v>
      </c>
      <c r="C3" s="186"/>
      <c r="D3" s="186"/>
      <c r="E3" s="186"/>
      <c r="F3" s="186"/>
      <c r="G3" s="58"/>
      <c r="H3" s="186"/>
      <c r="I3" s="57" t="s">
        <v>77</v>
      </c>
      <c r="J3" s="161"/>
      <c r="K3" s="161"/>
      <c r="L3" s="161"/>
      <c r="M3" s="161"/>
      <c r="N3" s="161"/>
      <c r="O3" s="161"/>
      <c r="P3" s="621"/>
    </row>
    <row r="4" spans="1:16" s="61" customFormat="1" ht="35.25" customHeight="1" thickBot="1" x14ac:dyDescent="0.25">
      <c r="A4" s="623"/>
      <c r="B4" s="204" t="s">
        <v>35</v>
      </c>
      <c r="C4" s="187" t="s">
        <v>326</v>
      </c>
      <c r="D4" s="187" t="s">
        <v>384</v>
      </c>
      <c r="E4" s="187" t="s">
        <v>396</v>
      </c>
      <c r="F4" s="187" t="s">
        <v>411</v>
      </c>
      <c r="G4" s="60" t="s">
        <v>385</v>
      </c>
      <c r="H4" s="187" t="s">
        <v>375</v>
      </c>
      <c r="I4" s="59" t="s">
        <v>35</v>
      </c>
      <c r="J4" s="187" t="s">
        <v>326</v>
      </c>
      <c r="K4" s="187" t="s">
        <v>384</v>
      </c>
      <c r="L4" s="187" t="s">
        <v>396</v>
      </c>
      <c r="M4" s="187" t="s">
        <v>411</v>
      </c>
      <c r="N4" s="60" t="s">
        <v>385</v>
      </c>
      <c r="O4" s="187" t="s">
        <v>375</v>
      </c>
      <c r="P4" s="621"/>
    </row>
    <row r="5" spans="1:16" s="66" customFormat="1" ht="12" customHeight="1" thickBot="1" x14ac:dyDescent="0.25">
      <c r="A5" s="62">
        <v>1</v>
      </c>
      <c r="B5" s="205">
        <v>2</v>
      </c>
      <c r="C5" s="62"/>
      <c r="D5" s="188"/>
      <c r="E5" s="188"/>
      <c r="F5" s="188"/>
      <c r="G5" s="64"/>
      <c r="H5" s="198"/>
      <c r="I5" s="205" t="s">
        <v>39</v>
      </c>
      <c r="J5" s="314"/>
      <c r="K5" s="198"/>
      <c r="L5" s="198"/>
      <c r="M5" s="198"/>
      <c r="N5" s="198"/>
      <c r="O5" s="65"/>
      <c r="P5" s="621"/>
    </row>
    <row r="6" spans="1:16" ht="12.95" customHeight="1" x14ac:dyDescent="0.2">
      <c r="A6" s="126" t="s">
        <v>36</v>
      </c>
      <c r="B6" s="206" t="s">
        <v>12</v>
      </c>
      <c r="C6" s="268">
        <f>'1. Bevételek'!E27</f>
        <v>22527352</v>
      </c>
      <c r="D6" s="189">
        <v>-3684481</v>
      </c>
      <c r="E6" s="189">
        <v>51509</v>
      </c>
      <c r="F6" s="189">
        <f>G6-E6-D6-C6</f>
        <v>5632135</v>
      </c>
      <c r="G6" s="373">
        <v>24526515</v>
      </c>
      <c r="H6" s="374">
        <v>22417328</v>
      </c>
      <c r="I6" s="206" t="s">
        <v>1</v>
      </c>
      <c r="J6" s="313">
        <f>'2. Kiadások'!E7</f>
        <v>25718000</v>
      </c>
      <c r="K6" s="239">
        <v>318993</v>
      </c>
      <c r="L6" s="226">
        <v>1858081</v>
      </c>
      <c r="M6" s="226">
        <f>N6-L6-K6-J6</f>
        <v>-1867197</v>
      </c>
      <c r="N6" s="388">
        <v>26027877</v>
      </c>
      <c r="O6" s="389">
        <v>26027877</v>
      </c>
      <c r="P6" s="621"/>
    </row>
    <row r="7" spans="1:16" ht="12.95" customHeight="1" x14ac:dyDescent="0.2">
      <c r="A7" s="127" t="s">
        <v>37</v>
      </c>
      <c r="B7" s="207" t="s">
        <v>170</v>
      </c>
      <c r="C7" s="269">
        <f>'1. Bevételek'!E36</f>
        <v>8762296</v>
      </c>
      <c r="D7" s="189">
        <v>230310</v>
      </c>
      <c r="E7" s="189">
        <v>420706</v>
      </c>
      <c r="F7" s="189">
        <f t="shared" ref="F7:F26" si="0">G7-E7-D7-C7</f>
        <v>887240</v>
      </c>
      <c r="G7" s="81">
        <v>10300552</v>
      </c>
      <c r="H7" s="311">
        <v>10300552</v>
      </c>
      <c r="I7" s="207" t="s">
        <v>78</v>
      </c>
      <c r="J7" s="272">
        <f>'2. Kiadások'!E8</f>
        <v>4024868</v>
      </c>
      <c r="K7" s="217">
        <v>0</v>
      </c>
      <c r="L7" s="226">
        <v>138624</v>
      </c>
      <c r="M7" s="226">
        <f t="shared" ref="M7:M11" si="1">N7-L7-K7-J7</f>
        <v>-506061</v>
      </c>
      <c r="N7" s="388">
        <v>3657431</v>
      </c>
      <c r="O7" s="383">
        <v>3657431</v>
      </c>
      <c r="P7" s="621"/>
    </row>
    <row r="8" spans="1:16" ht="12.95" customHeight="1" x14ac:dyDescent="0.2">
      <c r="A8" s="127" t="s">
        <v>38</v>
      </c>
      <c r="B8" s="207" t="s">
        <v>79</v>
      </c>
      <c r="C8" s="258"/>
      <c r="D8" s="189">
        <v>0</v>
      </c>
      <c r="E8" s="189">
        <v>0</v>
      </c>
      <c r="F8" s="189">
        <f t="shared" si="0"/>
        <v>0</v>
      </c>
      <c r="G8" s="353"/>
      <c r="H8" s="354"/>
      <c r="I8" s="207" t="s">
        <v>32</v>
      </c>
      <c r="J8" s="272">
        <f>'2. Kiadások'!E14</f>
        <v>42108200</v>
      </c>
      <c r="K8" s="217">
        <v>-1701737</v>
      </c>
      <c r="L8" s="226">
        <v>5695117</v>
      </c>
      <c r="M8" s="226">
        <f t="shared" si="1"/>
        <v>1411618</v>
      </c>
      <c r="N8" s="388">
        <v>47513198</v>
      </c>
      <c r="O8" s="383">
        <v>47513198</v>
      </c>
      <c r="P8" s="621"/>
    </row>
    <row r="9" spans="1:16" ht="12.95" customHeight="1" x14ac:dyDescent="0.2">
      <c r="A9" s="127" t="s">
        <v>39</v>
      </c>
      <c r="B9" s="70" t="s">
        <v>171</v>
      </c>
      <c r="C9" s="269">
        <f>'1. Bevételek'!E11</f>
        <v>32168830</v>
      </c>
      <c r="D9" s="189">
        <v>301322</v>
      </c>
      <c r="E9" s="189">
        <v>654157</v>
      </c>
      <c r="F9" s="189">
        <f t="shared" si="0"/>
        <v>123691</v>
      </c>
      <c r="G9" s="81">
        <v>33248000</v>
      </c>
      <c r="H9" s="311">
        <v>33248000</v>
      </c>
      <c r="I9" s="207" t="s">
        <v>80</v>
      </c>
      <c r="J9" s="272">
        <f>'2. Kiadások'!E15</f>
        <v>4310000</v>
      </c>
      <c r="K9" s="217">
        <v>0</v>
      </c>
      <c r="L9" s="226">
        <v>0</v>
      </c>
      <c r="M9" s="226">
        <f t="shared" si="1"/>
        <v>839750</v>
      </c>
      <c r="N9" s="388">
        <v>5149750</v>
      </c>
      <c r="O9" s="383">
        <v>5149750</v>
      </c>
      <c r="P9" s="621"/>
    </row>
    <row r="10" spans="1:16" ht="12.95" customHeight="1" x14ac:dyDescent="0.2">
      <c r="A10" s="127" t="s">
        <v>40</v>
      </c>
      <c r="B10" s="207" t="s">
        <v>81</v>
      </c>
      <c r="C10" s="269">
        <f>'1. Bevételek'!E16</f>
        <v>35401721</v>
      </c>
      <c r="D10" s="189">
        <v>0</v>
      </c>
      <c r="E10" s="189">
        <v>51222</v>
      </c>
      <c r="F10" s="189">
        <f t="shared" si="0"/>
        <v>-1662099</v>
      </c>
      <c r="G10" s="81">
        <v>33790844</v>
      </c>
      <c r="H10" s="311">
        <v>33790844</v>
      </c>
      <c r="I10" s="207" t="s">
        <v>82</v>
      </c>
      <c r="J10" s="272">
        <f>'2. Kiadások'!E19</f>
        <v>12334793</v>
      </c>
      <c r="K10" s="217">
        <v>0</v>
      </c>
      <c r="L10" s="226">
        <v>0</v>
      </c>
      <c r="M10" s="226">
        <f t="shared" si="1"/>
        <v>-7037309</v>
      </c>
      <c r="N10" s="388">
        <v>5297484</v>
      </c>
      <c r="O10" s="383">
        <v>5297484</v>
      </c>
      <c r="P10" s="621"/>
    </row>
    <row r="11" spans="1:16" ht="12.95" customHeight="1" x14ac:dyDescent="0.2">
      <c r="A11" s="127" t="s">
        <v>44</v>
      </c>
      <c r="B11" s="207" t="s">
        <v>83</v>
      </c>
      <c r="C11" s="258"/>
      <c r="D11" s="192"/>
      <c r="E11" s="192"/>
      <c r="F11" s="192">
        <f t="shared" si="0"/>
        <v>0</v>
      </c>
      <c r="G11" s="355"/>
      <c r="H11" s="354"/>
      <c r="I11" s="207" t="s">
        <v>325</v>
      </c>
      <c r="J11" s="272">
        <f>'2. Kiadások'!E20</f>
        <v>39325302</v>
      </c>
      <c r="K11" s="217">
        <v>-1460043</v>
      </c>
      <c r="L11" s="226">
        <v>-1695411</v>
      </c>
      <c r="M11" s="226">
        <f t="shared" si="1"/>
        <v>23830152</v>
      </c>
      <c r="N11" s="388">
        <v>60000000</v>
      </c>
      <c r="O11" s="364"/>
      <c r="P11" s="621"/>
    </row>
    <row r="12" spans="1:16" ht="12.95" customHeight="1" x14ac:dyDescent="0.2">
      <c r="A12" s="127" t="s">
        <v>46</v>
      </c>
      <c r="B12" s="207" t="s">
        <v>84</v>
      </c>
      <c r="C12" s="258"/>
      <c r="D12" s="190"/>
      <c r="E12" s="190"/>
      <c r="F12" s="190">
        <f t="shared" si="0"/>
        <v>0</v>
      </c>
      <c r="G12" s="353"/>
      <c r="H12" s="354"/>
      <c r="I12" s="207" t="s">
        <v>13</v>
      </c>
      <c r="J12" s="265"/>
      <c r="K12" s="217">
        <v>0</v>
      </c>
      <c r="L12" s="226">
        <v>0</v>
      </c>
      <c r="M12" s="226">
        <f t="shared" ref="M12:M15" si="2">N12-L12-K12</f>
        <v>0</v>
      </c>
      <c r="N12" s="365"/>
      <c r="O12" s="364"/>
      <c r="P12" s="621"/>
    </row>
    <row r="13" spans="1:16" ht="12.95" customHeight="1" x14ac:dyDescent="0.2">
      <c r="A13" s="127" t="s">
        <v>47</v>
      </c>
      <c r="B13" s="207" t="s">
        <v>85</v>
      </c>
      <c r="C13" s="258"/>
      <c r="D13" s="190"/>
      <c r="E13" s="190"/>
      <c r="F13" s="190">
        <f t="shared" si="0"/>
        <v>0</v>
      </c>
      <c r="G13" s="353"/>
      <c r="H13" s="354"/>
      <c r="I13" s="208" t="s">
        <v>241</v>
      </c>
      <c r="J13" s="266"/>
      <c r="K13" s="217">
        <v>0</v>
      </c>
      <c r="L13" s="226">
        <v>0</v>
      </c>
      <c r="M13" s="226">
        <f t="shared" si="2"/>
        <v>0</v>
      </c>
      <c r="N13" s="332"/>
      <c r="O13" s="364"/>
      <c r="P13" s="621"/>
    </row>
    <row r="14" spans="1:16" ht="12.95" customHeight="1" x14ac:dyDescent="0.2">
      <c r="A14" s="127" t="s">
        <v>48</v>
      </c>
      <c r="B14" s="72" t="s">
        <v>86</v>
      </c>
      <c r="C14" s="259"/>
      <c r="D14" s="72"/>
      <c r="E14" s="72"/>
      <c r="F14" s="72">
        <f t="shared" si="0"/>
        <v>0</v>
      </c>
      <c r="G14" s="355"/>
      <c r="H14" s="354"/>
      <c r="I14" s="208" t="s">
        <v>236</v>
      </c>
      <c r="J14" s="390">
        <f>'2. Kiadások'!E16</f>
        <v>0</v>
      </c>
      <c r="K14" s="391">
        <v>101903</v>
      </c>
      <c r="L14" s="388">
        <v>0</v>
      </c>
      <c r="M14" s="388">
        <f t="shared" si="2"/>
        <v>230</v>
      </c>
      <c r="N14" s="388">
        <v>102133</v>
      </c>
      <c r="O14" s="383">
        <v>102133</v>
      </c>
      <c r="P14" s="621"/>
    </row>
    <row r="15" spans="1:16" ht="12.95" customHeight="1" x14ac:dyDescent="0.2">
      <c r="A15" s="127" t="s">
        <v>49</v>
      </c>
      <c r="B15" s="208" t="s">
        <v>241</v>
      </c>
      <c r="C15" s="260"/>
      <c r="D15" s="193"/>
      <c r="E15" s="193"/>
      <c r="F15" s="193">
        <f t="shared" si="0"/>
        <v>0</v>
      </c>
      <c r="G15" s="353"/>
      <c r="H15" s="354"/>
      <c r="I15" s="208"/>
      <c r="J15" s="266"/>
      <c r="K15" s="320"/>
      <c r="L15" s="226">
        <v>0</v>
      </c>
      <c r="M15" s="226">
        <f t="shared" si="2"/>
        <v>0</v>
      </c>
      <c r="N15" s="332"/>
      <c r="O15" s="364"/>
      <c r="P15" s="621"/>
    </row>
    <row r="16" spans="1:16" ht="12.95" customHeight="1" x14ac:dyDescent="0.2">
      <c r="A16" s="127" t="s">
        <v>22</v>
      </c>
      <c r="B16" s="208"/>
      <c r="C16" s="260"/>
      <c r="D16" s="193"/>
      <c r="E16" s="193"/>
      <c r="F16" s="193">
        <f t="shared" si="0"/>
        <v>0</v>
      </c>
      <c r="G16" s="353"/>
      <c r="H16" s="354"/>
      <c r="I16" s="208"/>
      <c r="J16" s="266"/>
      <c r="K16" s="320"/>
      <c r="L16" s="332"/>
      <c r="M16" s="332"/>
      <c r="N16" s="332"/>
      <c r="O16" s="364"/>
      <c r="P16" s="621"/>
    </row>
    <row r="17" spans="1:16" ht="12.95" customHeight="1" thickBot="1" x14ac:dyDescent="0.25">
      <c r="A17" s="127" t="s">
        <v>23</v>
      </c>
      <c r="B17" s="209"/>
      <c r="C17" s="261"/>
      <c r="D17" s="194"/>
      <c r="E17" s="194"/>
      <c r="F17" s="194">
        <f t="shared" si="0"/>
        <v>0</v>
      </c>
      <c r="G17" s="356"/>
      <c r="H17" s="357"/>
      <c r="I17" s="208"/>
      <c r="J17" s="319"/>
      <c r="K17" s="321"/>
      <c r="L17" s="333"/>
      <c r="M17" s="333"/>
      <c r="N17" s="333"/>
      <c r="O17" s="366"/>
      <c r="P17" s="621"/>
    </row>
    <row r="18" spans="1:16" ht="15.95" customHeight="1" thickBot="1" x14ac:dyDescent="0.25">
      <c r="A18" s="73" t="s">
        <v>27</v>
      </c>
      <c r="B18" s="210" t="s">
        <v>87</v>
      </c>
      <c r="C18" s="401">
        <f>+C6+C7+C8+C9+C10+C12+C13+C14+C15+C16+C17</f>
        <v>98860199</v>
      </c>
      <c r="D18" s="401">
        <f t="shared" ref="D18:H18" si="3">+D6+D7+D8+D9+D10+D12+D13+D14+D15+D16+D17</f>
        <v>-3152849</v>
      </c>
      <c r="E18" s="401">
        <v>1177594</v>
      </c>
      <c r="F18" s="401">
        <f t="shared" si="0"/>
        <v>4980967</v>
      </c>
      <c r="G18" s="401">
        <f t="shared" si="3"/>
        <v>101865911</v>
      </c>
      <c r="H18" s="401">
        <f t="shared" si="3"/>
        <v>99756724</v>
      </c>
      <c r="I18" s="210" t="s">
        <v>88</v>
      </c>
      <c r="J18" s="273">
        <f>SUM(J6:J17)</f>
        <v>127821163</v>
      </c>
      <c r="K18" s="273">
        <f t="shared" ref="K18:O18" si="4">SUM(K6:K17)</f>
        <v>-2740884</v>
      </c>
      <c r="L18" s="273">
        <f t="shared" si="4"/>
        <v>5996411</v>
      </c>
      <c r="M18" s="273">
        <f t="shared" si="4"/>
        <v>16671183</v>
      </c>
      <c r="N18" s="273">
        <f t="shared" si="4"/>
        <v>147747873</v>
      </c>
      <c r="O18" s="273">
        <f t="shared" si="4"/>
        <v>87747873</v>
      </c>
      <c r="P18" s="621"/>
    </row>
    <row r="19" spans="1:16" ht="12.95" customHeight="1" x14ac:dyDescent="0.2">
      <c r="A19" s="77" t="s">
        <v>24</v>
      </c>
      <c r="B19" s="211" t="s">
        <v>89</v>
      </c>
      <c r="C19" s="274">
        <f>+C20+C21+C22+C23</f>
        <v>27309998</v>
      </c>
      <c r="D19" s="274">
        <f t="shared" ref="D19:H19" si="5">+D20+D21+D22+D23</f>
        <v>0</v>
      </c>
      <c r="E19" s="274">
        <f t="shared" si="5"/>
        <v>0</v>
      </c>
      <c r="F19" s="274">
        <f t="shared" si="5"/>
        <v>968793</v>
      </c>
      <c r="G19" s="386">
        <f t="shared" si="5"/>
        <v>28278791</v>
      </c>
      <c r="H19" s="386">
        <f t="shared" si="5"/>
        <v>28278791</v>
      </c>
      <c r="I19" s="212" t="s">
        <v>90</v>
      </c>
      <c r="J19" s="315"/>
      <c r="K19" s="316"/>
      <c r="L19" s="334"/>
      <c r="M19" s="334"/>
      <c r="N19" s="367"/>
      <c r="O19" s="368"/>
      <c r="P19" s="621"/>
    </row>
    <row r="20" spans="1:16" ht="12.95" customHeight="1" x14ac:dyDescent="0.2">
      <c r="A20" s="80" t="s">
        <v>51</v>
      </c>
      <c r="B20" s="212" t="s">
        <v>91</v>
      </c>
      <c r="C20" s="79">
        <v>27309998</v>
      </c>
      <c r="D20" s="218">
        <v>0</v>
      </c>
      <c r="E20" s="189">
        <v>0</v>
      </c>
      <c r="F20" s="189">
        <f t="shared" si="0"/>
        <v>-416286</v>
      </c>
      <c r="G20" s="382">
        <v>26893712</v>
      </c>
      <c r="H20" s="384">
        <v>26893712</v>
      </c>
      <c r="I20" s="212" t="s">
        <v>92</v>
      </c>
      <c r="J20" s="265"/>
      <c r="K20" s="259"/>
      <c r="L20" s="335"/>
      <c r="M20" s="335"/>
      <c r="N20" s="369"/>
      <c r="O20" s="370"/>
      <c r="P20" s="621"/>
    </row>
    <row r="21" spans="1:16" ht="12.95" customHeight="1" x14ac:dyDescent="0.2">
      <c r="A21" s="80" t="s">
        <v>52</v>
      </c>
      <c r="B21" s="212" t="s">
        <v>93</v>
      </c>
      <c r="C21" s="258"/>
      <c r="D21" s="197"/>
      <c r="E21" s="197"/>
      <c r="F21" s="197">
        <f t="shared" si="0"/>
        <v>0</v>
      </c>
      <c r="G21" s="353"/>
      <c r="H21" s="354"/>
      <c r="I21" s="212" t="s">
        <v>94</v>
      </c>
      <c r="J21" s="265"/>
      <c r="K21" s="259"/>
      <c r="L21" s="335"/>
      <c r="M21" s="335"/>
      <c r="N21" s="369"/>
      <c r="O21" s="370"/>
      <c r="P21" s="621"/>
    </row>
    <row r="22" spans="1:16" ht="12.95" customHeight="1" x14ac:dyDescent="0.2">
      <c r="A22" s="80" t="s">
        <v>25</v>
      </c>
      <c r="B22" s="212" t="s">
        <v>174</v>
      </c>
      <c r="C22" s="79"/>
      <c r="D22" s="197"/>
      <c r="E22" s="197"/>
      <c r="F22" s="197">
        <f t="shared" si="0"/>
        <v>0</v>
      </c>
      <c r="G22" s="353"/>
      <c r="H22" s="354"/>
      <c r="I22" s="212" t="s">
        <v>95</v>
      </c>
      <c r="J22" s="265"/>
      <c r="K22" s="259"/>
      <c r="L22" s="335"/>
      <c r="M22" s="335"/>
      <c r="N22" s="369"/>
      <c r="O22" s="370"/>
      <c r="P22" s="621"/>
    </row>
    <row r="23" spans="1:16" ht="12.95" customHeight="1" x14ac:dyDescent="0.2">
      <c r="A23" s="80" t="s">
        <v>53</v>
      </c>
      <c r="B23" s="212" t="s">
        <v>412</v>
      </c>
      <c r="C23" s="258">
        <f>'1. Bevételek'!E49</f>
        <v>0</v>
      </c>
      <c r="D23" s="189"/>
      <c r="E23" s="189"/>
      <c r="F23" s="189">
        <f t="shared" si="0"/>
        <v>1385079</v>
      </c>
      <c r="G23" s="382">
        <v>1385079</v>
      </c>
      <c r="H23" s="387">
        <v>1385079</v>
      </c>
      <c r="I23" s="211" t="s">
        <v>96</v>
      </c>
      <c r="J23" s="317"/>
      <c r="K23" s="318"/>
      <c r="L23" s="336"/>
      <c r="M23" s="336"/>
      <c r="N23" s="371"/>
      <c r="O23" s="370"/>
      <c r="P23" s="621"/>
    </row>
    <row r="24" spans="1:16" ht="12.95" customHeight="1" x14ac:dyDescent="0.2">
      <c r="A24" s="80" t="s">
        <v>50</v>
      </c>
      <c r="B24" s="212" t="s">
        <v>97</v>
      </c>
      <c r="C24" s="262">
        <f>+C25+C26</f>
        <v>0</v>
      </c>
      <c r="D24" s="215"/>
      <c r="E24" s="215"/>
      <c r="F24" s="215">
        <f t="shared" si="0"/>
        <v>0</v>
      </c>
      <c r="G24" s="359"/>
      <c r="H24" s="360"/>
      <c r="I24" s="212" t="s">
        <v>98</v>
      </c>
      <c r="J24" s="265"/>
      <c r="K24" s="259"/>
      <c r="L24" s="335"/>
      <c r="M24" s="335"/>
      <c r="N24" s="369"/>
      <c r="O24" s="370"/>
      <c r="P24" s="621"/>
    </row>
    <row r="25" spans="1:16" ht="12.95" customHeight="1" x14ac:dyDescent="0.2">
      <c r="A25" s="77" t="s">
        <v>63</v>
      </c>
      <c r="B25" s="211" t="s">
        <v>99</v>
      </c>
      <c r="C25" s="258"/>
      <c r="D25" s="196"/>
      <c r="E25" s="196"/>
      <c r="F25" s="196">
        <f t="shared" si="0"/>
        <v>0</v>
      </c>
      <c r="G25" s="361"/>
      <c r="H25" s="358"/>
      <c r="I25" s="206" t="s">
        <v>100</v>
      </c>
      <c r="J25" s="317">
        <f>'2. Kiadások'!E29</f>
        <v>0</v>
      </c>
      <c r="K25" s="318"/>
      <c r="L25" s="336"/>
      <c r="M25" s="336"/>
      <c r="N25" s="372"/>
      <c r="O25" s="368"/>
      <c r="P25" s="621"/>
    </row>
    <row r="26" spans="1:16" ht="12.95" customHeight="1" thickBot="1" x14ac:dyDescent="0.25">
      <c r="A26" s="80" t="s">
        <v>101</v>
      </c>
      <c r="B26" s="212" t="s">
        <v>102</v>
      </c>
      <c r="C26" s="263"/>
      <c r="D26" s="197"/>
      <c r="E26" s="197"/>
      <c r="F26" s="197">
        <f t="shared" si="0"/>
        <v>0</v>
      </c>
      <c r="G26" s="353"/>
      <c r="H26" s="354"/>
      <c r="I26" s="208" t="s">
        <v>172</v>
      </c>
      <c r="J26" s="392">
        <f>'2. Kiadások'!E28</f>
        <v>1286753</v>
      </c>
      <c r="K26" s="393">
        <f>N26-J26</f>
        <v>0</v>
      </c>
      <c r="L26" s="394">
        <f>N26-K26-J26</f>
        <v>0</v>
      </c>
      <c r="M26" s="394"/>
      <c r="N26" s="395">
        <v>1286753</v>
      </c>
      <c r="O26" s="396">
        <v>1286753</v>
      </c>
      <c r="P26" s="621"/>
    </row>
    <row r="27" spans="1:16" ht="15.95" customHeight="1" thickBot="1" x14ac:dyDescent="0.25">
      <c r="A27" s="73" t="s">
        <v>103</v>
      </c>
      <c r="B27" s="210" t="s">
        <v>104</v>
      </c>
      <c r="C27" s="271">
        <f>+C19+C24</f>
        <v>27309998</v>
      </c>
      <c r="D27" s="271">
        <f t="shared" ref="D27:H27" si="6">+D19+D24</f>
        <v>0</v>
      </c>
      <c r="E27" s="271">
        <f t="shared" si="6"/>
        <v>0</v>
      </c>
      <c r="F27" s="271">
        <f t="shared" si="6"/>
        <v>968793</v>
      </c>
      <c r="G27" s="271">
        <f t="shared" si="6"/>
        <v>28278791</v>
      </c>
      <c r="H27" s="271">
        <f t="shared" si="6"/>
        <v>28278791</v>
      </c>
      <c r="I27" s="210" t="s">
        <v>105</v>
      </c>
      <c r="J27" s="397">
        <f>SUM(J19:J26)</f>
        <v>1286753</v>
      </c>
      <c r="K27" s="397">
        <f t="shared" ref="K27:M27" si="7">SUM(K19:K26)</f>
        <v>0</v>
      </c>
      <c r="L27" s="397">
        <f t="shared" si="7"/>
        <v>0</v>
      </c>
      <c r="M27" s="397">
        <f t="shared" si="7"/>
        <v>0</v>
      </c>
      <c r="N27" s="397">
        <f t="shared" ref="N27:O27" si="8">SUM(N19:N26)</f>
        <v>1286753</v>
      </c>
      <c r="O27" s="397">
        <f t="shared" si="8"/>
        <v>1286753</v>
      </c>
      <c r="P27" s="621"/>
    </row>
    <row r="28" spans="1:16" ht="18" customHeight="1" thickBot="1" x14ac:dyDescent="0.25">
      <c r="A28" s="73" t="s">
        <v>106</v>
      </c>
      <c r="B28" s="213" t="s">
        <v>107</v>
      </c>
      <c r="C28" s="271">
        <f>+C18+C27</f>
        <v>126170197</v>
      </c>
      <c r="D28" s="271">
        <f t="shared" ref="D28:H28" si="9">+D18+D27</f>
        <v>-3152849</v>
      </c>
      <c r="E28" s="271">
        <f t="shared" si="9"/>
        <v>1177594</v>
      </c>
      <c r="F28" s="271">
        <f t="shared" si="9"/>
        <v>5949760</v>
      </c>
      <c r="G28" s="271">
        <f t="shared" si="9"/>
        <v>130144702</v>
      </c>
      <c r="H28" s="271">
        <f t="shared" si="9"/>
        <v>128035515</v>
      </c>
      <c r="I28" s="213" t="s">
        <v>108</v>
      </c>
      <c r="J28" s="398">
        <f>+J18+J27</f>
        <v>129107916</v>
      </c>
      <c r="K28" s="398">
        <f t="shared" ref="K28:M28" si="10">+K18+K27</f>
        <v>-2740884</v>
      </c>
      <c r="L28" s="398">
        <f t="shared" si="10"/>
        <v>5996411</v>
      </c>
      <c r="M28" s="398">
        <f t="shared" si="10"/>
        <v>16671183</v>
      </c>
      <c r="N28" s="398">
        <f t="shared" ref="N28:O28" si="11">+N18+N27</f>
        <v>149034626</v>
      </c>
      <c r="O28" s="398">
        <f t="shared" si="11"/>
        <v>89034626</v>
      </c>
      <c r="P28" s="621"/>
    </row>
    <row r="29" spans="1:16" ht="18" customHeight="1" thickTop="1" thickBot="1" x14ac:dyDescent="0.25">
      <c r="A29" s="73" t="s">
        <v>109</v>
      </c>
      <c r="B29" s="210" t="s">
        <v>110</v>
      </c>
      <c r="C29" s="264"/>
      <c r="D29" s="195"/>
      <c r="E29" s="195"/>
      <c r="F29" s="195"/>
      <c r="G29" s="362"/>
      <c r="H29" s="363"/>
      <c r="I29" s="210" t="s">
        <v>111</v>
      </c>
      <c r="J29" s="399"/>
      <c r="K29" s="399"/>
      <c r="L29" s="399"/>
      <c r="M29" s="399"/>
      <c r="N29" s="399"/>
      <c r="O29" s="400"/>
      <c r="P29" s="621"/>
    </row>
    <row r="30" spans="1:16" ht="14.25" thickTop="1" thickBot="1" x14ac:dyDescent="0.25">
      <c r="A30" s="73" t="s">
        <v>112</v>
      </c>
      <c r="B30" s="214" t="s">
        <v>113</v>
      </c>
      <c r="C30" s="402">
        <f>+C28+C29</f>
        <v>126170197</v>
      </c>
      <c r="D30" s="402">
        <f t="shared" ref="D30:H30" si="12">+D28+D29</f>
        <v>-3152849</v>
      </c>
      <c r="E30" s="402">
        <f t="shared" si="12"/>
        <v>1177594</v>
      </c>
      <c r="F30" s="402">
        <f t="shared" si="12"/>
        <v>5949760</v>
      </c>
      <c r="G30" s="402">
        <f t="shared" si="12"/>
        <v>130144702</v>
      </c>
      <c r="H30" s="402">
        <f t="shared" si="12"/>
        <v>128035515</v>
      </c>
      <c r="I30" s="214" t="s">
        <v>114</v>
      </c>
      <c r="J30" s="403">
        <f>+J28+J29</f>
        <v>129107916</v>
      </c>
      <c r="K30" s="403">
        <f t="shared" ref="K30:M30" si="13">+K28+K29</f>
        <v>-2740884</v>
      </c>
      <c r="L30" s="403">
        <f t="shared" si="13"/>
        <v>5996411</v>
      </c>
      <c r="M30" s="403">
        <f t="shared" si="13"/>
        <v>16671183</v>
      </c>
      <c r="N30" s="403">
        <f t="shared" ref="N30:O30" si="14">+N28+N29</f>
        <v>149034626</v>
      </c>
      <c r="O30" s="403">
        <f t="shared" si="14"/>
        <v>89034626</v>
      </c>
      <c r="P30" s="621"/>
    </row>
    <row r="31" spans="1:16" ht="13.5" thickBot="1" x14ac:dyDescent="0.25">
      <c r="A31" s="73" t="s">
        <v>115</v>
      </c>
      <c r="B31" s="214" t="s">
        <v>116</v>
      </c>
      <c r="C31" s="245">
        <f>IF(C18-J18&lt;0,J18-C18,"-")</f>
        <v>28960964</v>
      </c>
      <c r="D31" s="245">
        <f t="shared" ref="D31:H31" si="15">IF(D18-K18&lt;0,K18-D18,"-")</f>
        <v>411965</v>
      </c>
      <c r="E31" s="245">
        <f t="shared" si="15"/>
        <v>4818817</v>
      </c>
      <c r="F31" s="245">
        <f t="shared" si="15"/>
        <v>11690216</v>
      </c>
      <c r="G31" s="245">
        <f t="shared" si="15"/>
        <v>45881962</v>
      </c>
      <c r="H31" s="245" t="str">
        <f t="shared" si="15"/>
        <v>-</v>
      </c>
      <c r="I31" s="214" t="s">
        <v>117</v>
      </c>
      <c r="J31" s="267" t="str">
        <f>IF(J18-C18&lt;0,C18-J18,"-")</f>
        <v>-</v>
      </c>
      <c r="K31" s="267" t="str">
        <f t="shared" ref="K31:O31" si="16">IF(K18-D18&lt;0,D18-K18,"-")</f>
        <v>-</v>
      </c>
      <c r="L31" s="267" t="str">
        <f t="shared" si="16"/>
        <v>-</v>
      </c>
      <c r="M31" s="267" t="str">
        <f t="shared" si="16"/>
        <v>-</v>
      </c>
      <c r="N31" s="267" t="str">
        <f t="shared" si="16"/>
        <v>-</v>
      </c>
      <c r="O31" s="695">
        <f t="shared" si="16"/>
        <v>12008851</v>
      </c>
      <c r="P31" s="621"/>
    </row>
    <row r="32" spans="1:16" ht="13.5" thickBot="1" x14ac:dyDescent="0.25">
      <c r="A32" s="73" t="s">
        <v>118</v>
      </c>
      <c r="B32" s="214" t="s">
        <v>119</v>
      </c>
      <c r="C32" s="87">
        <f>IF(C18+C19-J28&lt;0,J28-(C18+C19),"-")</f>
        <v>2937719</v>
      </c>
      <c r="D32" s="87">
        <f t="shared" ref="D32:H32" si="17">IF(D18+D19-K28&lt;0,K28-(D18+D19),"-")</f>
        <v>411965</v>
      </c>
      <c r="E32" s="87">
        <f t="shared" si="17"/>
        <v>4818817</v>
      </c>
      <c r="F32" s="87">
        <f t="shared" si="17"/>
        <v>10721423</v>
      </c>
      <c r="G32" s="87">
        <f t="shared" si="17"/>
        <v>18889924</v>
      </c>
      <c r="H32" s="87" t="str">
        <f t="shared" si="17"/>
        <v>-</v>
      </c>
      <c r="I32" s="214" t="s">
        <v>120</v>
      </c>
      <c r="J32" s="267" t="str">
        <f>IF(J18+J19-P28&lt;0,P28-(J18+J19),"-")</f>
        <v>-</v>
      </c>
      <c r="K32" s="312"/>
      <c r="L32" s="312"/>
      <c r="M32" s="312"/>
      <c r="N32" s="312"/>
      <c r="O32" s="312"/>
      <c r="P32" s="621"/>
    </row>
  </sheetData>
  <mergeCells count="2">
    <mergeCell ref="P1:P32"/>
    <mergeCell ref="A3:A4"/>
  </mergeCells>
  <phoneticPr fontId="6" type="noConversion"/>
  <pageMargins left="0.25" right="0.25" top="0.75" bottom="0.75" header="0.3" footer="0.3"/>
  <pageSetup paperSize="9" scale="90" orientation="landscape" r:id="rId1"/>
  <headerFooter alignWithMargins="0">
    <oddHeader>&amp;R3.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7"/>
  <sheetViews>
    <sheetView tabSelected="1" topLeftCell="A13" workbookViewId="0">
      <selection activeCell="H37" sqref="H37"/>
    </sheetView>
  </sheetViews>
  <sheetFormatPr defaultRowHeight="12.75" x14ac:dyDescent="0.2"/>
  <cols>
    <col min="1" max="1" width="5.85546875" style="124" customWidth="1"/>
    <col min="2" max="2" width="44.42578125" style="125" customWidth="1"/>
    <col min="3" max="3" width="13.85546875" style="125" customWidth="1"/>
    <col min="4" max="4" width="10.85546875" style="125" bestFit="1" customWidth="1"/>
    <col min="5" max="5" width="12" style="125" customWidth="1"/>
    <col min="6" max="6" width="12.5703125" style="125" bestFit="1" customWidth="1"/>
    <col min="7" max="8" width="11.5703125" style="134" bestFit="1" customWidth="1"/>
    <col min="9" max="9" width="41.42578125" style="124" customWidth="1"/>
    <col min="10" max="10" width="13.42578125" style="124" customWidth="1"/>
    <col min="11" max="11" width="11" style="124" bestFit="1" customWidth="1"/>
    <col min="12" max="13" width="12.28515625" style="124" customWidth="1"/>
    <col min="14" max="14" width="11.5703125" style="124" bestFit="1" customWidth="1"/>
    <col min="15" max="15" width="11.5703125" style="124" customWidth="1"/>
    <col min="16" max="16" width="11.7109375" style="124" bestFit="1" customWidth="1"/>
    <col min="17" max="16384" width="9.140625" style="124"/>
  </cols>
  <sheetData>
    <row r="1" spans="1:15" ht="15.75" x14ac:dyDescent="0.2">
      <c r="A1" s="122"/>
      <c r="B1" s="55" t="s">
        <v>304</v>
      </c>
      <c r="C1" s="55"/>
      <c r="D1" s="55"/>
      <c r="E1" s="55"/>
      <c r="F1" s="55"/>
      <c r="G1" s="133"/>
      <c r="H1" s="133"/>
      <c r="I1" s="123"/>
      <c r="J1" s="123"/>
      <c r="K1" s="123"/>
      <c r="L1" s="123"/>
      <c r="M1" s="123"/>
      <c r="N1" s="123"/>
      <c r="O1" s="123"/>
    </row>
    <row r="2" spans="1:15" ht="14.25" thickBot="1" x14ac:dyDescent="0.25">
      <c r="N2" s="56" t="s">
        <v>175</v>
      </c>
      <c r="O2" s="56"/>
    </row>
    <row r="3" spans="1:15" ht="13.5" thickBot="1" x14ac:dyDescent="0.25">
      <c r="A3" s="624" t="s">
        <v>75</v>
      </c>
      <c r="B3" s="57" t="s">
        <v>76</v>
      </c>
      <c r="C3" s="186"/>
      <c r="D3" s="186"/>
      <c r="E3" s="186"/>
      <c r="F3" s="186"/>
      <c r="G3" s="58"/>
      <c r="H3" s="186"/>
      <c r="I3" s="57" t="s">
        <v>77</v>
      </c>
      <c r="J3" s="161"/>
      <c r="K3" s="161"/>
      <c r="L3" s="161"/>
      <c r="M3" s="161"/>
      <c r="N3" s="161"/>
      <c r="O3" s="324"/>
    </row>
    <row r="4" spans="1:15" s="61" customFormat="1" ht="24.75" customHeight="1" thickBot="1" x14ac:dyDescent="0.25">
      <c r="A4" s="625"/>
      <c r="B4" s="59" t="s">
        <v>35</v>
      </c>
      <c r="C4" s="216" t="s">
        <v>326</v>
      </c>
      <c r="D4" s="187" t="s">
        <v>384</v>
      </c>
      <c r="E4" s="187" t="s">
        <v>396</v>
      </c>
      <c r="F4" s="187" t="s">
        <v>411</v>
      </c>
      <c r="G4" s="60" t="s">
        <v>385</v>
      </c>
      <c r="H4" s="187" t="s">
        <v>375</v>
      </c>
      <c r="I4" s="59" t="s">
        <v>35</v>
      </c>
      <c r="J4" s="216" t="s">
        <v>326</v>
      </c>
      <c r="K4" s="187" t="s">
        <v>384</v>
      </c>
      <c r="L4" s="187" t="s">
        <v>396</v>
      </c>
      <c r="M4" s="187" t="s">
        <v>411</v>
      </c>
      <c r="N4" s="60" t="s">
        <v>385</v>
      </c>
      <c r="O4" s="325" t="s">
        <v>375</v>
      </c>
    </row>
    <row r="5" spans="1:15" s="61" customFormat="1" ht="13.5" thickBot="1" x14ac:dyDescent="0.25">
      <c r="A5" s="62">
        <v>1</v>
      </c>
      <c r="B5" s="63">
        <v>2</v>
      </c>
      <c r="C5" s="188"/>
      <c r="D5" s="188"/>
      <c r="E5" s="188"/>
      <c r="F5" s="188"/>
      <c r="G5" s="64"/>
      <c r="H5" s="188"/>
      <c r="I5" s="63">
        <v>4</v>
      </c>
      <c r="J5" s="198"/>
      <c r="K5" s="198"/>
      <c r="L5" s="198"/>
      <c r="M5" s="198"/>
      <c r="N5" s="65"/>
      <c r="O5" s="65"/>
    </row>
    <row r="6" spans="1:15" ht="12.95" customHeight="1" x14ac:dyDescent="0.2">
      <c r="A6" s="126" t="s">
        <v>36</v>
      </c>
      <c r="B6" s="67" t="s">
        <v>121</v>
      </c>
      <c r="C6" s="229">
        <f>'1. Bevételek'!E37</f>
        <v>0</v>
      </c>
      <c r="D6" s="189"/>
      <c r="E6" s="189"/>
      <c r="F6" s="189"/>
      <c r="G6" s="121"/>
      <c r="H6" s="322"/>
      <c r="I6" s="67" t="s">
        <v>122</v>
      </c>
      <c r="J6" s="233">
        <f>'2. Kiadások'!E21</f>
        <v>59337045</v>
      </c>
      <c r="K6" s="199">
        <v>2000000</v>
      </c>
      <c r="L6" s="199">
        <v>3117273</v>
      </c>
      <c r="M6" s="199">
        <f>N6-L6-K6-J6</f>
        <v>-11635614</v>
      </c>
      <c r="N6" s="339">
        <v>52818704</v>
      </c>
      <c r="O6" s="339">
        <v>52818704</v>
      </c>
    </row>
    <row r="7" spans="1:15" ht="12.95" customHeight="1" x14ac:dyDescent="0.2">
      <c r="A7" s="126" t="s">
        <v>37</v>
      </c>
      <c r="B7" s="52" t="s">
        <v>123</v>
      </c>
      <c r="C7" s="230"/>
      <c r="D7" s="219"/>
      <c r="E7" s="219"/>
      <c r="F7" s="219"/>
      <c r="G7" s="121"/>
      <c r="H7" s="322"/>
      <c r="I7" s="67"/>
      <c r="J7" s="234"/>
      <c r="K7" s="199"/>
      <c r="L7" s="199"/>
      <c r="M7" s="199">
        <f t="shared" ref="M7:M17" si="0">N7-L7-K7-J7</f>
        <v>0</v>
      </c>
      <c r="N7" s="338"/>
      <c r="O7" s="338"/>
    </row>
    <row r="8" spans="1:15" ht="25.5" customHeight="1" x14ac:dyDescent="0.2">
      <c r="A8" s="126" t="s">
        <v>38</v>
      </c>
      <c r="B8" s="68" t="s">
        <v>124</v>
      </c>
      <c r="C8" s="190"/>
      <c r="D8" s="190"/>
      <c r="E8" s="190"/>
      <c r="F8" s="190"/>
      <c r="G8" s="69"/>
      <c r="H8" s="323"/>
      <c r="I8" s="68" t="s">
        <v>125</v>
      </c>
      <c r="J8" s="218">
        <f>'2. Kiadások'!E22</f>
        <v>9699996</v>
      </c>
      <c r="K8" s="199">
        <v>1349684</v>
      </c>
      <c r="L8" s="199">
        <v>22474162</v>
      </c>
      <c r="M8" s="199">
        <f t="shared" si="0"/>
        <v>-22186587</v>
      </c>
      <c r="N8" s="340">
        <v>11337255</v>
      </c>
      <c r="O8" s="340">
        <v>11337255</v>
      </c>
    </row>
    <row r="9" spans="1:15" ht="12.95" customHeight="1" x14ac:dyDescent="0.2">
      <c r="A9" s="126" t="s">
        <v>39</v>
      </c>
      <c r="B9" s="68" t="s">
        <v>126</v>
      </c>
      <c r="C9" s="190"/>
      <c r="D9" s="190"/>
      <c r="E9" s="190"/>
      <c r="F9" s="190"/>
      <c r="G9" s="353"/>
      <c r="H9" s="375"/>
      <c r="I9" s="68" t="s">
        <v>127</v>
      </c>
      <c r="J9" s="218"/>
      <c r="K9" s="192"/>
      <c r="L9" s="199">
        <v>0</v>
      </c>
      <c r="M9" s="199">
        <f t="shared" si="0"/>
        <v>0</v>
      </c>
      <c r="N9" s="337"/>
      <c r="O9" s="337"/>
    </row>
    <row r="10" spans="1:15" ht="22.5" x14ac:dyDescent="0.2">
      <c r="A10" s="126" t="s">
        <v>40</v>
      </c>
      <c r="B10" s="68" t="s">
        <v>128</v>
      </c>
      <c r="C10" s="190"/>
      <c r="D10" s="190"/>
      <c r="E10" s="190"/>
      <c r="F10" s="190"/>
      <c r="G10" s="353"/>
      <c r="H10" s="375"/>
      <c r="I10" s="68" t="s">
        <v>386</v>
      </c>
      <c r="J10" s="218"/>
      <c r="K10" s="192">
        <v>250150</v>
      </c>
      <c r="L10" s="199">
        <v>0</v>
      </c>
      <c r="M10" s="199">
        <f t="shared" si="0"/>
        <v>0</v>
      </c>
      <c r="N10" s="340">
        <v>250150</v>
      </c>
      <c r="O10" s="340">
        <v>250150</v>
      </c>
    </row>
    <row r="11" spans="1:15" ht="22.5" x14ac:dyDescent="0.2">
      <c r="A11" s="126" t="s">
        <v>44</v>
      </c>
      <c r="B11" s="68" t="s">
        <v>129</v>
      </c>
      <c r="C11" s="190"/>
      <c r="D11" s="190"/>
      <c r="E11" s="190"/>
      <c r="F11" s="190"/>
      <c r="G11" s="353"/>
      <c r="H11" s="375"/>
      <c r="I11" s="68" t="s">
        <v>130</v>
      </c>
      <c r="J11" s="218"/>
      <c r="K11" s="192"/>
      <c r="L11" s="192"/>
      <c r="M11" s="192">
        <f t="shared" si="0"/>
        <v>0</v>
      </c>
      <c r="N11" s="337"/>
      <c r="O11" s="337"/>
    </row>
    <row r="12" spans="1:15" x14ac:dyDescent="0.2">
      <c r="A12" s="126" t="s">
        <v>46</v>
      </c>
      <c r="B12" s="68" t="s">
        <v>131</v>
      </c>
      <c r="C12" s="190">
        <v>1050000</v>
      </c>
      <c r="D12" s="192">
        <v>598293</v>
      </c>
      <c r="E12" s="192">
        <v>26974161</v>
      </c>
      <c r="F12" s="192">
        <f>G12-E12-D12-C12</f>
        <v>-3822173</v>
      </c>
      <c r="G12" s="381">
        <v>24800281</v>
      </c>
      <c r="H12" s="384">
        <v>24800281</v>
      </c>
      <c r="I12" s="88" t="s">
        <v>132</v>
      </c>
      <c r="J12" s="235"/>
      <c r="K12" s="224"/>
      <c r="L12" s="224"/>
      <c r="M12" s="224">
        <f t="shared" si="0"/>
        <v>0</v>
      </c>
      <c r="N12" s="337"/>
      <c r="O12" s="337"/>
    </row>
    <row r="13" spans="1:15" ht="12.95" customHeight="1" x14ac:dyDescent="0.2">
      <c r="A13" s="126" t="s">
        <v>47</v>
      </c>
      <c r="B13" s="68" t="s">
        <v>416</v>
      </c>
      <c r="C13" s="190"/>
      <c r="D13" s="190"/>
      <c r="E13" s="190">
        <v>19974162</v>
      </c>
      <c r="F13" s="192">
        <f>G13-E13-D13-C13</f>
        <v>0</v>
      </c>
      <c r="G13" s="382">
        <v>19974162</v>
      </c>
      <c r="H13" s="385">
        <v>19974162</v>
      </c>
      <c r="I13" s="88" t="s">
        <v>133</v>
      </c>
      <c r="J13" s="235"/>
      <c r="K13" s="224"/>
      <c r="L13" s="224"/>
      <c r="M13" s="224">
        <f t="shared" si="0"/>
        <v>0</v>
      </c>
      <c r="N13" s="337"/>
      <c r="O13" s="337"/>
    </row>
    <row r="14" spans="1:15" ht="12.95" customHeight="1" x14ac:dyDescent="0.2">
      <c r="A14" s="126" t="s">
        <v>48</v>
      </c>
      <c r="B14" s="68" t="s">
        <v>134</v>
      </c>
      <c r="C14" s="190"/>
      <c r="D14" s="190"/>
      <c r="E14" s="190"/>
      <c r="F14" s="192">
        <f t="shared" ref="F14:F17" si="1">G14-E14-D14-C14</f>
        <v>0</v>
      </c>
      <c r="G14" s="382"/>
      <c r="H14" s="385"/>
      <c r="I14" s="89" t="s">
        <v>135</v>
      </c>
      <c r="J14" s="236"/>
      <c r="K14" s="225"/>
      <c r="L14" s="225"/>
      <c r="M14" s="225">
        <f t="shared" si="0"/>
        <v>0</v>
      </c>
      <c r="N14" s="337"/>
      <c r="O14" s="337"/>
    </row>
    <row r="15" spans="1:15" ht="22.5" x14ac:dyDescent="0.2">
      <c r="A15" s="126" t="s">
        <v>49</v>
      </c>
      <c r="B15" s="90" t="s">
        <v>136</v>
      </c>
      <c r="C15" s="231"/>
      <c r="D15" s="220">
        <v>63822</v>
      </c>
      <c r="E15" s="192">
        <v>0</v>
      </c>
      <c r="F15" s="192">
        <f t="shared" si="1"/>
        <v>181993</v>
      </c>
      <c r="G15" s="381">
        <v>245815</v>
      </c>
      <c r="H15" s="384">
        <v>245815</v>
      </c>
      <c r="I15" s="88" t="s">
        <v>137</v>
      </c>
      <c r="J15" s="235"/>
      <c r="K15" s="224"/>
      <c r="L15" s="224"/>
      <c r="M15" s="224">
        <f t="shared" si="0"/>
        <v>0</v>
      </c>
      <c r="N15" s="337"/>
      <c r="O15" s="337"/>
    </row>
    <row r="16" spans="1:15" ht="22.5" customHeight="1" x14ac:dyDescent="0.2">
      <c r="A16" s="126" t="s">
        <v>22</v>
      </c>
      <c r="B16" s="68" t="s">
        <v>138</v>
      </c>
      <c r="C16" s="190">
        <f>'1. Bevételek'!E40</f>
        <v>0</v>
      </c>
      <c r="D16" s="189"/>
      <c r="E16" s="192">
        <v>0</v>
      </c>
      <c r="F16" s="192">
        <f t="shared" si="1"/>
        <v>0</v>
      </c>
      <c r="G16" s="381"/>
      <c r="H16" s="384"/>
      <c r="I16" s="88" t="s">
        <v>139</v>
      </c>
      <c r="J16" s="235"/>
      <c r="K16" s="224"/>
      <c r="L16" s="224"/>
      <c r="M16" s="224">
        <f t="shared" si="0"/>
        <v>0</v>
      </c>
      <c r="N16" s="337"/>
      <c r="O16" s="337"/>
    </row>
    <row r="17" spans="1:15" ht="12.95" customHeight="1" x14ac:dyDescent="0.2">
      <c r="A17" s="126" t="s">
        <v>23</v>
      </c>
      <c r="B17" s="68" t="s">
        <v>140</v>
      </c>
      <c r="C17" s="190">
        <f>'1. Bevételek'!E39</f>
        <v>216000</v>
      </c>
      <c r="D17" s="192">
        <v>0</v>
      </c>
      <c r="E17" s="192">
        <v>0</v>
      </c>
      <c r="F17" s="192">
        <f t="shared" si="1"/>
        <v>-36000</v>
      </c>
      <c r="G17" s="383">
        <v>180000</v>
      </c>
      <c r="H17" s="384">
        <v>180000</v>
      </c>
      <c r="I17" s="68" t="s">
        <v>325</v>
      </c>
      <c r="J17" s="218">
        <v>0</v>
      </c>
      <c r="K17" s="192">
        <v>-3349684</v>
      </c>
      <c r="L17" s="192">
        <v>-3436091</v>
      </c>
      <c r="M17" s="192">
        <f t="shared" si="0"/>
        <v>11330409</v>
      </c>
      <c r="N17" s="340">
        <v>4544634</v>
      </c>
      <c r="O17" s="337"/>
    </row>
    <row r="18" spans="1:15" ht="12.95" customHeight="1" thickBot="1" x14ac:dyDescent="0.25">
      <c r="A18" s="126" t="s">
        <v>27</v>
      </c>
      <c r="B18" s="91" t="s">
        <v>141</v>
      </c>
      <c r="C18" s="232"/>
      <c r="D18" s="191"/>
      <c r="E18" s="191"/>
      <c r="F18" s="191"/>
      <c r="G18" s="376"/>
      <c r="H18" s="358"/>
      <c r="I18" s="91" t="s">
        <v>13</v>
      </c>
      <c r="J18" s="237">
        <f>'2. Kiadások'!E24</f>
        <v>0</v>
      </c>
      <c r="K18" s="199"/>
      <c r="L18" s="191"/>
      <c r="M18" s="191"/>
      <c r="N18" s="128"/>
      <c r="O18" s="128"/>
    </row>
    <row r="19" spans="1:15" ht="15.95" customHeight="1" thickBot="1" x14ac:dyDescent="0.25">
      <c r="A19" s="73" t="s">
        <v>27</v>
      </c>
      <c r="B19" s="74" t="s">
        <v>142</v>
      </c>
      <c r="C19" s="404">
        <f>C6+C7+C8+C9+C10+C11+C12+C13+C14+C15+C16+C17+C18</f>
        <v>1266000</v>
      </c>
      <c r="D19" s="404">
        <f t="shared" ref="D19" si="2">D6+D7+D8+D9+D10+D11+D12+D13+D14+D15+D16+D17+D18</f>
        <v>662115</v>
      </c>
      <c r="E19" s="404">
        <f>E6+E7+E8+E9+E10+E11+E12+E13+E14+E15+E16+E17+E18</f>
        <v>46948323</v>
      </c>
      <c r="F19" s="404">
        <f>F6+F7+F8+F9+F10+F11+F12+F13+F14+F15+F16+F17+F18</f>
        <v>-3676180</v>
      </c>
      <c r="G19" s="405">
        <f>G6+G7+G8+G9+G10+G11+G12+G13+G14+G15+G16+G17+G18</f>
        <v>45200258</v>
      </c>
      <c r="H19" s="405">
        <f>H6+H7+H8+H9+H10+H11+H12+H13+H14+H15+H16+H17+H18</f>
        <v>45200258</v>
      </c>
      <c r="I19" s="74" t="s">
        <v>11</v>
      </c>
      <c r="J19" s="76">
        <f>+J6+J8+J9+J17+J18+J10</f>
        <v>69037041</v>
      </c>
      <c r="K19" s="76">
        <f t="shared" ref="K19:O19" si="3">+K6+K8+K9+K17+K18+K10</f>
        <v>250150</v>
      </c>
      <c r="L19" s="76">
        <f t="shared" si="3"/>
        <v>22155344</v>
      </c>
      <c r="M19" s="76">
        <f t="shared" si="3"/>
        <v>-22491792</v>
      </c>
      <c r="N19" s="76">
        <f t="shared" si="3"/>
        <v>68950743</v>
      </c>
      <c r="O19" s="76">
        <f t="shared" si="3"/>
        <v>64406109</v>
      </c>
    </row>
    <row r="20" spans="1:15" ht="12.95" customHeight="1" x14ac:dyDescent="0.2">
      <c r="A20" s="92" t="s">
        <v>24</v>
      </c>
      <c r="B20" s="93" t="s">
        <v>143</v>
      </c>
      <c r="C20" s="94">
        <f>+C21+C22+C23+C24+C25</f>
        <v>70708760</v>
      </c>
      <c r="D20" s="94">
        <f t="shared" ref="D20:H20" si="4">+D21+D22+D23+D24+D25</f>
        <v>0</v>
      </c>
      <c r="E20" s="94">
        <f t="shared" si="4"/>
        <v>0</v>
      </c>
      <c r="F20" s="94">
        <f t="shared" si="4"/>
        <v>-28068351</v>
      </c>
      <c r="G20" s="94">
        <f t="shared" si="4"/>
        <v>42640409</v>
      </c>
      <c r="H20" s="94">
        <f t="shared" si="4"/>
        <v>42640409</v>
      </c>
      <c r="I20" s="79" t="s">
        <v>90</v>
      </c>
      <c r="J20" s="239"/>
      <c r="K20" s="226"/>
      <c r="L20" s="226"/>
      <c r="M20" s="226"/>
      <c r="N20" s="95"/>
      <c r="O20" s="95"/>
    </row>
    <row r="21" spans="1:15" ht="18" customHeight="1" x14ac:dyDescent="0.2">
      <c r="A21" s="127" t="s">
        <v>51</v>
      </c>
      <c r="B21" s="96" t="s">
        <v>144</v>
      </c>
      <c r="C21" s="221">
        <v>43300743</v>
      </c>
      <c r="D21" s="221">
        <v>0</v>
      </c>
      <c r="E21" s="192">
        <v>0</v>
      </c>
      <c r="F21" s="192">
        <f>G21-E21-D21-C21</f>
        <v>-660334</v>
      </c>
      <c r="G21" s="382">
        <v>42640409</v>
      </c>
      <c r="H21" s="385">
        <v>42640409</v>
      </c>
      <c r="I21" s="79" t="s">
        <v>145</v>
      </c>
      <c r="J21" s="217"/>
      <c r="K21" s="203"/>
      <c r="L21" s="203"/>
      <c r="M21" s="203"/>
      <c r="N21" s="82"/>
      <c r="O21" s="82"/>
    </row>
    <row r="22" spans="1:15" ht="12.95" customHeight="1" x14ac:dyDescent="0.2">
      <c r="A22" s="92" t="s">
        <v>52</v>
      </c>
      <c r="B22" s="96" t="s">
        <v>146</v>
      </c>
      <c r="C22" s="221"/>
      <c r="D22" s="221"/>
      <c r="E22" s="221"/>
      <c r="F22" s="221"/>
      <c r="G22" s="353"/>
      <c r="H22" s="375"/>
      <c r="I22" s="79" t="s">
        <v>94</v>
      </c>
      <c r="J22" s="217"/>
      <c r="K22" s="203"/>
      <c r="L22" s="203"/>
      <c r="M22" s="203"/>
      <c r="N22" s="82"/>
      <c r="O22" s="82"/>
    </row>
    <row r="23" spans="1:15" ht="12.95" customHeight="1" x14ac:dyDescent="0.2">
      <c r="A23" s="127" t="s">
        <v>25</v>
      </c>
      <c r="B23" s="96" t="s">
        <v>147</v>
      </c>
      <c r="C23" s="221"/>
      <c r="D23" s="221"/>
      <c r="E23" s="221"/>
      <c r="F23" s="221"/>
      <c r="G23" s="353"/>
      <c r="H23" s="375"/>
      <c r="I23" s="79" t="s">
        <v>95</v>
      </c>
      <c r="J23" s="217"/>
      <c r="K23" s="203"/>
      <c r="L23" s="203"/>
      <c r="M23" s="203"/>
      <c r="N23" s="82"/>
      <c r="O23" s="82"/>
    </row>
    <row r="24" spans="1:15" ht="12.95" customHeight="1" x14ac:dyDescent="0.2">
      <c r="A24" s="92" t="s">
        <v>53</v>
      </c>
      <c r="B24" s="96" t="s">
        <v>148</v>
      </c>
      <c r="C24" s="221">
        <f>'1. Bevételek'!E45</f>
        <v>27408017</v>
      </c>
      <c r="D24" s="81">
        <v>0</v>
      </c>
      <c r="E24" s="192">
        <v>0</v>
      </c>
      <c r="F24" s="192">
        <f>G24-E24-D24-C24</f>
        <v>-27408017</v>
      </c>
      <c r="G24" s="353">
        <v>0</v>
      </c>
      <c r="H24" s="377">
        <v>0</v>
      </c>
      <c r="I24" s="78" t="s">
        <v>14</v>
      </c>
      <c r="J24" s="240"/>
      <c r="K24" s="202"/>
      <c r="L24" s="202"/>
      <c r="M24" s="202"/>
      <c r="N24" s="82"/>
      <c r="O24" s="82"/>
    </row>
    <row r="25" spans="1:15" ht="12.95" customHeight="1" x14ac:dyDescent="0.2">
      <c r="A25" s="127" t="s">
        <v>50</v>
      </c>
      <c r="B25" s="97" t="s">
        <v>149</v>
      </c>
      <c r="C25" s="97"/>
      <c r="D25" s="97"/>
      <c r="E25" s="97"/>
      <c r="F25" s="97"/>
      <c r="G25" s="353"/>
      <c r="H25" s="375"/>
      <c r="I25" s="79" t="s">
        <v>150</v>
      </c>
      <c r="J25" s="217"/>
      <c r="K25" s="203"/>
      <c r="L25" s="203"/>
      <c r="M25" s="203"/>
      <c r="N25" s="82"/>
      <c r="O25" s="82"/>
    </row>
    <row r="26" spans="1:15" ht="12.95" customHeight="1" x14ac:dyDescent="0.2">
      <c r="A26" s="92" t="s">
        <v>63</v>
      </c>
      <c r="B26" s="98" t="s">
        <v>151</v>
      </c>
      <c r="C26" s="83">
        <f>+C27+C28+C29+C30+C31</f>
        <v>0</v>
      </c>
      <c r="D26" s="98"/>
      <c r="E26" s="98"/>
      <c r="F26" s="98"/>
      <c r="G26" s="359"/>
      <c r="H26" s="378"/>
      <c r="I26" s="99" t="s">
        <v>152</v>
      </c>
      <c r="J26" s="241"/>
      <c r="K26" s="226"/>
      <c r="L26" s="226"/>
      <c r="M26" s="226"/>
      <c r="N26" s="82"/>
      <c r="O26" s="82"/>
    </row>
    <row r="27" spans="1:15" ht="12.95" customHeight="1" x14ac:dyDescent="0.2">
      <c r="A27" s="127" t="s">
        <v>101</v>
      </c>
      <c r="B27" s="97" t="s">
        <v>153</v>
      </c>
      <c r="C27" s="97">
        <f>'1. Bevételek'!E43</f>
        <v>0</v>
      </c>
      <c r="D27" s="97"/>
      <c r="E27" s="97"/>
      <c r="F27" s="97"/>
      <c r="G27" s="353"/>
      <c r="H27" s="379"/>
      <c r="I27" s="99" t="s">
        <v>154</v>
      </c>
      <c r="J27" s="241"/>
      <c r="K27" s="226"/>
      <c r="L27" s="226"/>
      <c r="M27" s="226"/>
      <c r="N27" s="82"/>
      <c r="O27" s="82"/>
    </row>
    <row r="28" spans="1:15" ht="12.95" customHeight="1" x14ac:dyDescent="0.2">
      <c r="A28" s="92" t="s">
        <v>103</v>
      </c>
      <c r="B28" s="97" t="s">
        <v>155</v>
      </c>
      <c r="C28" s="97"/>
      <c r="D28" s="97"/>
      <c r="E28" s="97"/>
      <c r="F28" s="97"/>
      <c r="G28" s="353"/>
      <c r="H28" s="379"/>
      <c r="I28" s="100"/>
      <c r="J28" s="242"/>
      <c r="K28" s="227"/>
      <c r="L28" s="227"/>
      <c r="M28" s="227"/>
      <c r="N28" s="82"/>
      <c r="O28" s="82"/>
    </row>
    <row r="29" spans="1:15" ht="12.95" customHeight="1" x14ac:dyDescent="0.2">
      <c r="A29" s="127" t="s">
        <v>106</v>
      </c>
      <c r="B29" s="96" t="s">
        <v>156</v>
      </c>
      <c r="C29" s="221"/>
      <c r="D29" s="221"/>
      <c r="E29" s="221"/>
      <c r="F29" s="221"/>
      <c r="G29" s="353"/>
      <c r="H29" s="379"/>
      <c r="I29" s="101"/>
      <c r="J29" s="243"/>
      <c r="K29" s="228"/>
      <c r="L29" s="228"/>
      <c r="M29" s="228"/>
      <c r="N29" s="82"/>
      <c r="O29" s="82"/>
    </row>
    <row r="30" spans="1:15" ht="12.95" customHeight="1" x14ac:dyDescent="0.2">
      <c r="A30" s="92" t="s">
        <v>109</v>
      </c>
      <c r="B30" s="102" t="s">
        <v>157</v>
      </c>
      <c r="C30" s="222"/>
      <c r="D30" s="222"/>
      <c r="E30" s="222"/>
      <c r="F30" s="222"/>
      <c r="G30" s="353"/>
      <c r="H30" s="375"/>
      <c r="I30" s="71"/>
      <c r="J30" s="137"/>
      <c r="K30" s="200"/>
      <c r="L30" s="200"/>
      <c r="M30" s="200"/>
      <c r="N30" s="82"/>
      <c r="O30" s="82"/>
    </row>
    <row r="31" spans="1:15" ht="12.95" customHeight="1" thickBot="1" x14ac:dyDescent="0.25">
      <c r="A31" s="127" t="s">
        <v>112</v>
      </c>
      <c r="B31" s="103" t="s">
        <v>158</v>
      </c>
      <c r="C31" s="223"/>
      <c r="D31" s="223"/>
      <c r="E31" s="223"/>
      <c r="F31" s="223"/>
      <c r="G31" s="353"/>
      <c r="H31" s="379"/>
      <c r="I31" s="101"/>
      <c r="J31" s="244"/>
      <c r="K31" s="228"/>
      <c r="L31" s="228"/>
      <c r="M31" s="228"/>
      <c r="N31" s="82"/>
      <c r="O31" s="82"/>
    </row>
    <row r="32" spans="1:15" ht="21.75" customHeight="1" thickBot="1" x14ac:dyDescent="0.25">
      <c r="A32" s="73" t="s">
        <v>115</v>
      </c>
      <c r="B32" s="74" t="s">
        <v>159</v>
      </c>
      <c r="C32" s="75">
        <f>+C20+C26</f>
        <v>70708760</v>
      </c>
      <c r="D32" s="75">
        <f t="shared" ref="D32:H32" si="5">+D20+D26</f>
        <v>0</v>
      </c>
      <c r="E32" s="75">
        <f t="shared" si="5"/>
        <v>0</v>
      </c>
      <c r="F32" s="75">
        <f t="shared" si="5"/>
        <v>-28068351</v>
      </c>
      <c r="G32" s="75">
        <f t="shared" si="5"/>
        <v>42640409</v>
      </c>
      <c r="H32" s="75">
        <f t="shared" si="5"/>
        <v>42640409</v>
      </c>
      <c r="I32" s="74" t="s">
        <v>160</v>
      </c>
      <c r="J32" s="238"/>
      <c r="K32" s="201"/>
      <c r="L32" s="201"/>
      <c r="M32" s="201"/>
      <c r="N32" s="76"/>
      <c r="O32" s="76"/>
    </row>
    <row r="33" spans="1:15" ht="23.25" customHeight="1" thickBot="1" x14ac:dyDescent="0.25">
      <c r="A33" s="73" t="s">
        <v>118</v>
      </c>
      <c r="B33" s="84" t="s">
        <v>161</v>
      </c>
      <c r="C33" s="75">
        <f>+C19+C32</f>
        <v>71974760</v>
      </c>
      <c r="D33" s="75">
        <f t="shared" ref="D33:H33" si="6">+D19+D32</f>
        <v>662115</v>
      </c>
      <c r="E33" s="75">
        <f t="shared" si="6"/>
        <v>46948323</v>
      </c>
      <c r="F33" s="75">
        <f t="shared" si="6"/>
        <v>-31744531</v>
      </c>
      <c r="G33" s="75">
        <f t="shared" si="6"/>
        <v>87840667</v>
      </c>
      <c r="H33" s="75">
        <f t="shared" si="6"/>
        <v>87840667</v>
      </c>
      <c r="I33" s="84" t="s">
        <v>162</v>
      </c>
      <c r="J33" s="76">
        <f>+J19+J32</f>
        <v>69037041</v>
      </c>
      <c r="K33" s="76">
        <f t="shared" ref="K33:O33" si="7">+K19+K32</f>
        <v>250150</v>
      </c>
      <c r="L33" s="76">
        <f t="shared" si="7"/>
        <v>22155344</v>
      </c>
      <c r="M33" s="76">
        <f t="shared" si="7"/>
        <v>-22491792</v>
      </c>
      <c r="N33" s="76">
        <f t="shared" si="7"/>
        <v>68950743</v>
      </c>
      <c r="O33" s="76">
        <f t="shared" si="7"/>
        <v>64406109</v>
      </c>
    </row>
    <row r="34" spans="1:15" ht="18" customHeight="1" thickBot="1" x14ac:dyDescent="0.25">
      <c r="A34" s="73" t="s">
        <v>163</v>
      </c>
      <c r="B34" s="74" t="s">
        <v>110</v>
      </c>
      <c r="C34" s="195"/>
      <c r="D34" s="195"/>
      <c r="E34" s="195"/>
      <c r="F34" s="195"/>
      <c r="G34" s="362"/>
      <c r="H34" s="380"/>
      <c r="I34" s="74" t="s">
        <v>111</v>
      </c>
      <c r="J34" s="238"/>
      <c r="K34" s="201"/>
      <c r="L34" s="201"/>
      <c r="M34" s="201"/>
      <c r="N34" s="85"/>
      <c r="O34" s="85"/>
    </row>
    <row r="35" spans="1:15" ht="13.5" thickBot="1" x14ac:dyDescent="0.25">
      <c r="A35" s="73" t="s">
        <v>164</v>
      </c>
      <c r="B35" s="86" t="s">
        <v>165</v>
      </c>
      <c r="C35" s="406">
        <f>SUM(C33:C34)</f>
        <v>71974760</v>
      </c>
      <c r="D35" s="406">
        <f t="shared" ref="D35:H35" si="8">SUM(D33:D34)</f>
        <v>662115</v>
      </c>
      <c r="E35" s="406">
        <f t="shared" si="8"/>
        <v>46948323</v>
      </c>
      <c r="F35" s="406">
        <f t="shared" si="8"/>
        <v>-31744531</v>
      </c>
      <c r="G35" s="406">
        <f t="shared" si="8"/>
        <v>87840667</v>
      </c>
      <c r="H35" s="406">
        <f t="shared" si="8"/>
        <v>87840667</v>
      </c>
      <c r="I35" s="86" t="s">
        <v>166</v>
      </c>
      <c r="J35" s="406">
        <f>+J33+J34</f>
        <v>69037041</v>
      </c>
      <c r="K35" s="406">
        <f t="shared" ref="K35:O35" si="9">+K33+K34</f>
        <v>250150</v>
      </c>
      <c r="L35" s="406">
        <f t="shared" si="9"/>
        <v>22155344</v>
      </c>
      <c r="M35" s="406">
        <f t="shared" si="9"/>
        <v>-22491792</v>
      </c>
      <c r="N35" s="406">
        <f t="shared" si="9"/>
        <v>68950743</v>
      </c>
      <c r="O35" s="406">
        <f t="shared" si="9"/>
        <v>64406109</v>
      </c>
    </row>
    <row r="36" spans="1:15" ht="13.5" thickBot="1" x14ac:dyDescent="0.25">
      <c r="A36" s="73" t="s">
        <v>167</v>
      </c>
      <c r="B36" s="86" t="s">
        <v>116</v>
      </c>
      <c r="C36" s="87">
        <f>IF(C19-J19&lt;0,J19-C19,"-")</f>
        <v>67771041</v>
      </c>
      <c r="D36" s="87" t="str">
        <f t="shared" ref="D36:E36" si="10">IF(D19-K19&lt;0,K19-D19,"-")</f>
        <v>-</v>
      </c>
      <c r="E36" s="87" t="str">
        <f t="shared" si="10"/>
        <v>-</v>
      </c>
      <c r="F36" s="87">
        <f>IF(F19-N19&lt;0,N19-F19,"-")</f>
        <v>72626923</v>
      </c>
      <c r="G36" s="87">
        <f>IF(G19-O19&lt;0,O19-G19,"-")</f>
        <v>19205851</v>
      </c>
      <c r="H36" s="87" t="str">
        <f>IF(H19-P19&lt;0,P19-H19,"-")</f>
        <v>-</v>
      </c>
      <c r="I36" s="86" t="s">
        <v>117</v>
      </c>
      <c r="J36" s="87" t="str">
        <f>IF(J19-O19&lt;0,O19-J19,"-")</f>
        <v>-</v>
      </c>
      <c r="K36" s="87" t="str">
        <f t="shared" ref="K36:O36" si="11">IF(K19-P19&lt;0,P19-K19,"-")</f>
        <v>-</v>
      </c>
      <c r="L36" s="87" t="str">
        <f t="shared" si="11"/>
        <v>-</v>
      </c>
      <c r="M36" s="87">
        <f t="shared" si="11"/>
        <v>22491792</v>
      </c>
      <c r="N36" s="87" t="str">
        <f t="shared" si="11"/>
        <v>-</v>
      </c>
      <c r="O36" s="87" t="str">
        <f t="shared" si="11"/>
        <v>-</v>
      </c>
    </row>
    <row r="37" spans="1:15" ht="13.5" thickBot="1" x14ac:dyDescent="0.25">
      <c r="A37" s="73" t="s">
        <v>168</v>
      </c>
      <c r="B37" s="86" t="s">
        <v>119</v>
      </c>
      <c r="C37" s="87" t="str">
        <f>IF(C19+C20-J33&lt;0,J33-(C19+C20),"-")</f>
        <v>-</v>
      </c>
      <c r="D37" s="87" t="str">
        <f t="shared" ref="D37:E37" si="12">IF(D19+D20-K33&lt;0,K33-(D19+D20),"-")</f>
        <v>-</v>
      </c>
      <c r="E37" s="87" t="str">
        <f t="shared" si="12"/>
        <v>-</v>
      </c>
      <c r="F37" s="87">
        <f>IF(F19+F20-N33&lt;0,N33-(F19+F20),"-")</f>
        <v>100695274</v>
      </c>
      <c r="G37" s="87" t="str">
        <f>IF(G19+G20-O33&lt;0,O33-(G19+G20),"-")</f>
        <v>-</v>
      </c>
      <c r="H37" s="87" t="str">
        <f>IF(H19+H20-P33&lt;0,P33-(H19+H20),"-")</f>
        <v>-</v>
      </c>
      <c r="I37" s="86" t="s">
        <v>120</v>
      </c>
      <c r="J37" s="87" t="str">
        <f>IF(J19+J20-O33&lt;0,O33-(J19+J20),"-")</f>
        <v>-</v>
      </c>
      <c r="K37" s="87"/>
      <c r="L37" s="87"/>
      <c r="M37" s="87"/>
      <c r="N37" s="87"/>
      <c r="O37" s="87"/>
    </row>
  </sheetData>
  <mergeCells count="1">
    <mergeCell ref="A3:A4"/>
  </mergeCells>
  <phoneticPr fontId="6" type="noConversion"/>
  <pageMargins left="0.25" right="0.25" top="0.75" bottom="0.75" header="0.3" footer="0.3"/>
  <pageSetup paperSize="9" scale="90" orientation="landscape" r:id="rId1"/>
  <headerFooter alignWithMargins="0">
    <oddHeader>&amp;R4.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0"/>
    <pageSetUpPr fitToPage="1"/>
  </sheetPr>
  <dimension ref="A1:J53"/>
  <sheetViews>
    <sheetView topLeftCell="A7" zoomScale="130" zoomScaleNormal="130" workbookViewId="0">
      <selection activeCell="E14" sqref="E14"/>
    </sheetView>
  </sheetViews>
  <sheetFormatPr defaultRowHeight="15" customHeight="1" x14ac:dyDescent="0.2"/>
  <cols>
    <col min="1" max="1" width="3" style="2" customWidth="1"/>
    <col min="2" max="2" width="50.7109375" style="2" customWidth="1"/>
    <col min="3" max="3" width="5.7109375" style="10" bestFit="1" customWidth="1"/>
    <col min="4" max="4" width="10" style="275" bestFit="1" customWidth="1"/>
    <col min="5" max="5" width="8.42578125" style="275" bestFit="1" customWidth="1"/>
    <col min="6" max="6" width="9" style="275" bestFit="1" customWidth="1"/>
    <col min="7" max="7" width="9.7109375" style="275" bestFit="1" customWidth="1"/>
    <col min="8" max="9" width="8.85546875" style="275" bestFit="1" customWidth="1"/>
    <col min="10" max="10" width="9.5703125" style="2" bestFit="1" customWidth="1"/>
    <col min="11" max="258" width="9.140625" style="2"/>
    <col min="259" max="259" width="3" style="2" customWidth="1"/>
    <col min="260" max="260" width="50.7109375" style="2" customWidth="1"/>
    <col min="261" max="261" width="7.7109375" style="2" customWidth="1"/>
    <col min="262" max="262" width="9.85546875" style="2" bestFit="1" customWidth="1"/>
    <col min="263" max="263" width="9" style="2" bestFit="1" customWidth="1"/>
    <col min="264" max="264" width="9.5703125" style="2" bestFit="1" customWidth="1"/>
    <col min="265" max="265" width="9.85546875" style="2" bestFit="1" customWidth="1"/>
    <col min="266" max="266" width="9.5703125" style="2" bestFit="1" customWidth="1"/>
    <col min="267" max="514" width="9.140625" style="2"/>
    <col min="515" max="515" width="3" style="2" customWidth="1"/>
    <col min="516" max="516" width="50.7109375" style="2" customWidth="1"/>
    <col min="517" max="517" width="7.7109375" style="2" customWidth="1"/>
    <col min="518" max="518" width="9.85546875" style="2" bestFit="1" customWidth="1"/>
    <col min="519" max="519" width="9" style="2" bestFit="1" customWidth="1"/>
    <col min="520" max="520" width="9.5703125" style="2" bestFit="1" customWidth="1"/>
    <col min="521" max="521" width="9.85546875" style="2" bestFit="1" customWidth="1"/>
    <col min="522" max="522" width="9.5703125" style="2" bestFit="1" customWidth="1"/>
    <col min="523" max="770" width="9.140625" style="2"/>
    <col min="771" max="771" width="3" style="2" customWidth="1"/>
    <col min="772" max="772" width="50.7109375" style="2" customWidth="1"/>
    <col min="773" max="773" width="7.7109375" style="2" customWidth="1"/>
    <col min="774" max="774" width="9.85546875" style="2" bestFit="1" customWidth="1"/>
    <col min="775" max="775" width="9" style="2" bestFit="1" customWidth="1"/>
    <col min="776" max="776" width="9.5703125" style="2" bestFit="1" customWidth="1"/>
    <col min="777" max="777" width="9.85546875" style="2" bestFit="1" customWidth="1"/>
    <col min="778" max="778" width="9.5703125" style="2" bestFit="1" customWidth="1"/>
    <col min="779" max="1026" width="9.140625" style="2"/>
    <col min="1027" max="1027" width="3" style="2" customWidth="1"/>
    <col min="1028" max="1028" width="50.7109375" style="2" customWidth="1"/>
    <col min="1029" max="1029" width="7.7109375" style="2" customWidth="1"/>
    <col min="1030" max="1030" width="9.85546875" style="2" bestFit="1" customWidth="1"/>
    <col min="1031" max="1031" width="9" style="2" bestFit="1" customWidth="1"/>
    <col min="1032" max="1032" width="9.5703125" style="2" bestFit="1" customWidth="1"/>
    <col min="1033" max="1033" width="9.85546875" style="2" bestFit="1" customWidth="1"/>
    <col min="1034" max="1034" width="9.5703125" style="2" bestFit="1" customWidth="1"/>
    <col min="1035" max="1282" width="9.140625" style="2"/>
    <col min="1283" max="1283" width="3" style="2" customWidth="1"/>
    <col min="1284" max="1284" width="50.7109375" style="2" customWidth="1"/>
    <col min="1285" max="1285" width="7.7109375" style="2" customWidth="1"/>
    <col min="1286" max="1286" width="9.85546875" style="2" bestFit="1" customWidth="1"/>
    <col min="1287" max="1287" width="9" style="2" bestFit="1" customWidth="1"/>
    <col min="1288" max="1288" width="9.5703125" style="2" bestFit="1" customWidth="1"/>
    <col min="1289" max="1289" width="9.85546875" style="2" bestFit="1" customWidth="1"/>
    <col min="1290" max="1290" width="9.5703125" style="2" bestFit="1" customWidth="1"/>
    <col min="1291" max="1538" width="9.140625" style="2"/>
    <col min="1539" max="1539" width="3" style="2" customWidth="1"/>
    <col min="1540" max="1540" width="50.7109375" style="2" customWidth="1"/>
    <col min="1541" max="1541" width="7.7109375" style="2" customWidth="1"/>
    <col min="1542" max="1542" width="9.85546875" style="2" bestFit="1" customWidth="1"/>
    <col min="1543" max="1543" width="9" style="2" bestFit="1" customWidth="1"/>
    <col min="1544" max="1544" width="9.5703125" style="2" bestFit="1" customWidth="1"/>
    <col min="1545" max="1545" width="9.85546875" style="2" bestFit="1" customWidth="1"/>
    <col min="1546" max="1546" width="9.5703125" style="2" bestFit="1" customWidth="1"/>
    <col min="1547" max="1794" width="9.140625" style="2"/>
    <col min="1795" max="1795" width="3" style="2" customWidth="1"/>
    <col min="1796" max="1796" width="50.7109375" style="2" customWidth="1"/>
    <col min="1797" max="1797" width="7.7109375" style="2" customWidth="1"/>
    <col min="1798" max="1798" width="9.85546875" style="2" bestFit="1" customWidth="1"/>
    <col min="1799" max="1799" width="9" style="2" bestFit="1" customWidth="1"/>
    <col min="1800" max="1800" width="9.5703125" style="2" bestFit="1" customWidth="1"/>
    <col min="1801" max="1801" width="9.85546875" style="2" bestFit="1" customWidth="1"/>
    <col min="1802" max="1802" width="9.5703125" style="2" bestFit="1" customWidth="1"/>
    <col min="1803" max="2050" width="9.140625" style="2"/>
    <col min="2051" max="2051" width="3" style="2" customWidth="1"/>
    <col min="2052" max="2052" width="50.7109375" style="2" customWidth="1"/>
    <col min="2053" max="2053" width="7.7109375" style="2" customWidth="1"/>
    <col min="2054" max="2054" width="9.85546875" style="2" bestFit="1" customWidth="1"/>
    <col min="2055" max="2055" width="9" style="2" bestFit="1" customWidth="1"/>
    <col min="2056" max="2056" width="9.5703125" style="2" bestFit="1" customWidth="1"/>
    <col min="2057" max="2057" width="9.85546875" style="2" bestFit="1" customWidth="1"/>
    <col min="2058" max="2058" width="9.5703125" style="2" bestFit="1" customWidth="1"/>
    <col min="2059" max="2306" width="9.140625" style="2"/>
    <col min="2307" max="2307" width="3" style="2" customWidth="1"/>
    <col min="2308" max="2308" width="50.7109375" style="2" customWidth="1"/>
    <col min="2309" max="2309" width="7.7109375" style="2" customWidth="1"/>
    <col min="2310" max="2310" width="9.85546875" style="2" bestFit="1" customWidth="1"/>
    <col min="2311" max="2311" width="9" style="2" bestFit="1" customWidth="1"/>
    <col min="2312" max="2312" width="9.5703125" style="2" bestFit="1" customWidth="1"/>
    <col min="2313" max="2313" width="9.85546875" style="2" bestFit="1" customWidth="1"/>
    <col min="2314" max="2314" width="9.5703125" style="2" bestFit="1" customWidth="1"/>
    <col min="2315" max="2562" width="9.140625" style="2"/>
    <col min="2563" max="2563" width="3" style="2" customWidth="1"/>
    <col min="2564" max="2564" width="50.7109375" style="2" customWidth="1"/>
    <col min="2565" max="2565" width="7.7109375" style="2" customWidth="1"/>
    <col min="2566" max="2566" width="9.85546875" style="2" bestFit="1" customWidth="1"/>
    <col min="2567" max="2567" width="9" style="2" bestFit="1" customWidth="1"/>
    <col min="2568" max="2568" width="9.5703125" style="2" bestFit="1" customWidth="1"/>
    <col min="2569" max="2569" width="9.85546875" style="2" bestFit="1" customWidth="1"/>
    <col min="2570" max="2570" width="9.5703125" style="2" bestFit="1" customWidth="1"/>
    <col min="2571" max="2818" width="9.140625" style="2"/>
    <col min="2819" max="2819" width="3" style="2" customWidth="1"/>
    <col min="2820" max="2820" width="50.7109375" style="2" customWidth="1"/>
    <col min="2821" max="2821" width="7.7109375" style="2" customWidth="1"/>
    <col min="2822" max="2822" width="9.85546875" style="2" bestFit="1" customWidth="1"/>
    <col min="2823" max="2823" width="9" style="2" bestFit="1" customWidth="1"/>
    <col min="2824" max="2824" width="9.5703125" style="2" bestFit="1" customWidth="1"/>
    <col min="2825" max="2825" width="9.85546875" style="2" bestFit="1" customWidth="1"/>
    <col min="2826" max="2826" width="9.5703125" style="2" bestFit="1" customWidth="1"/>
    <col min="2827" max="3074" width="9.140625" style="2"/>
    <col min="3075" max="3075" width="3" style="2" customWidth="1"/>
    <col min="3076" max="3076" width="50.7109375" style="2" customWidth="1"/>
    <col min="3077" max="3077" width="7.7109375" style="2" customWidth="1"/>
    <col min="3078" max="3078" width="9.85546875" style="2" bestFit="1" customWidth="1"/>
    <col min="3079" max="3079" width="9" style="2" bestFit="1" customWidth="1"/>
    <col min="3080" max="3080" width="9.5703125" style="2" bestFit="1" customWidth="1"/>
    <col min="3081" max="3081" width="9.85546875" style="2" bestFit="1" customWidth="1"/>
    <col min="3082" max="3082" width="9.5703125" style="2" bestFit="1" customWidth="1"/>
    <col min="3083" max="3330" width="9.140625" style="2"/>
    <col min="3331" max="3331" width="3" style="2" customWidth="1"/>
    <col min="3332" max="3332" width="50.7109375" style="2" customWidth="1"/>
    <col min="3333" max="3333" width="7.7109375" style="2" customWidth="1"/>
    <col min="3334" max="3334" width="9.85546875" style="2" bestFit="1" customWidth="1"/>
    <col min="3335" max="3335" width="9" style="2" bestFit="1" customWidth="1"/>
    <col min="3336" max="3336" width="9.5703125" style="2" bestFit="1" customWidth="1"/>
    <col min="3337" max="3337" width="9.85546875" style="2" bestFit="1" customWidth="1"/>
    <col min="3338" max="3338" width="9.5703125" style="2" bestFit="1" customWidth="1"/>
    <col min="3339" max="3586" width="9.140625" style="2"/>
    <col min="3587" max="3587" width="3" style="2" customWidth="1"/>
    <col min="3588" max="3588" width="50.7109375" style="2" customWidth="1"/>
    <col min="3589" max="3589" width="7.7109375" style="2" customWidth="1"/>
    <col min="3590" max="3590" width="9.85546875" style="2" bestFit="1" customWidth="1"/>
    <col min="3591" max="3591" width="9" style="2" bestFit="1" customWidth="1"/>
    <col min="3592" max="3592" width="9.5703125" style="2" bestFit="1" customWidth="1"/>
    <col min="3593" max="3593" width="9.85546875" style="2" bestFit="1" customWidth="1"/>
    <col min="3594" max="3594" width="9.5703125" style="2" bestFit="1" customWidth="1"/>
    <col min="3595" max="3842" width="9.140625" style="2"/>
    <col min="3843" max="3843" width="3" style="2" customWidth="1"/>
    <col min="3844" max="3844" width="50.7109375" style="2" customWidth="1"/>
    <col min="3845" max="3845" width="7.7109375" style="2" customWidth="1"/>
    <col min="3846" max="3846" width="9.85546875" style="2" bestFit="1" customWidth="1"/>
    <col min="3847" max="3847" width="9" style="2" bestFit="1" customWidth="1"/>
    <col min="3848" max="3848" width="9.5703125" style="2" bestFit="1" customWidth="1"/>
    <col min="3849" max="3849" width="9.85546875" style="2" bestFit="1" customWidth="1"/>
    <col min="3850" max="3850" width="9.5703125" style="2" bestFit="1" customWidth="1"/>
    <col min="3851" max="4098" width="9.140625" style="2"/>
    <col min="4099" max="4099" width="3" style="2" customWidth="1"/>
    <col min="4100" max="4100" width="50.7109375" style="2" customWidth="1"/>
    <col min="4101" max="4101" width="7.7109375" style="2" customWidth="1"/>
    <col min="4102" max="4102" width="9.85546875" style="2" bestFit="1" customWidth="1"/>
    <col min="4103" max="4103" width="9" style="2" bestFit="1" customWidth="1"/>
    <col min="4104" max="4104" width="9.5703125" style="2" bestFit="1" customWidth="1"/>
    <col min="4105" max="4105" width="9.85546875" style="2" bestFit="1" customWidth="1"/>
    <col min="4106" max="4106" width="9.5703125" style="2" bestFit="1" customWidth="1"/>
    <col min="4107" max="4354" width="9.140625" style="2"/>
    <col min="4355" max="4355" width="3" style="2" customWidth="1"/>
    <col min="4356" max="4356" width="50.7109375" style="2" customWidth="1"/>
    <col min="4357" max="4357" width="7.7109375" style="2" customWidth="1"/>
    <col min="4358" max="4358" width="9.85546875" style="2" bestFit="1" customWidth="1"/>
    <col min="4359" max="4359" width="9" style="2" bestFit="1" customWidth="1"/>
    <col min="4360" max="4360" width="9.5703125" style="2" bestFit="1" customWidth="1"/>
    <col min="4361" max="4361" width="9.85546875" style="2" bestFit="1" customWidth="1"/>
    <col min="4362" max="4362" width="9.5703125" style="2" bestFit="1" customWidth="1"/>
    <col min="4363" max="4610" width="9.140625" style="2"/>
    <col min="4611" max="4611" width="3" style="2" customWidth="1"/>
    <col min="4612" max="4612" width="50.7109375" style="2" customWidth="1"/>
    <col min="4613" max="4613" width="7.7109375" style="2" customWidth="1"/>
    <col min="4614" max="4614" width="9.85546875" style="2" bestFit="1" customWidth="1"/>
    <col min="4615" max="4615" width="9" style="2" bestFit="1" customWidth="1"/>
    <col min="4616" max="4616" width="9.5703125" style="2" bestFit="1" customWidth="1"/>
    <col min="4617" max="4617" width="9.85546875" style="2" bestFit="1" customWidth="1"/>
    <col min="4618" max="4618" width="9.5703125" style="2" bestFit="1" customWidth="1"/>
    <col min="4619" max="4866" width="9.140625" style="2"/>
    <col min="4867" max="4867" width="3" style="2" customWidth="1"/>
    <col min="4868" max="4868" width="50.7109375" style="2" customWidth="1"/>
    <col min="4869" max="4869" width="7.7109375" style="2" customWidth="1"/>
    <col min="4870" max="4870" width="9.85546875" style="2" bestFit="1" customWidth="1"/>
    <col min="4871" max="4871" width="9" style="2" bestFit="1" customWidth="1"/>
    <col min="4872" max="4872" width="9.5703125" style="2" bestFit="1" customWidth="1"/>
    <col min="4873" max="4873" width="9.85546875" style="2" bestFit="1" customWidth="1"/>
    <col min="4874" max="4874" width="9.5703125" style="2" bestFit="1" customWidth="1"/>
    <col min="4875" max="5122" width="9.140625" style="2"/>
    <col min="5123" max="5123" width="3" style="2" customWidth="1"/>
    <col min="5124" max="5124" width="50.7109375" style="2" customWidth="1"/>
    <col min="5125" max="5125" width="7.7109375" style="2" customWidth="1"/>
    <col min="5126" max="5126" width="9.85546875" style="2" bestFit="1" customWidth="1"/>
    <col min="5127" max="5127" width="9" style="2" bestFit="1" customWidth="1"/>
    <col min="5128" max="5128" width="9.5703125" style="2" bestFit="1" customWidth="1"/>
    <col min="5129" max="5129" width="9.85546875" style="2" bestFit="1" customWidth="1"/>
    <col min="5130" max="5130" width="9.5703125" style="2" bestFit="1" customWidth="1"/>
    <col min="5131" max="5378" width="9.140625" style="2"/>
    <col min="5379" max="5379" width="3" style="2" customWidth="1"/>
    <col min="5380" max="5380" width="50.7109375" style="2" customWidth="1"/>
    <col min="5381" max="5381" width="7.7109375" style="2" customWidth="1"/>
    <col min="5382" max="5382" width="9.85546875" style="2" bestFit="1" customWidth="1"/>
    <col min="5383" max="5383" width="9" style="2" bestFit="1" customWidth="1"/>
    <col min="5384" max="5384" width="9.5703125" style="2" bestFit="1" customWidth="1"/>
    <col min="5385" max="5385" width="9.85546875" style="2" bestFit="1" customWidth="1"/>
    <col min="5386" max="5386" width="9.5703125" style="2" bestFit="1" customWidth="1"/>
    <col min="5387" max="5634" width="9.140625" style="2"/>
    <col min="5635" max="5635" width="3" style="2" customWidth="1"/>
    <col min="5636" max="5636" width="50.7109375" style="2" customWidth="1"/>
    <col min="5637" max="5637" width="7.7109375" style="2" customWidth="1"/>
    <col min="5638" max="5638" width="9.85546875" style="2" bestFit="1" customWidth="1"/>
    <col min="5639" max="5639" width="9" style="2" bestFit="1" customWidth="1"/>
    <col min="5640" max="5640" width="9.5703125" style="2" bestFit="1" customWidth="1"/>
    <col min="5641" max="5641" width="9.85546875" style="2" bestFit="1" customWidth="1"/>
    <col min="5642" max="5642" width="9.5703125" style="2" bestFit="1" customWidth="1"/>
    <col min="5643" max="5890" width="9.140625" style="2"/>
    <col min="5891" max="5891" width="3" style="2" customWidth="1"/>
    <col min="5892" max="5892" width="50.7109375" style="2" customWidth="1"/>
    <col min="5893" max="5893" width="7.7109375" style="2" customWidth="1"/>
    <col min="5894" max="5894" width="9.85546875" style="2" bestFit="1" customWidth="1"/>
    <col min="5895" max="5895" width="9" style="2" bestFit="1" customWidth="1"/>
    <col min="5896" max="5896" width="9.5703125" style="2" bestFit="1" customWidth="1"/>
    <col min="5897" max="5897" width="9.85546875" style="2" bestFit="1" customWidth="1"/>
    <col min="5898" max="5898" width="9.5703125" style="2" bestFit="1" customWidth="1"/>
    <col min="5899" max="6146" width="9.140625" style="2"/>
    <col min="6147" max="6147" width="3" style="2" customWidth="1"/>
    <col min="6148" max="6148" width="50.7109375" style="2" customWidth="1"/>
    <col min="6149" max="6149" width="7.7109375" style="2" customWidth="1"/>
    <col min="6150" max="6150" width="9.85546875" style="2" bestFit="1" customWidth="1"/>
    <col min="6151" max="6151" width="9" style="2" bestFit="1" customWidth="1"/>
    <col min="6152" max="6152" width="9.5703125" style="2" bestFit="1" customWidth="1"/>
    <col min="6153" max="6153" width="9.85546875" style="2" bestFit="1" customWidth="1"/>
    <col min="6154" max="6154" width="9.5703125" style="2" bestFit="1" customWidth="1"/>
    <col min="6155" max="6402" width="9.140625" style="2"/>
    <col min="6403" max="6403" width="3" style="2" customWidth="1"/>
    <col min="6404" max="6404" width="50.7109375" style="2" customWidth="1"/>
    <col min="6405" max="6405" width="7.7109375" style="2" customWidth="1"/>
    <col min="6406" max="6406" width="9.85546875" style="2" bestFit="1" customWidth="1"/>
    <col min="6407" max="6407" width="9" style="2" bestFit="1" customWidth="1"/>
    <col min="6408" max="6408" width="9.5703125" style="2" bestFit="1" customWidth="1"/>
    <col min="6409" max="6409" width="9.85546875" style="2" bestFit="1" customWidth="1"/>
    <col min="6410" max="6410" width="9.5703125" style="2" bestFit="1" customWidth="1"/>
    <col min="6411" max="6658" width="9.140625" style="2"/>
    <col min="6659" max="6659" width="3" style="2" customWidth="1"/>
    <col min="6660" max="6660" width="50.7109375" style="2" customWidth="1"/>
    <col min="6661" max="6661" width="7.7109375" style="2" customWidth="1"/>
    <col min="6662" max="6662" width="9.85546875" style="2" bestFit="1" customWidth="1"/>
    <col min="6663" max="6663" width="9" style="2" bestFit="1" customWidth="1"/>
    <col min="6664" max="6664" width="9.5703125" style="2" bestFit="1" customWidth="1"/>
    <col min="6665" max="6665" width="9.85546875" style="2" bestFit="1" customWidth="1"/>
    <col min="6666" max="6666" width="9.5703125" style="2" bestFit="1" customWidth="1"/>
    <col min="6667" max="6914" width="9.140625" style="2"/>
    <col min="6915" max="6915" width="3" style="2" customWidth="1"/>
    <col min="6916" max="6916" width="50.7109375" style="2" customWidth="1"/>
    <col min="6917" max="6917" width="7.7109375" style="2" customWidth="1"/>
    <col min="6918" max="6918" width="9.85546875" style="2" bestFit="1" customWidth="1"/>
    <col min="6919" max="6919" width="9" style="2" bestFit="1" customWidth="1"/>
    <col min="6920" max="6920" width="9.5703125" style="2" bestFit="1" customWidth="1"/>
    <col min="6921" max="6921" width="9.85546875" style="2" bestFit="1" customWidth="1"/>
    <col min="6922" max="6922" width="9.5703125" style="2" bestFit="1" customWidth="1"/>
    <col min="6923" max="7170" width="9.140625" style="2"/>
    <col min="7171" max="7171" width="3" style="2" customWidth="1"/>
    <col min="7172" max="7172" width="50.7109375" style="2" customWidth="1"/>
    <col min="7173" max="7173" width="7.7109375" style="2" customWidth="1"/>
    <col min="7174" max="7174" width="9.85546875" style="2" bestFit="1" customWidth="1"/>
    <col min="7175" max="7175" width="9" style="2" bestFit="1" customWidth="1"/>
    <col min="7176" max="7176" width="9.5703125" style="2" bestFit="1" customWidth="1"/>
    <col min="7177" max="7177" width="9.85546875" style="2" bestFit="1" customWidth="1"/>
    <col min="7178" max="7178" width="9.5703125" style="2" bestFit="1" customWidth="1"/>
    <col min="7179" max="7426" width="9.140625" style="2"/>
    <col min="7427" max="7427" width="3" style="2" customWidth="1"/>
    <col min="7428" max="7428" width="50.7109375" style="2" customWidth="1"/>
    <col min="7429" max="7429" width="7.7109375" style="2" customWidth="1"/>
    <col min="7430" max="7430" width="9.85546875" style="2" bestFit="1" customWidth="1"/>
    <col min="7431" max="7431" width="9" style="2" bestFit="1" customWidth="1"/>
    <col min="7432" max="7432" width="9.5703125" style="2" bestFit="1" customWidth="1"/>
    <col min="7433" max="7433" width="9.85546875" style="2" bestFit="1" customWidth="1"/>
    <col min="7434" max="7434" width="9.5703125" style="2" bestFit="1" customWidth="1"/>
    <col min="7435" max="7682" width="9.140625" style="2"/>
    <col min="7683" max="7683" width="3" style="2" customWidth="1"/>
    <col min="7684" max="7684" width="50.7109375" style="2" customWidth="1"/>
    <col min="7685" max="7685" width="7.7109375" style="2" customWidth="1"/>
    <col min="7686" max="7686" width="9.85546875" style="2" bestFit="1" customWidth="1"/>
    <col min="7687" max="7687" width="9" style="2" bestFit="1" customWidth="1"/>
    <col min="7688" max="7688" width="9.5703125" style="2" bestFit="1" customWidth="1"/>
    <col min="7689" max="7689" width="9.85546875" style="2" bestFit="1" customWidth="1"/>
    <col min="7690" max="7690" width="9.5703125" style="2" bestFit="1" customWidth="1"/>
    <col min="7691" max="7938" width="9.140625" style="2"/>
    <col min="7939" max="7939" width="3" style="2" customWidth="1"/>
    <col min="7940" max="7940" width="50.7109375" style="2" customWidth="1"/>
    <col min="7941" max="7941" width="7.7109375" style="2" customWidth="1"/>
    <col min="7942" max="7942" width="9.85546875" style="2" bestFit="1" customWidth="1"/>
    <col min="7943" max="7943" width="9" style="2" bestFit="1" customWidth="1"/>
    <col min="7944" max="7944" width="9.5703125" style="2" bestFit="1" customWidth="1"/>
    <col min="7945" max="7945" width="9.85546875" style="2" bestFit="1" customWidth="1"/>
    <col min="7946" max="7946" width="9.5703125" style="2" bestFit="1" customWidth="1"/>
    <col min="7947" max="8194" width="9.140625" style="2"/>
    <col min="8195" max="8195" width="3" style="2" customWidth="1"/>
    <col min="8196" max="8196" width="50.7109375" style="2" customWidth="1"/>
    <col min="8197" max="8197" width="7.7109375" style="2" customWidth="1"/>
    <col min="8198" max="8198" width="9.85546875" style="2" bestFit="1" customWidth="1"/>
    <col min="8199" max="8199" width="9" style="2" bestFit="1" customWidth="1"/>
    <col min="8200" max="8200" width="9.5703125" style="2" bestFit="1" customWidth="1"/>
    <col min="8201" max="8201" width="9.85546875" style="2" bestFit="1" customWidth="1"/>
    <col min="8202" max="8202" width="9.5703125" style="2" bestFit="1" customWidth="1"/>
    <col min="8203" max="8450" width="9.140625" style="2"/>
    <col min="8451" max="8451" width="3" style="2" customWidth="1"/>
    <col min="8452" max="8452" width="50.7109375" style="2" customWidth="1"/>
    <col min="8453" max="8453" width="7.7109375" style="2" customWidth="1"/>
    <col min="8454" max="8454" width="9.85546875" style="2" bestFit="1" customWidth="1"/>
    <col min="8455" max="8455" width="9" style="2" bestFit="1" customWidth="1"/>
    <col min="8456" max="8456" width="9.5703125" style="2" bestFit="1" customWidth="1"/>
    <col min="8457" max="8457" width="9.85546875" style="2" bestFit="1" customWidth="1"/>
    <col min="8458" max="8458" width="9.5703125" style="2" bestFit="1" customWidth="1"/>
    <col min="8459" max="8706" width="9.140625" style="2"/>
    <col min="8707" max="8707" width="3" style="2" customWidth="1"/>
    <col min="8708" max="8708" width="50.7109375" style="2" customWidth="1"/>
    <col min="8709" max="8709" width="7.7109375" style="2" customWidth="1"/>
    <col min="8710" max="8710" width="9.85546875" style="2" bestFit="1" customWidth="1"/>
    <col min="8711" max="8711" width="9" style="2" bestFit="1" customWidth="1"/>
    <col min="8712" max="8712" width="9.5703125" style="2" bestFit="1" customWidth="1"/>
    <col min="8713" max="8713" width="9.85546875" style="2" bestFit="1" customWidth="1"/>
    <col min="8714" max="8714" width="9.5703125" style="2" bestFit="1" customWidth="1"/>
    <col min="8715" max="8962" width="9.140625" style="2"/>
    <col min="8963" max="8963" width="3" style="2" customWidth="1"/>
    <col min="8964" max="8964" width="50.7109375" style="2" customWidth="1"/>
    <col min="8965" max="8965" width="7.7109375" style="2" customWidth="1"/>
    <col min="8966" max="8966" width="9.85546875" style="2" bestFit="1" customWidth="1"/>
    <col min="8967" max="8967" width="9" style="2" bestFit="1" customWidth="1"/>
    <col min="8968" max="8968" width="9.5703125" style="2" bestFit="1" customWidth="1"/>
    <col min="8969" max="8969" width="9.85546875" style="2" bestFit="1" customWidth="1"/>
    <col min="8970" max="8970" width="9.5703125" style="2" bestFit="1" customWidth="1"/>
    <col min="8971" max="9218" width="9.140625" style="2"/>
    <col min="9219" max="9219" width="3" style="2" customWidth="1"/>
    <col min="9220" max="9220" width="50.7109375" style="2" customWidth="1"/>
    <col min="9221" max="9221" width="7.7109375" style="2" customWidth="1"/>
    <col min="9222" max="9222" width="9.85546875" style="2" bestFit="1" customWidth="1"/>
    <col min="9223" max="9223" width="9" style="2" bestFit="1" customWidth="1"/>
    <col min="9224" max="9224" width="9.5703125" style="2" bestFit="1" customWidth="1"/>
    <col min="9225" max="9225" width="9.85546875" style="2" bestFit="1" customWidth="1"/>
    <col min="9226" max="9226" width="9.5703125" style="2" bestFit="1" customWidth="1"/>
    <col min="9227" max="9474" width="9.140625" style="2"/>
    <col min="9475" max="9475" width="3" style="2" customWidth="1"/>
    <col min="9476" max="9476" width="50.7109375" style="2" customWidth="1"/>
    <col min="9477" max="9477" width="7.7109375" style="2" customWidth="1"/>
    <col min="9478" max="9478" width="9.85546875" style="2" bestFit="1" customWidth="1"/>
    <col min="9479" max="9479" width="9" style="2" bestFit="1" customWidth="1"/>
    <col min="9480" max="9480" width="9.5703125" style="2" bestFit="1" customWidth="1"/>
    <col min="9481" max="9481" width="9.85546875" style="2" bestFit="1" customWidth="1"/>
    <col min="9482" max="9482" width="9.5703125" style="2" bestFit="1" customWidth="1"/>
    <col min="9483" max="9730" width="9.140625" style="2"/>
    <col min="9731" max="9731" width="3" style="2" customWidth="1"/>
    <col min="9732" max="9732" width="50.7109375" style="2" customWidth="1"/>
    <col min="9733" max="9733" width="7.7109375" style="2" customWidth="1"/>
    <col min="9734" max="9734" width="9.85546875" style="2" bestFit="1" customWidth="1"/>
    <col min="9735" max="9735" width="9" style="2" bestFit="1" customWidth="1"/>
    <col min="9736" max="9736" width="9.5703125" style="2" bestFit="1" customWidth="1"/>
    <col min="9737" max="9737" width="9.85546875" style="2" bestFit="1" customWidth="1"/>
    <col min="9738" max="9738" width="9.5703125" style="2" bestFit="1" customWidth="1"/>
    <col min="9739" max="9986" width="9.140625" style="2"/>
    <col min="9987" max="9987" width="3" style="2" customWidth="1"/>
    <col min="9988" max="9988" width="50.7109375" style="2" customWidth="1"/>
    <col min="9989" max="9989" width="7.7109375" style="2" customWidth="1"/>
    <col min="9990" max="9990" width="9.85546875" style="2" bestFit="1" customWidth="1"/>
    <col min="9991" max="9991" width="9" style="2" bestFit="1" customWidth="1"/>
    <col min="9992" max="9992" width="9.5703125" style="2" bestFit="1" customWidth="1"/>
    <col min="9993" max="9993" width="9.85546875" style="2" bestFit="1" customWidth="1"/>
    <col min="9994" max="9994" width="9.5703125" style="2" bestFit="1" customWidth="1"/>
    <col min="9995" max="10242" width="9.140625" style="2"/>
    <col min="10243" max="10243" width="3" style="2" customWidth="1"/>
    <col min="10244" max="10244" width="50.7109375" style="2" customWidth="1"/>
    <col min="10245" max="10245" width="7.7109375" style="2" customWidth="1"/>
    <col min="10246" max="10246" width="9.85546875" style="2" bestFit="1" customWidth="1"/>
    <col min="10247" max="10247" width="9" style="2" bestFit="1" customWidth="1"/>
    <col min="10248" max="10248" width="9.5703125" style="2" bestFit="1" customWidth="1"/>
    <col min="10249" max="10249" width="9.85546875" style="2" bestFit="1" customWidth="1"/>
    <col min="10250" max="10250" width="9.5703125" style="2" bestFit="1" customWidth="1"/>
    <col min="10251" max="10498" width="9.140625" style="2"/>
    <col min="10499" max="10499" width="3" style="2" customWidth="1"/>
    <col min="10500" max="10500" width="50.7109375" style="2" customWidth="1"/>
    <col min="10501" max="10501" width="7.7109375" style="2" customWidth="1"/>
    <col min="10502" max="10502" width="9.85546875" style="2" bestFit="1" customWidth="1"/>
    <col min="10503" max="10503" width="9" style="2" bestFit="1" customWidth="1"/>
    <col min="10504" max="10504" width="9.5703125" style="2" bestFit="1" customWidth="1"/>
    <col min="10505" max="10505" width="9.85546875" style="2" bestFit="1" customWidth="1"/>
    <col min="10506" max="10506" width="9.5703125" style="2" bestFit="1" customWidth="1"/>
    <col min="10507" max="10754" width="9.140625" style="2"/>
    <col min="10755" max="10755" width="3" style="2" customWidth="1"/>
    <col min="10756" max="10756" width="50.7109375" style="2" customWidth="1"/>
    <col min="10757" max="10757" width="7.7109375" style="2" customWidth="1"/>
    <col min="10758" max="10758" width="9.85546875" style="2" bestFit="1" customWidth="1"/>
    <col min="10759" max="10759" width="9" style="2" bestFit="1" customWidth="1"/>
    <col min="10760" max="10760" width="9.5703125" style="2" bestFit="1" customWidth="1"/>
    <col min="10761" max="10761" width="9.85546875" style="2" bestFit="1" customWidth="1"/>
    <col min="10762" max="10762" width="9.5703125" style="2" bestFit="1" customWidth="1"/>
    <col min="10763" max="11010" width="9.140625" style="2"/>
    <col min="11011" max="11011" width="3" style="2" customWidth="1"/>
    <col min="11012" max="11012" width="50.7109375" style="2" customWidth="1"/>
    <col min="11013" max="11013" width="7.7109375" style="2" customWidth="1"/>
    <col min="11014" max="11014" width="9.85546875" style="2" bestFit="1" customWidth="1"/>
    <col min="11015" max="11015" width="9" style="2" bestFit="1" customWidth="1"/>
    <col min="11016" max="11016" width="9.5703125" style="2" bestFit="1" customWidth="1"/>
    <col min="11017" max="11017" width="9.85546875" style="2" bestFit="1" customWidth="1"/>
    <col min="11018" max="11018" width="9.5703125" style="2" bestFit="1" customWidth="1"/>
    <col min="11019" max="11266" width="9.140625" style="2"/>
    <col min="11267" max="11267" width="3" style="2" customWidth="1"/>
    <col min="11268" max="11268" width="50.7109375" style="2" customWidth="1"/>
    <col min="11269" max="11269" width="7.7109375" style="2" customWidth="1"/>
    <col min="11270" max="11270" width="9.85546875" style="2" bestFit="1" customWidth="1"/>
    <col min="11271" max="11271" width="9" style="2" bestFit="1" customWidth="1"/>
    <col min="11272" max="11272" width="9.5703125" style="2" bestFit="1" customWidth="1"/>
    <col min="11273" max="11273" width="9.85546875" style="2" bestFit="1" customWidth="1"/>
    <col min="11274" max="11274" width="9.5703125" style="2" bestFit="1" customWidth="1"/>
    <col min="11275" max="11522" width="9.140625" style="2"/>
    <col min="11523" max="11523" width="3" style="2" customWidth="1"/>
    <col min="11524" max="11524" width="50.7109375" style="2" customWidth="1"/>
    <col min="11525" max="11525" width="7.7109375" style="2" customWidth="1"/>
    <col min="11526" max="11526" width="9.85546875" style="2" bestFit="1" customWidth="1"/>
    <col min="11527" max="11527" width="9" style="2" bestFit="1" customWidth="1"/>
    <col min="11528" max="11528" width="9.5703125" style="2" bestFit="1" customWidth="1"/>
    <col min="11529" max="11529" width="9.85546875" style="2" bestFit="1" customWidth="1"/>
    <col min="11530" max="11530" width="9.5703125" style="2" bestFit="1" customWidth="1"/>
    <col min="11531" max="11778" width="9.140625" style="2"/>
    <col min="11779" max="11779" width="3" style="2" customWidth="1"/>
    <col min="11780" max="11780" width="50.7109375" style="2" customWidth="1"/>
    <col min="11781" max="11781" width="7.7109375" style="2" customWidth="1"/>
    <col min="11782" max="11782" width="9.85546875" style="2" bestFit="1" customWidth="1"/>
    <col min="11783" max="11783" width="9" style="2" bestFit="1" customWidth="1"/>
    <col min="11784" max="11784" width="9.5703125" style="2" bestFit="1" customWidth="1"/>
    <col min="11785" max="11785" width="9.85546875" style="2" bestFit="1" customWidth="1"/>
    <col min="11786" max="11786" width="9.5703125" style="2" bestFit="1" customWidth="1"/>
    <col min="11787" max="12034" width="9.140625" style="2"/>
    <col min="12035" max="12035" width="3" style="2" customWidth="1"/>
    <col min="12036" max="12036" width="50.7109375" style="2" customWidth="1"/>
    <col min="12037" max="12037" width="7.7109375" style="2" customWidth="1"/>
    <col min="12038" max="12038" width="9.85546875" style="2" bestFit="1" customWidth="1"/>
    <col min="12039" max="12039" width="9" style="2" bestFit="1" customWidth="1"/>
    <col min="12040" max="12040" width="9.5703125" style="2" bestFit="1" customWidth="1"/>
    <col min="12041" max="12041" width="9.85546875" style="2" bestFit="1" customWidth="1"/>
    <col min="12042" max="12042" width="9.5703125" style="2" bestFit="1" customWidth="1"/>
    <col min="12043" max="12290" width="9.140625" style="2"/>
    <col min="12291" max="12291" width="3" style="2" customWidth="1"/>
    <col min="12292" max="12292" width="50.7109375" style="2" customWidth="1"/>
    <col min="12293" max="12293" width="7.7109375" style="2" customWidth="1"/>
    <col min="12294" max="12294" width="9.85546875" style="2" bestFit="1" customWidth="1"/>
    <col min="12295" max="12295" width="9" style="2" bestFit="1" customWidth="1"/>
    <col min="12296" max="12296" width="9.5703125" style="2" bestFit="1" customWidth="1"/>
    <col min="12297" max="12297" width="9.85546875" style="2" bestFit="1" customWidth="1"/>
    <col min="12298" max="12298" width="9.5703125" style="2" bestFit="1" customWidth="1"/>
    <col min="12299" max="12546" width="9.140625" style="2"/>
    <col min="12547" max="12547" width="3" style="2" customWidth="1"/>
    <col min="12548" max="12548" width="50.7109375" style="2" customWidth="1"/>
    <col min="12549" max="12549" width="7.7109375" style="2" customWidth="1"/>
    <col min="12550" max="12550" width="9.85546875" style="2" bestFit="1" customWidth="1"/>
    <col min="12551" max="12551" width="9" style="2" bestFit="1" customWidth="1"/>
    <col min="12552" max="12552" width="9.5703125" style="2" bestFit="1" customWidth="1"/>
    <col min="12553" max="12553" width="9.85546875" style="2" bestFit="1" customWidth="1"/>
    <col min="12554" max="12554" width="9.5703125" style="2" bestFit="1" customWidth="1"/>
    <col min="12555" max="12802" width="9.140625" style="2"/>
    <col min="12803" max="12803" width="3" style="2" customWidth="1"/>
    <col min="12804" max="12804" width="50.7109375" style="2" customWidth="1"/>
    <col min="12805" max="12805" width="7.7109375" style="2" customWidth="1"/>
    <col min="12806" max="12806" width="9.85546875" style="2" bestFit="1" customWidth="1"/>
    <col min="12807" max="12807" width="9" style="2" bestFit="1" customWidth="1"/>
    <col min="12808" max="12808" width="9.5703125" style="2" bestFit="1" customWidth="1"/>
    <col min="12809" max="12809" width="9.85546875" style="2" bestFit="1" customWidth="1"/>
    <col min="12810" max="12810" width="9.5703125" style="2" bestFit="1" customWidth="1"/>
    <col min="12811" max="13058" width="9.140625" style="2"/>
    <col min="13059" max="13059" width="3" style="2" customWidth="1"/>
    <col min="13060" max="13060" width="50.7109375" style="2" customWidth="1"/>
    <col min="13061" max="13061" width="7.7109375" style="2" customWidth="1"/>
    <col min="13062" max="13062" width="9.85546875" style="2" bestFit="1" customWidth="1"/>
    <col min="13063" max="13063" width="9" style="2" bestFit="1" customWidth="1"/>
    <col min="13064" max="13064" width="9.5703125" style="2" bestFit="1" customWidth="1"/>
    <col min="13065" max="13065" width="9.85546875" style="2" bestFit="1" customWidth="1"/>
    <col min="13066" max="13066" width="9.5703125" style="2" bestFit="1" customWidth="1"/>
    <col min="13067" max="13314" width="9.140625" style="2"/>
    <col min="13315" max="13315" width="3" style="2" customWidth="1"/>
    <col min="13316" max="13316" width="50.7109375" style="2" customWidth="1"/>
    <col min="13317" max="13317" width="7.7109375" style="2" customWidth="1"/>
    <col min="13318" max="13318" width="9.85546875" style="2" bestFit="1" customWidth="1"/>
    <col min="13319" max="13319" width="9" style="2" bestFit="1" customWidth="1"/>
    <col min="13320" max="13320" width="9.5703125" style="2" bestFit="1" customWidth="1"/>
    <col min="13321" max="13321" width="9.85546875" style="2" bestFit="1" customWidth="1"/>
    <col min="13322" max="13322" width="9.5703125" style="2" bestFit="1" customWidth="1"/>
    <col min="13323" max="13570" width="9.140625" style="2"/>
    <col min="13571" max="13571" width="3" style="2" customWidth="1"/>
    <col min="13572" max="13572" width="50.7109375" style="2" customWidth="1"/>
    <col min="13573" max="13573" width="7.7109375" style="2" customWidth="1"/>
    <col min="13574" max="13574" width="9.85546875" style="2" bestFit="1" customWidth="1"/>
    <col min="13575" max="13575" width="9" style="2" bestFit="1" customWidth="1"/>
    <col min="13576" max="13576" width="9.5703125" style="2" bestFit="1" customWidth="1"/>
    <col min="13577" max="13577" width="9.85546875" style="2" bestFit="1" customWidth="1"/>
    <col min="13578" max="13578" width="9.5703125" style="2" bestFit="1" customWidth="1"/>
    <col min="13579" max="13826" width="9.140625" style="2"/>
    <col min="13827" max="13827" width="3" style="2" customWidth="1"/>
    <col min="13828" max="13828" width="50.7109375" style="2" customWidth="1"/>
    <col min="13829" max="13829" width="7.7109375" style="2" customWidth="1"/>
    <col min="13830" max="13830" width="9.85546875" style="2" bestFit="1" customWidth="1"/>
    <col min="13831" max="13831" width="9" style="2" bestFit="1" customWidth="1"/>
    <col min="13832" max="13832" width="9.5703125" style="2" bestFit="1" customWidth="1"/>
    <col min="13833" max="13833" width="9.85546875" style="2" bestFit="1" customWidth="1"/>
    <col min="13834" max="13834" width="9.5703125" style="2" bestFit="1" customWidth="1"/>
    <col min="13835" max="14082" width="9.140625" style="2"/>
    <col min="14083" max="14083" width="3" style="2" customWidth="1"/>
    <col min="14084" max="14084" width="50.7109375" style="2" customWidth="1"/>
    <col min="14085" max="14085" width="7.7109375" style="2" customWidth="1"/>
    <col min="14086" max="14086" width="9.85546875" style="2" bestFit="1" customWidth="1"/>
    <col min="14087" max="14087" width="9" style="2" bestFit="1" customWidth="1"/>
    <col min="14088" max="14088" width="9.5703125" style="2" bestFit="1" customWidth="1"/>
    <col min="14089" max="14089" width="9.85546875" style="2" bestFit="1" customWidth="1"/>
    <col min="14090" max="14090" width="9.5703125" style="2" bestFit="1" customWidth="1"/>
    <col min="14091" max="14338" width="9.140625" style="2"/>
    <col min="14339" max="14339" width="3" style="2" customWidth="1"/>
    <col min="14340" max="14340" width="50.7109375" style="2" customWidth="1"/>
    <col min="14341" max="14341" width="7.7109375" style="2" customWidth="1"/>
    <col min="14342" max="14342" width="9.85546875" style="2" bestFit="1" customWidth="1"/>
    <col min="14343" max="14343" width="9" style="2" bestFit="1" customWidth="1"/>
    <col min="14344" max="14344" width="9.5703125" style="2" bestFit="1" customWidth="1"/>
    <col min="14345" max="14345" width="9.85546875" style="2" bestFit="1" customWidth="1"/>
    <col min="14346" max="14346" width="9.5703125" style="2" bestFit="1" customWidth="1"/>
    <col min="14347" max="14594" width="9.140625" style="2"/>
    <col min="14595" max="14595" width="3" style="2" customWidth="1"/>
    <col min="14596" max="14596" width="50.7109375" style="2" customWidth="1"/>
    <col min="14597" max="14597" width="7.7109375" style="2" customWidth="1"/>
    <col min="14598" max="14598" width="9.85546875" style="2" bestFit="1" customWidth="1"/>
    <col min="14599" max="14599" width="9" style="2" bestFit="1" customWidth="1"/>
    <col min="14600" max="14600" width="9.5703125" style="2" bestFit="1" customWidth="1"/>
    <col min="14601" max="14601" width="9.85546875" style="2" bestFit="1" customWidth="1"/>
    <col min="14602" max="14602" width="9.5703125" style="2" bestFit="1" customWidth="1"/>
    <col min="14603" max="14850" width="9.140625" style="2"/>
    <col min="14851" max="14851" width="3" style="2" customWidth="1"/>
    <col min="14852" max="14852" width="50.7109375" style="2" customWidth="1"/>
    <col min="14853" max="14853" width="7.7109375" style="2" customWidth="1"/>
    <col min="14854" max="14854" width="9.85546875" style="2" bestFit="1" customWidth="1"/>
    <col min="14855" max="14855" width="9" style="2" bestFit="1" customWidth="1"/>
    <col min="14856" max="14856" width="9.5703125" style="2" bestFit="1" customWidth="1"/>
    <col min="14857" max="14857" width="9.85546875" style="2" bestFit="1" customWidth="1"/>
    <col min="14858" max="14858" width="9.5703125" style="2" bestFit="1" customWidth="1"/>
    <col min="14859" max="15106" width="9.140625" style="2"/>
    <col min="15107" max="15107" width="3" style="2" customWidth="1"/>
    <col min="15108" max="15108" width="50.7109375" style="2" customWidth="1"/>
    <col min="15109" max="15109" width="7.7109375" style="2" customWidth="1"/>
    <col min="15110" max="15110" width="9.85546875" style="2" bestFit="1" customWidth="1"/>
    <col min="15111" max="15111" width="9" style="2" bestFit="1" customWidth="1"/>
    <col min="15112" max="15112" width="9.5703125" style="2" bestFit="1" customWidth="1"/>
    <col min="15113" max="15113" width="9.85546875" style="2" bestFit="1" customWidth="1"/>
    <col min="15114" max="15114" width="9.5703125" style="2" bestFit="1" customWidth="1"/>
    <col min="15115" max="15362" width="9.140625" style="2"/>
    <col min="15363" max="15363" width="3" style="2" customWidth="1"/>
    <col min="15364" max="15364" width="50.7109375" style="2" customWidth="1"/>
    <col min="15365" max="15365" width="7.7109375" style="2" customWidth="1"/>
    <col min="15366" max="15366" width="9.85546875" style="2" bestFit="1" customWidth="1"/>
    <col min="15367" max="15367" width="9" style="2" bestFit="1" customWidth="1"/>
    <col min="15368" max="15368" width="9.5703125" style="2" bestFit="1" customWidth="1"/>
    <col min="15369" max="15369" width="9.85546875" style="2" bestFit="1" customWidth="1"/>
    <col min="15370" max="15370" width="9.5703125" style="2" bestFit="1" customWidth="1"/>
    <col min="15371" max="15618" width="9.140625" style="2"/>
    <col min="15619" max="15619" width="3" style="2" customWidth="1"/>
    <col min="15620" max="15620" width="50.7109375" style="2" customWidth="1"/>
    <col min="15621" max="15621" width="7.7109375" style="2" customWidth="1"/>
    <col min="15622" max="15622" width="9.85546875" style="2" bestFit="1" customWidth="1"/>
    <col min="15623" max="15623" width="9" style="2" bestFit="1" customWidth="1"/>
    <col min="15624" max="15624" width="9.5703125" style="2" bestFit="1" customWidth="1"/>
    <col min="15625" max="15625" width="9.85546875" style="2" bestFit="1" customWidth="1"/>
    <col min="15626" max="15626" width="9.5703125" style="2" bestFit="1" customWidth="1"/>
    <col min="15627" max="15874" width="9.140625" style="2"/>
    <col min="15875" max="15875" width="3" style="2" customWidth="1"/>
    <col min="15876" max="15876" width="50.7109375" style="2" customWidth="1"/>
    <col min="15877" max="15877" width="7.7109375" style="2" customWidth="1"/>
    <col min="15878" max="15878" width="9.85546875" style="2" bestFit="1" customWidth="1"/>
    <col min="15879" max="15879" width="9" style="2" bestFit="1" customWidth="1"/>
    <col min="15880" max="15880" width="9.5703125" style="2" bestFit="1" customWidth="1"/>
    <col min="15881" max="15881" width="9.85546875" style="2" bestFit="1" customWidth="1"/>
    <col min="15882" max="15882" width="9.5703125" style="2" bestFit="1" customWidth="1"/>
    <col min="15883" max="16130" width="9.140625" style="2"/>
    <col min="16131" max="16131" width="3" style="2" customWidth="1"/>
    <col min="16132" max="16132" width="50.7109375" style="2" customWidth="1"/>
    <col min="16133" max="16133" width="7.7109375" style="2" customWidth="1"/>
    <col min="16134" max="16134" width="9.85546875" style="2" bestFit="1" customWidth="1"/>
    <col min="16135" max="16135" width="9" style="2" bestFit="1" customWidth="1"/>
    <col min="16136" max="16136" width="9.5703125" style="2" bestFit="1" customWidth="1"/>
    <col min="16137" max="16137" width="9.85546875" style="2" bestFit="1" customWidth="1"/>
    <col min="16138" max="16138" width="9.5703125" style="2" bestFit="1" customWidth="1"/>
    <col min="16139" max="16384" width="9.140625" style="2"/>
  </cols>
  <sheetData>
    <row r="1" spans="1:10" ht="21" customHeight="1" x14ac:dyDescent="0.2">
      <c r="A1" s="572" t="s">
        <v>417</v>
      </c>
      <c r="B1" s="572"/>
      <c r="C1" s="572"/>
      <c r="D1" s="572"/>
      <c r="E1" s="572"/>
      <c r="F1" s="572"/>
      <c r="G1" s="572"/>
      <c r="H1" s="572"/>
      <c r="I1" s="562"/>
      <c r="J1" s="434"/>
    </row>
    <row r="2" spans="1:10" ht="18.75" customHeight="1" thickBot="1" x14ac:dyDescent="0.25">
      <c r="A2" s="626" t="s">
        <v>41</v>
      </c>
      <c r="B2" s="626"/>
      <c r="C2" s="626"/>
      <c r="D2" s="626"/>
      <c r="E2" s="626"/>
      <c r="F2" s="626"/>
      <c r="G2" s="626"/>
      <c r="H2" s="626"/>
      <c r="I2" s="300" t="s">
        <v>328</v>
      </c>
      <c r="J2" s="6"/>
    </row>
    <row r="3" spans="1:10" ht="25.5" customHeight="1" thickBot="1" x14ac:dyDescent="0.25">
      <c r="A3" s="629" t="s">
        <v>35</v>
      </c>
      <c r="B3" s="630"/>
      <c r="C3" s="432" t="s">
        <v>242</v>
      </c>
      <c r="D3" s="471" t="s">
        <v>329</v>
      </c>
      <c r="E3" s="471" t="s">
        <v>373</v>
      </c>
      <c r="F3" s="471" t="s">
        <v>396</v>
      </c>
      <c r="G3" s="471" t="s">
        <v>411</v>
      </c>
      <c r="H3" s="472" t="s">
        <v>387</v>
      </c>
      <c r="I3" s="286" t="s">
        <v>375</v>
      </c>
    </row>
    <row r="4" spans="1:10" ht="21" customHeight="1" x14ac:dyDescent="0.2">
      <c r="A4" s="40" t="s">
        <v>20</v>
      </c>
      <c r="B4" s="277"/>
      <c r="C4" s="277"/>
      <c r="D4" s="276"/>
      <c r="E4" s="276"/>
      <c r="F4" s="276"/>
      <c r="G4" s="276"/>
      <c r="H4" s="276"/>
      <c r="I4" s="276"/>
    </row>
    <row r="5" spans="1:10" s="6" customFormat="1" ht="18" customHeight="1" x14ac:dyDescent="0.2">
      <c r="A5" s="41" t="s">
        <v>17</v>
      </c>
      <c r="B5" s="288"/>
      <c r="C5" s="288"/>
      <c r="D5" s="287"/>
      <c r="E5" s="287"/>
      <c r="F5" s="287"/>
      <c r="G5" s="287"/>
      <c r="H5" s="287"/>
      <c r="I5" s="287"/>
    </row>
    <row r="6" spans="1:10" ht="25.5" x14ac:dyDescent="0.2">
      <c r="A6" s="43" t="s">
        <v>36</v>
      </c>
      <c r="B6" s="44" t="s">
        <v>58</v>
      </c>
      <c r="C6" s="45" t="s">
        <v>61</v>
      </c>
      <c r="D6" s="436">
        <f>SUM(D7:D7)</f>
        <v>0</v>
      </c>
      <c r="E6" s="449">
        <f t="shared" ref="E6:I6" si="0">SUM(E7:E7)</f>
        <v>0</v>
      </c>
      <c r="F6" s="449">
        <v>0</v>
      </c>
      <c r="G6" s="449"/>
      <c r="H6" s="449">
        <f t="shared" si="0"/>
        <v>0</v>
      </c>
      <c r="I6" s="443">
        <f t="shared" si="0"/>
        <v>0</v>
      </c>
    </row>
    <row r="7" spans="1:10" ht="12.75" x14ac:dyDescent="0.2">
      <c r="A7" s="15" t="s">
        <v>36</v>
      </c>
      <c r="B7" s="7"/>
      <c r="C7" s="25"/>
      <c r="D7" s="437"/>
      <c r="E7" s="178"/>
      <c r="F7" s="178"/>
      <c r="G7" s="178"/>
      <c r="H7" s="178"/>
      <c r="I7" s="444"/>
    </row>
    <row r="8" spans="1:10" ht="15" customHeight="1" x14ac:dyDescent="0.2">
      <c r="A8" s="17" t="s">
        <v>37</v>
      </c>
      <c r="B8" s="20" t="s">
        <v>240</v>
      </c>
      <c r="C8" s="23" t="s">
        <v>289</v>
      </c>
      <c r="D8" s="438">
        <f>SUM(D9:D9)</f>
        <v>335000</v>
      </c>
      <c r="E8" s="179">
        <v>0</v>
      </c>
      <c r="F8" s="179">
        <v>0</v>
      </c>
      <c r="G8" s="179"/>
      <c r="H8" s="412">
        <f t="shared" ref="H8:I8" si="1">SUM(H9:H9)</f>
        <v>380000</v>
      </c>
      <c r="I8" s="445">
        <f t="shared" si="1"/>
        <v>380000</v>
      </c>
    </row>
    <row r="9" spans="1:10" ht="15" customHeight="1" x14ac:dyDescent="0.2">
      <c r="A9" s="15" t="s">
        <v>36</v>
      </c>
      <c r="B9" s="7" t="s">
        <v>330</v>
      </c>
      <c r="C9" s="25"/>
      <c r="D9" s="439">
        <v>335000</v>
      </c>
      <c r="E9" s="411">
        <v>0</v>
      </c>
      <c r="F9" s="411">
        <v>0</v>
      </c>
      <c r="G9" s="411">
        <f>H9-F9-E9-D9</f>
        <v>45000</v>
      </c>
      <c r="H9" s="411">
        <v>380000</v>
      </c>
      <c r="I9" s="446">
        <f>190000+190000</f>
        <v>380000</v>
      </c>
    </row>
    <row r="10" spans="1:10" ht="15" customHeight="1" x14ac:dyDescent="0.2">
      <c r="A10" s="17" t="s">
        <v>38</v>
      </c>
      <c r="B10" s="18" t="s">
        <v>388</v>
      </c>
      <c r="C10" s="23" t="s">
        <v>289</v>
      </c>
      <c r="D10" s="438">
        <f>SUM(D11:D11)</f>
        <v>0</v>
      </c>
      <c r="E10" s="179">
        <v>0</v>
      </c>
      <c r="F10" s="179">
        <v>0</v>
      </c>
      <c r="G10" s="179">
        <f t="shared" ref="G10:G27" si="2">H10-F10-E10-D10</f>
        <v>91924</v>
      </c>
      <c r="H10" s="412">
        <f t="shared" ref="H10:I10" si="3">SUM(H11:H11)</f>
        <v>91924</v>
      </c>
      <c r="I10" s="445">
        <f t="shared" si="3"/>
        <v>91924</v>
      </c>
    </row>
    <row r="11" spans="1:10" ht="15" customHeight="1" x14ac:dyDescent="0.2">
      <c r="A11" s="15" t="s">
        <v>36</v>
      </c>
      <c r="B11" s="7" t="s">
        <v>389</v>
      </c>
      <c r="C11" s="25"/>
      <c r="D11" s="439"/>
      <c r="E11" s="411"/>
      <c r="F11" s="411">
        <v>0</v>
      </c>
      <c r="G11" s="411">
        <f t="shared" si="2"/>
        <v>91924</v>
      </c>
      <c r="H11" s="411">
        <v>91924</v>
      </c>
      <c r="I11" s="446">
        <v>91924</v>
      </c>
    </row>
    <row r="12" spans="1:10" ht="26.25" customHeight="1" x14ac:dyDescent="0.2">
      <c r="A12" s="17" t="s">
        <v>39</v>
      </c>
      <c r="B12" s="18" t="s">
        <v>30</v>
      </c>
      <c r="C12" s="23" t="s">
        <v>289</v>
      </c>
      <c r="D12" s="438">
        <f>SUM(D13:D19)</f>
        <v>7998943</v>
      </c>
      <c r="E12" s="179">
        <v>0</v>
      </c>
      <c r="F12" s="179">
        <v>0</v>
      </c>
      <c r="G12" s="179">
        <f t="shared" si="2"/>
        <v>-4795943</v>
      </c>
      <c r="H12" s="412">
        <f>SUM(H13:H19)</f>
        <v>3203000</v>
      </c>
      <c r="I12" s="445">
        <f>SUM(I13:I19)</f>
        <v>3203000</v>
      </c>
    </row>
    <row r="13" spans="1:10" ht="22.5" customHeight="1" x14ac:dyDescent="0.2">
      <c r="A13" s="15" t="s">
        <v>36</v>
      </c>
      <c r="B13" s="3" t="s">
        <v>351</v>
      </c>
      <c r="C13" s="4"/>
      <c r="D13" s="440">
        <v>2613050</v>
      </c>
      <c r="E13" s="411">
        <v>0</v>
      </c>
      <c r="F13" s="411">
        <v>0</v>
      </c>
      <c r="G13" s="411">
        <f t="shared" si="2"/>
        <v>0</v>
      </c>
      <c r="H13" s="450">
        <v>2613050</v>
      </c>
      <c r="I13" s="447">
        <v>2613050</v>
      </c>
    </row>
    <row r="14" spans="1:10" ht="22.5" customHeight="1" x14ac:dyDescent="0.2">
      <c r="A14" s="15" t="s">
        <v>37</v>
      </c>
      <c r="B14" s="4" t="s">
        <v>350</v>
      </c>
      <c r="C14" s="4"/>
      <c r="D14" s="440">
        <f>3517034+92760</f>
        <v>3609794</v>
      </c>
      <c r="E14" s="411">
        <v>0</v>
      </c>
      <c r="F14" s="411">
        <v>0</v>
      </c>
      <c r="G14" s="411">
        <f t="shared" si="2"/>
        <v>-3609794</v>
      </c>
      <c r="H14" s="450">
        <v>0</v>
      </c>
      <c r="I14" s="447">
        <v>0</v>
      </c>
    </row>
    <row r="15" spans="1:10" ht="15" customHeight="1" x14ac:dyDescent="0.2">
      <c r="A15" s="15" t="s">
        <v>39</v>
      </c>
      <c r="B15" s="3" t="s">
        <v>331</v>
      </c>
      <c r="C15" s="25"/>
      <c r="D15" s="440">
        <v>446157</v>
      </c>
      <c r="E15" s="411">
        <v>0</v>
      </c>
      <c r="F15" s="411">
        <v>0</v>
      </c>
      <c r="G15" s="411">
        <f t="shared" si="2"/>
        <v>0</v>
      </c>
      <c r="H15" s="450">
        <v>446157</v>
      </c>
      <c r="I15" s="447">
        <v>446157</v>
      </c>
    </row>
    <row r="16" spans="1:10" ht="15" customHeight="1" x14ac:dyDescent="0.2">
      <c r="A16" s="15"/>
      <c r="B16" s="3" t="s">
        <v>401</v>
      </c>
      <c r="C16" s="25"/>
      <c r="D16" s="440"/>
      <c r="E16" s="411"/>
      <c r="F16" s="411">
        <v>0</v>
      </c>
      <c r="G16" s="411">
        <f t="shared" si="2"/>
        <v>143793</v>
      </c>
      <c r="H16" s="450">
        <v>143793</v>
      </c>
      <c r="I16" s="447">
        <v>143793</v>
      </c>
    </row>
    <row r="17" spans="1:9" ht="15" customHeight="1" x14ac:dyDescent="0.2">
      <c r="A17" s="15" t="s">
        <v>40</v>
      </c>
      <c r="B17" s="3" t="s">
        <v>349</v>
      </c>
      <c r="C17" s="25"/>
      <c r="D17" s="440">
        <v>629942</v>
      </c>
      <c r="E17" s="411">
        <v>0</v>
      </c>
      <c r="F17" s="411">
        <v>0</v>
      </c>
      <c r="G17" s="411">
        <f t="shared" si="2"/>
        <v>-629942</v>
      </c>
      <c r="H17" s="450">
        <v>0</v>
      </c>
      <c r="I17" s="447">
        <v>0</v>
      </c>
    </row>
    <row r="18" spans="1:9" ht="15" customHeight="1" x14ac:dyDescent="0.2">
      <c r="A18" s="15" t="s">
        <v>44</v>
      </c>
      <c r="B18" s="4" t="s">
        <v>352</v>
      </c>
      <c r="C18" s="25"/>
      <c r="D18" s="440">
        <v>700000</v>
      </c>
      <c r="E18" s="411">
        <v>0</v>
      </c>
      <c r="F18" s="411">
        <v>0</v>
      </c>
      <c r="G18" s="411">
        <f t="shared" si="2"/>
        <v>-700000</v>
      </c>
      <c r="H18" s="450">
        <v>0</v>
      </c>
      <c r="I18" s="447">
        <v>0</v>
      </c>
    </row>
    <row r="19" spans="1:9" ht="15" customHeight="1" x14ac:dyDescent="0.2">
      <c r="A19" s="15" t="s">
        <v>46</v>
      </c>
      <c r="B19" s="279" t="s">
        <v>332</v>
      </c>
      <c r="C19" s="25"/>
      <c r="D19" s="441">
        <v>0</v>
      </c>
      <c r="E19" s="411">
        <v>0</v>
      </c>
      <c r="F19" s="411">
        <v>0</v>
      </c>
      <c r="G19" s="411">
        <f t="shared" si="2"/>
        <v>0</v>
      </c>
      <c r="H19" s="450">
        <v>0</v>
      </c>
      <c r="I19" s="447">
        <v>0</v>
      </c>
    </row>
    <row r="20" spans="1:9" ht="22.5" customHeight="1" x14ac:dyDescent="0.2">
      <c r="A20" s="17" t="s">
        <v>40</v>
      </c>
      <c r="B20" s="18" t="s">
        <v>57</v>
      </c>
      <c r="C20" s="23" t="s">
        <v>289</v>
      </c>
      <c r="D20" s="438">
        <f>SUM(D21:D21)</f>
        <v>38850</v>
      </c>
      <c r="E20" s="179">
        <v>0</v>
      </c>
      <c r="F20" s="179">
        <v>0</v>
      </c>
      <c r="G20" s="179">
        <f t="shared" si="2"/>
        <v>1710</v>
      </c>
      <c r="H20" s="412">
        <f t="shared" ref="H20:I20" si="4">SUM(H21:H21)</f>
        <v>40560</v>
      </c>
      <c r="I20" s="445">
        <f t="shared" si="4"/>
        <v>40560</v>
      </c>
    </row>
    <row r="21" spans="1:9" ht="12.75" x14ac:dyDescent="0.2">
      <c r="A21" s="15" t="s">
        <v>36</v>
      </c>
      <c r="B21" s="4" t="s">
        <v>305</v>
      </c>
      <c r="C21" s="25"/>
      <c r="D21" s="441">
        <v>38850</v>
      </c>
      <c r="E21" s="411">
        <v>0</v>
      </c>
      <c r="F21" s="411">
        <v>0</v>
      </c>
      <c r="G21" s="411">
        <f t="shared" si="2"/>
        <v>1710</v>
      </c>
      <c r="H21" s="450">
        <v>40560</v>
      </c>
      <c r="I21" s="447">
        <v>40560</v>
      </c>
    </row>
    <row r="22" spans="1:9" ht="23.25" customHeight="1" x14ac:dyDescent="0.2">
      <c r="A22" s="631" t="s">
        <v>0</v>
      </c>
      <c r="B22" s="632"/>
      <c r="C22" s="26"/>
      <c r="D22" s="442">
        <f>D8+D10+D12+D20</f>
        <v>8372793</v>
      </c>
      <c r="E22" s="451">
        <v>0</v>
      </c>
      <c r="F22" s="451">
        <v>0</v>
      </c>
      <c r="G22" s="451">
        <f t="shared" si="2"/>
        <v>-4657309</v>
      </c>
      <c r="H22" s="452">
        <f>H8+H10+H12+H20</f>
        <v>3715484</v>
      </c>
      <c r="I22" s="448">
        <f>I8+I10+I12+I20</f>
        <v>3715484</v>
      </c>
    </row>
    <row r="23" spans="1:9" ht="24" customHeight="1" x14ac:dyDescent="0.2">
      <c r="A23" s="639" t="s">
        <v>333</v>
      </c>
      <c r="B23" s="640"/>
      <c r="C23" s="640"/>
      <c r="D23" s="641"/>
      <c r="E23" s="2"/>
      <c r="F23" s="2"/>
      <c r="G23" s="2">
        <f t="shared" si="2"/>
        <v>0</v>
      </c>
      <c r="H23" s="279"/>
      <c r="I23" s="341"/>
    </row>
    <row r="24" spans="1:9" ht="22.5" customHeight="1" x14ac:dyDescent="0.2">
      <c r="A24" s="19" t="s">
        <v>36</v>
      </c>
      <c r="B24" s="18" t="s">
        <v>30</v>
      </c>
      <c r="C24" s="23" t="s">
        <v>59</v>
      </c>
      <c r="D24" s="453">
        <f>SUM(D25:D25)</f>
        <v>0</v>
      </c>
      <c r="E24" s="176">
        <v>250150</v>
      </c>
      <c r="F24" s="176">
        <v>0</v>
      </c>
      <c r="G24" s="176">
        <f t="shared" si="2"/>
        <v>0</v>
      </c>
      <c r="H24" s="459">
        <f t="shared" ref="H24:I24" si="5">SUM(H25:H25)</f>
        <v>250150</v>
      </c>
      <c r="I24" s="456">
        <f t="shared" si="5"/>
        <v>250150</v>
      </c>
    </row>
    <row r="25" spans="1:9" ht="15" customHeight="1" x14ac:dyDescent="0.2">
      <c r="A25" s="15"/>
      <c r="B25" s="7" t="s">
        <v>390</v>
      </c>
      <c r="C25" s="25"/>
      <c r="D25" s="441">
        <v>0</v>
      </c>
      <c r="E25" s="304">
        <v>250150</v>
      </c>
      <c r="F25" s="304">
        <v>0</v>
      </c>
      <c r="G25" s="304">
        <f t="shared" si="2"/>
        <v>0</v>
      </c>
      <c r="H25" s="450">
        <v>250150</v>
      </c>
      <c r="I25" s="447">
        <v>250150</v>
      </c>
    </row>
    <row r="26" spans="1:9" ht="21" customHeight="1" thickBot="1" x14ac:dyDescent="0.25">
      <c r="A26" s="633" t="s">
        <v>6</v>
      </c>
      <c r="B26" s="634"/>
      <c r="C26" s="24" t="s">
        <v>59</v>
      </c>
      <c r="D26" s="454">
        <f>D24</f>
        <v>0</v>
      </c>
      <c r="E26" s="460">
        <v>250150</v>
      </c>
      <c r="F26" s="460">
        <v>0</v>
      </c>
      <c r="G26" s="460">
        <f t="shared" si="2"/>
        <v>0</v>
      </c>
      <c r="H26" s="461">
        <f t="shared" ref="H26:I26" si="6">H24</f>
        <v>250150</v>
      </c>
      <c r="I26" s="457">
        <f t="shared" si="6"/>
        <v>250150</v>
      </c>
    </row>
    <row r="27" spans="1:9" ht="18" customHeight="1" thickBot="1" x14ac:dyDescent="0.25">
      <c r="A27" s="627" t="s">
        <v>18</v>
      </c>
      <c r="B27" s="628"/>
      <c r="C27" s="27" t="s">
        <v>334</v>
      </c>
      <c r="D27" s="455">
        <f>D22+D26</f>
        <v>8372793</v>
      </c>
      <c r="E27" s="462">
        <v>250150</v>
      </c>
      <c r="F27" s="462">
        <v>0</v>
      </c>
      <c r="G27" s="462">
        <f t="shared" si="2"/>
        <v>-4657309</v>
      </c>
      <c r="H27" s="463">
        <f t="shared" ref="H27:I27" si="7">H22+H26</f>
        <v>3965634</v>
      </c>
      <c r="I27" s="458">
        <f t="shared" si="7"/>
        <v>3965634</v>
      </c>
    </row>
    <row r="28" spans="1:9" ht="15" customHeight="1" x14ac:dyDescent="0.2">
      <c r="A28" s="635" t="s">
        <v>21</v>
      </c>
      <c r="B28" s="636"/>
      <c r="C28" s="636"/>
      <c r="D28" s="636"/>
      <c r="E28" s="464"/>
      <c r="F28" s="2"/>
      <c r="G28" s="2"/>
      <c r="H28" s="341"/>
      <c r="I28" s="341"/>
    </row>
    <row r="29" spans="1:9" ht="15" customHeight="1" x14ac:dyDescent="0.2">
      <c r="A29" s="637" t="s">
        <v>19</v>
      </c>
      <c r="B29" s="638"/>
      <c r="C29" s="638"/>
      <c r="D29" s="638"/>
      <c r="E29" s="219"/>
      <c r="F29" s="2"/>
      <c r="G29" s="2"/>
      <c r="H29" s="341"/>
      <c r="I29" s="341"/>
    </row>
    <row r="30" spans="1:9" ht="15" customHeight="1" x14ac:dyDescent="0.2">
      <c r="A30" s="21" t="s">
        <v>36</v>
      </c>
      <c r="B30" s="247" t="s">
        <v>7</v>
      </c>
      <c r="C30" s="23" t="s">
        <v>290</v>
      </c>
      <c r="D30" s="453">
        <f>SUM(D31:D31)</f>
        <v>1000000</v>
      </c>
      <c r="E30" s="176">
        <f t="shared" ref="E30" si="8">SUM(E31:E31)</f>
        <v>0</v>
      </c>
      <c r="F30" s="176">
        <v>0</v>
      </c>
      <c r="G30" s="176"/>
      <c r="H30" s="459">
        <f t="shared" ref="H30:I30" si="9">SUM(H31:H31)</f>
        <v>0</v>
      </c>
      <c r="I30" s="456">
        <f t="shared" si="9"/>
        <v>0</v>
      </c>
    </row>
    <row r="31" spans="1:9" ht="15" customHeight="1" x14ac:dyDescent="0.2">
      <c r="A31" s="16"/>
      <c r="B31" s="248" t="s">
        <v>353</v>
      </c>
      <c r="C31" s="25"/>
      <c r="D31" s="440">
        <v>1000000</v>
      </c>
      <c r="E31" s="450"/>
      <c r="F31" s="411">
        <v>0</v>
      </c>
      <c r="G31" s="411">
        <f>H31-F31-E31-D31</f>
        <v>-1000000</v>
      </c>
      <c r="H31" s="450">
        <v>0</v>
      </c>
      <c r="I31" s="447">
        <v>0</v>
      </c>
    </row>
    <row r="32" spans="1:9" ht="15" customHeight="1" x14ac:dyDescent="0.2">
      <c r="A32" s="21" t="s">
        <v>37</v>
      </c>
      <c r="B32" s="247" t="s">
        <v>54</v>
      </c>
      <c r="C32" s="23" t="s">
        <v>290</v>
      </c>
      <c r="D32" s="453">
        <f>SUM(D33:D33)</f>
        <v>0</v>
      </c>
      <c r="E32" s="176">
        <f t="shared" ref="E32" si="10">SUM(E33:E33)</f>
        <v>0</v>
      </c>
      <c r="F32" s="176">
        <v>0</v>
      </c>
      <c r="G32" s="176">
        <f t="shared" ref="G32:G50" si="11">H32-F32-E32-D32</f>
        <v>0</v>
      </c>
      <c r="H32" s="459">
        <f t="shared" ref="H32:I32" si="12">SUM(H33:H33)</f>
        <v>0</v>
      </c>
      <c r="I32" s="456">
        <f t="shared" si="12"/>
        <v>0</v>
      </c>
    </row>
    <row r="33" spans="1:9" ht="15" customHeight="1" x14ac:dyDescent="0.2">
      <c r="A33" s="16" t="s">
        <v>36</v>
      </c>
      <c r="B33" s="11" t="s">
        <v>55</v>
      </c>
      <c r="C33" s="25"/>
      <c r="D33" s="465"/>
      <c r="E33" s="469"/>
      <c r="F33" s="411">
        <v>0</v>
      </c>
      <c r="G33" s="411">
        <f t="shared" si="11"/>
        <v>0</v>
      </c>
      <c r="H33" s="450"/>
      <c r="I33" s="447"/>
    </row>
    <row r="34" spans="1:9" ht="15" customHeight="1" x14ac:dyDescent="0.2">
      <c r="A34" s="19" t="s">
        <v>38</v>
      </c>
      <c r="B34" s="247" t="s">
        <v>62</v>
      </c>
      <c r="C34" s="23" t="s">
        <v>290</v>
      </c>
      <c r="D34" s="453">
        <f>SUM(D35:D47)</f>
        <v>2962000</v>
      </c>
      <c r="E34" s="176">
        <f t="shared" ref="E34" si="13">SUM(E35:E47)</f>
        <v>0</v>
      </c>
      <c r="F34" s="176">
        <v>0</v>
      </c>
      <c r="G34" s="176">
        <f t="shared" si="11"/>
        <v>-1380000</v>
      </c>
      <c r="H34" s="459">
        <f t="shared" ref="H34:I34" si="14">SUM(H35:H47)</f>
        <v>1582000</v>
      </c>
      <c r="I34" s="456">
        <f t="shared" si="14"/>
        <v>1582000</v>
      </c>
    </row>
    <row r="35" spans="1:9" ht="15" customHeight="1" x14ac:dyDescent="0.2">
      <c r="A35" s="16" t="s">
        <v>36</v>
      </c>
      <c r="B35" s="11" t="s">
        <v>335</v>
      </c>
      <c r="C35" s="25"/>
      <c r="D35" s="441">
        <v>500000</v>
      </c>
      <c r="E35" s="304"/>
      <c r="F35" s="411">
        <v>0</v>
      </c>
      <c r="G35" s="411">
        <f t="shared" si="11"/>
        <v>-500000</v>
      </c>
      <c r="H35" s="450">
        <v>0</v>
      </c>
      <c r="I35" s="447">
        <v>0</v>
      </c>
    </row>
    <row r="36" spans="1:9" ht="15" customHeight="1" x14ac:dyDescent="0.2">
      <c r="A36" s="16" t="s">
        <v>37</v>
      </c>
      <c r="B36" s="11" t="s">
        <v>336</v>
      </c>
      <c r="C36" s="25"/>
      <c r="D36" s="441">
        <v>130000</v>
      </c>
      <c r="E36" s="304"/>
      <c r="F36" s="411">
        <v>0</v>
      </c>
      <c r="G36" s="411">
        <f t="shared" si="11"/>
        <v>-130000</v>
      </c>
      <c r="H36" s="450">
        <v>0</v>
      </c>
      <c r="I36" s="447">
        <v>0</v>
      </c>
    </row>
    <row r="37" spans="1:9" ht="15" customHeight="1" x14ac:dyDescent="0.2">
      <c r="A37" s="16" t="s">
        <v>38</v>
      </c>
      <c r="B37" s="11" t="s">
        <v>346</v>
      </c>
      <c r="C37" s="25"/>
      <c r="D37" s="441">
        <v>200000</v>
      </c>
      <c r="E37" s="304"/>
      <c r="F37" s="411">
        <v>0</v>
      </c>
      <c r="G37" s="411">
        <f t="shared" si="11"/>
        <v>0</v>
      </c>
      <c r="H37" s="450">
        <v>200000</v>
      </c>
      <c r="I37" s="447">
        <f>80000+120000</f>
        <v>200000</v>
      </c>
    </row>
    <row r="38" spans="1:9" ht="15" customHeight="1" x14ac:dyDescent="0.2">
      <c r="A38" s="16" t="s">
        <v>39</v>
      </c>
      <c r="B38" s="11" t="s">
        <v>337</v>
      </c>
      <c r="C38" s="25"/>
      <c r="D38" s="440">
        <v>150000</v>
      </c>
      <c r="E38" s="450"/>
      <c r="F38" s="411">
        <v>0</v>
      </c>
      <c r="G38" s="411">
        <f t="shared" si="11"/>
        <v>0</v>
      </c>
      <c r="H38" s="450">
        <v>150000</v>
      </c>
      <c r="I38" s="447">
        <f>150000</f>
        <v>150000</v>
      </c>
    </row>
    <row r="39" spans="1:9" ht="15" customHeight="1" x14ac:dyDescent="0.2">
      <c r="A39" s="16" t="s">
        <v>40</v>
      </c>
      <c r="B39" s="2" t="s">
        <v>338</v>
      </c>
      <c r="C39" s="25"/>
      <c r="D39" s="440">
        <v>20000</v>
      </c>
      <c r="E39" s="450"/>
      <c r="F39" s="411">
        <v>0</v>
      </c>
      <c r="G39" s="411">
        <f t="shared" si="11"/>
        <v>10000</v>
      </c>
      <c r="H39" s="450">
        <v>30000</v>
      </c>
      <c r="I39" s="447">
        <f>10000+10000+10000</f>
        <v>30000</v>
      </c>
    </row>
    <row r="40" spans="1:9" ht="15" customHeight="1" x14ac:dyDescent="0.2">
      <c r="A40" s="16" t="s">
        <v>44</v>
      </c>
      <c r="B40" s="11" t="s">
        <v>347</v>
      </c>
      <c r="C40" s="25"/>
      <c r="D40" s="441">
        <v>600000</v>
      </c>
      <c r="E40" s="304"/>
      <c r="F40" s="411">
        <v>0</v>
      </c>
      <c r="G40" s="411">
        <f t="shared" si="11"/>
        <v>-600000</v>
      </c>
      <c r="H40" s="450">
        <v>0</v>
      </c>
      <c r="I40" s="447">
        <v>0</v>
      </c>
    </row>
    <row r="41" spans="1:9" ht="15" customHeight="1" x14ac:dyDescent="0.2">
      <c r="A41" s="16" t="s">
        <v>46</v>
      </c>
      <c r="B41" s="11" t="s">
        <v>339</v>
      </c>
      <c r="C41" s="25"/>
      <c r="D41" s="441">
        <v>100000</v>
      </c>
      <c r="E41" s="304"/>
      <c r="F41" s="411">
        <v>0</v>
      </c>
      <c r="G41" s="411">
        <f t="shared" si="11"/>
        <v>0</v>
      </c>
      <c r="H41" s="450">
        <v>100000</v>
      </c>
      <c r="I41" s="447">
        <f>100000</f>
        <v>100000</v>
      </c>
    </row>
    <row r="42" spans="1:9" ht="15" customHeight="1" x14ac:dyDescent="0.2">
      <c r="A42" s="16" t="s">
        <v>47</v>
      </c>
      <c r="B42" s="11" t="s">
        <v>348</v>
      </c>
      <c r="C42" s="25"/>
      <c r="D42" s="441">
        <v>200000</v>
      </c>
      <c r="E42" s="304"/>
      <c r="F42" s="411">
        <v>0</v>
      </c>
      <c r="G42" s="411">
        <f t="shared" si="11"/>
        <v>0</v>
      </c>
      <c r="H42" s="450">
        <v>200000</v>
      </c>
      <c r="I42" s="447">
        <f>100000+100000</f>
        <v>200000</v>
      </c>
    </row>
    <row r="43" spans="1:9" ht="15" customHeight="1" x14ac:dyDescent="0.2">
      <c r="A43" s="16" t="s">
        <v>48</v>
      </c>
      <c r="B43" s="11" t="s">
        <v>354</v>
      </c>
      <c r="C43" s="25"/>
      <c r="D43" s="441">
        <v>12000</v>
      </c>
      <c r="E43" s="304"/>
      <c r="F43" s="411">
        <v>0</v>
      </c>
      <c r="G43" s="411">
        <f t="shared" si="11"/>
        <v>0</v>
      </c>
      <c r="H43" s="450">
        <v>12000</v>
      </c>
      <c r="I43" s="447">
        <v>12000</v>
      </c>
    </row>
    <row r="44" spans="1:9" ht="15" customHeight="1" x14ac:dyDescent="0.2">
      <c r="A44" s="16" t="s">
        <v>49</v>
      </c>
      <c r="B44" s="11" t="s">
        <v>340</v>
      </c>
      <c r="C44" s="25"/>
      <c r="D44" s="441">
        <v>100000</v>
      </c>
      <c r="E44" s="304"/>
      <c r="F44" s="411">
        <v>0</v>
      </c>
      <c r="G44" s="411">
        <f t="shared" si="11"/>
        <v>-100000</v>
      </c>
      <c r="H44" s="450">
        <v>0</v>
      </c>
      <c r="I44" s="447">
        <v>0</v>
      </c>
    </row>
    <row r="45" spans="1:9" ht="15" customHeight="1" x14ac:dyDescent="0.2">
      <c r="A45" s="16" t="s">
        <v>22</v>
      </c>
      <c r="B45" s="11" t="s">
        <v>341</v>
      </c>
      <c r="C45" s="25"/>
      <c r="D45" s="441">
        <v>750000</v>
      </c>
      <c r="E45" s="304"/>
      <c r="F45" s="411">
        <v>0</v>
      </c>
      <c r="G45" s="411">
        <f t="shared" si="11"/>
        <v>0</v>
      </c>
      <c r="H45" s="450">
        <v>750000</v>
      </c>
      <c r="I45" s="447">
        <v>750000</v>
      </c>
    </row>
    <row r="46" spans="1:9" ht="15" customHeight="1" x14ac:dyDescent="0.2">
      <c r="A46" s="16" t="s">
        <v>23</v>
      </c>
      <c r="B46" s="11" t="s">
        <v>56</v>
      </c>
      <c r="C46" s="25"/>
      <c r="D46" s="441">
        <v>0</v>
      </c>
      <c r="E46" s="304"/>
      <c r="F46" s="411">
        <v>0</v>
      </c>
      <c r="G46" s="411">
        <f t="shared" si="11"/>
        <v>0</v>
      </c>
      <c r="H46" s="450">
        <v>0</v>
      </c>
      <c r="I46" s="447">
        <v>0</v>
      </c>
    </row>
    <row r="47" spans="1:9" ht="15" customHeight="1" x14ac:dyDescent="0.2">
      <c r="A47" s="280" t="s">
        <v>27</v>
      </c>
      <c r="B47" s="281" t="s">
        <v>342</v>
      </c>
      <c r="C47" s="282"/>
      <c r="D47" s="440">
        <v>200000</v>
      </c>
      <c r="E47" s="450"/>
      <c r="F47" s="411">
        <v>0</v>
      </c>
      <c r="G47" s="411">
        <f t="shared" si="11"/>
        <v>-60000</v>
      </c>
      <c r="H47" s="450">
        <v>140000</v>
      </c>
      <c r="I47" s="447">
        <f>50000+50000+40000</f>
        <v>140000</v>
      </c>
    </row>
    <row r="48" spans="1:9" ht="18" customHeight="1" x14ac:dyDescent="0.2">
      <c r="A48" s="631" t="s">
        <v>8</v>
      </c>
      <c r="B48" s="632"/>
      <c r="C48" s="26" t="s">
        <v>290</v>
      </c>
      <c r="D48" s="442">
        <f>D30+D32+D34</f>
        <v>3962000</v>
      </c>
      <c r="E48" s="451">
        <f t="shared" ref="E48" si="15">E30+E32+E34</f>
        <v>0</v>
      </c>
      <c r="F48" s="451">
        <v>0</v>
      </c>
      <c r="G48" s="451">
        <f t="shared" si="11"/>
        <v>-2380000</v>
      </c>
      <c r="H48" s="452">
        <f t="shared" ref="H48:I48" si="16">H30+H32+H34</f>
        <v>1582000</v>
      </c>
      <c r="I48" s="448">
        <f t="shared" si="16"/>
        <v>1582000</v>
      </c>
    </row>
    <row r="49" spans="1:9" ht="15" customHeight="1" x14ac:dyDescent="0.2">
      <c r="A49" s="16"/>
      <c r="B49" s="11"/>
      <c r="C49" s="25"/>
      <c r="D49" s="441"/>
      <c r="E49" s="304"/>
      <c r="F49" s="411"/>
      <c r="G49" s="411"/>
      <c r="H49" s="450"/>
      <c r="I49" s="447"/>
    </row>
    <row r="50" spans="1:9" ht="18" customHeight="1" x14ac:dyDescent="0.2">
      <c r="A50" s="631" t="s">
        <v>343</v>
      </c>
      <c r="B50" s="632"/>
      <c r="C50" s="26" t="s">
        <v>290</v>
      </c>
      <c r="D50" s="442">
        <f>D49</f>
        <v>0</v>
      </c>
      <c r="E50" s="451">
        <f t="shared" ref="E50" si="17">E49</f>
        <v>0</v>
      </c>
      <c r="F50" s="451">
        <v>0</v>
      </c>
      <c r="G50" s="451">
        <f t="shared" si="11"/>
        <v>0</v>
      </c>
      <c r="H50" s="452">
        <f t="shared" ref="H50:I50" si="18">H49</f>
        <v>0</v>
      </c>
      <c r="I50" s="448">
        <f t="shared" si="18"/>
        <v>0</v>
      </c>
    </row>
    <row r="51" spans="1:9" ht="15" customHeight="1" thickBot="1" x14ac:dyDescent="0.25">
      <c r="A51" s="633"/>
      <c r="B51" s="634"/>
      <c r="C51" s="24"/>
      <c r="D51" s="454"/>
      <c r="E51" s="460"/>
      <c r="F51" s="460"/>
      <c r="G51" s="460"/>
      <c r="H51" s="461"/>
      <c r="I51" s="457"/>
    </row>
    <row r="52" spans="1:9" ht="15" customHeight="1" thickBot="1" x14ac:dyDescent="0.25">
      <c r="A52" s="283" t="s">
        <v>344</v>
      </c>
      <c r="B52" s="284"/>
      <c r="C52" s="285" t="s">
        <v>290</v>
      </c>
      <c r="D52" s="466">
        <f>D48+D50</f>
        <v>3962000</v>
      </c>
      <c r="E52" s="470">
        <f t="shared" ref="E52:I52" si="19">E48+E50</f>
        <v>0</v>
      </c>
      <c r="F52" s="470">
        <f t="shared" si="19"/>
        <v>0</v>
      </c>
      <c r="G52" s="470">
        <f t="shared" si="19"/>
        <v>-2380000</v>
      </c>
      <c r="H52" s="470">
        <f t="shared" si="19"/>
        <v>1582000</v>
      </c>
      <c r="I52" s="467">
        <f t="shared" si="19"/>
        <v>1582000</v>
      </c>
    </row>
    <row r="53" spans="1:9" ht="20.25" customHeight="1" thickBot="1" x14ac:dyDescent="0.25">
      <c r="A53" s="627" t="s">
        <v>345</v>
      </c>
      <c r="B53" s="628"/>
      <c r="C53" s="27"/>
      <c r="D53" s="455">
        <f>D52+D27+D6</f>
        <v>12334793</v>
      </c>
      <c r="E53" s="462">
        <f t="shared" ref="E53:I53" si="20">E52+E27+E6</f>
        <v>250150</v>
      </c>
      <c r="F53" s="462">
        <f t="shared" si="20"/>
        <v>0</v>
      </c>
      <c r="G53" s="462">
        <f t="shared" si="20"/>
        <v>-7037309</v>
      </c>
      <c r="H53" s="462">
        <f t="shared" si="20"/>
        <v>5547634</v>
      </c>
      <c r="I53" s="468">
        <f t="shared" si="20"/>
        <v>5547634</v>
      </c>
    </row>
  </sheetData>
  <mergeCells count="13">
    <mergeCell ref="A51:B51"/>
    <mergeCell ref="A53:B53"/>
    <mergeCell ref="A28:D28"/>
    <mergeCell ref="A29:D29"/>
    <mergeCell ref="A48:B48"/>
    <mergeCell ref="A1:I1"/>
    <mergeCell ref="A2:H2"/>
    <mergeCell ref="A27:B27"/>
    <mergeCell ref="A3:B3"/>
    <mergeCell ref="A50:B50"/>
    <mergeCell ref="A22:B22"/>
    <mergeCell ref="A23:D23"/>
    <mergeCell ref="A26:B26"/>
  </mergeCells>
  <phoneticPr fontId="6" type="noConversion"/>
  <pageMargins left="0.61" right="0.16" top="0.54" bottom="0.41" header="0.26" footer="0.18"/>
  <pageSetup paperSize="9" scale="85" orientation="portrait" r:id="rId1"/>
  <headerFooter alignWithMargins="0">
    <oddHeader>&amp;R5. számú melléklet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6"/>
    <pageSetUpPr fitToPage="1"/>
  </sheetPr>
  <dimension ref="A1:L67"/>
  <sheetViews>
    <sheetView zoomScaleNormal="100" workbookViewId="0">
      <selection activeCell="O49" sqref="O49"/>
    </sheetView>
  </sheetViews>
  <sheetFormatPr defaultRowHeight="15" customHeight="1" x14ac:dyDescent="0.2"/>
  <cols>
    <col min="1" max="1" width="2.42578125" style="1" bestFit="1" customWidth="1"/>
    <col min="2" max="3" width="2.42578125" style="2" bestFit="1" customWidth="1"/>
    <col min="4" max="4" width="2.42578125" style="2" customWidth="1"/>
    <col min="5" max="5" width="47.28515625" style="2" customWidth="1"/>
    <col min="6" max="6" width="8.140625" style="10" bestFit="1" customWidth="1"/>
    <col min="7" max="7" width="9.85546875" style="10" bestFit="1" customWidth="1"/>
    <col min="8" max="8" width="10.28515625" style="10" customWidth="1"/>
    <col min="9" max="9" width="9.85546875" style="10" bestFit="1" customWidth="1"/>
    <col min="10" max="10" width="10.42578125" style="10" bestFit="1" customWidth="1"/>
    <col min="11" max="11" width="9.85546875" style="10" bestFit="1" customWidth="1"/>
    <col min="12" max="12" width="11.140625" style="10" bestFit="1" customWidth="1"/>
    <col min="13" max="16384" width="9.140625" style="2"/>
  </cols>
  <sheetData>
    <row r="1" spans="1:12" ht="15" customHeight="1" x14ac:dyDescent="0.2">
      <c r="A1" s="562" t="s">
        <v>414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9.5" customHeight="1" thickBot="1" x14ac:dyDescent="0.25">
      <c r="A2" s="562" t="s">
        <v>45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162" t="s">
        <v>302</v>
      </c>
    </row>
    <row r="3" spans="1:12" ht="42.75" customHeight="1" thickBot="1" x14ac:dyDescent="0.25">
      <c r="A3" s="629" t="s">
        <v>35</v>
      </c>
      <c r="B3" s="674"/>
      <c r="C3" s="674"/>
      <c r="D3" s="674"/>
      <c r="E3" s="674"/>
      <c r="F3" s="490" t="s">
        <v>34</v>
      </c>
      <c r="G3" s="491" t="s">
        <v>329</v>
      </c>
      <c r="H3" s="491" t="s">
        <v>391</v>
      </c>
      <c r="I3" s="491" t="s">
        <v>396</v>
      </c>
      <c r="J3" s="491" t="s">
        <v>411</v>
      </c>
      <c r="K3" s="491" t="s">
        <v>392</v>
      </c>
      <c r="L3" s="489" t="s">
        <v>375</v>
      </c>
    </row>
    <row r="4" spans="1:12" ht="18" customHeight="1" x14ac:dyDescent="0.2">
      <c r="A4" s="649" t="s">
        <v>36</v>
      </c>
      <c r="B4" s="675" t="s">
        <v>29</v>
      </c>
      <c r="C4" s="636"/>
      <c r="D4" s="636"/>
      <c r="E4" s="636"/>
      <c r="F4" s="636"/>
      <c r="G4" s="676"/>
      <c r="H4" s="473"/>
      <c r="I4" s="473"/>
      <c r="J4" s="473"/>
      <c r="K4" s="474"/>
      <c r="L4" s="475"/>
    </row>
    <row r="5" spans="1:12" ht="15" customHeight="1" x14ac:dyDescent="0.2">
      <c r="A5" s="650"/>
      <c r="B5" s="653" t="s">
        <v>36</v>
      </c>
      <c r="C5" s="660" t="s">
        <v>33</v>
      </c>
      <c r="D5" s="661"/>
      <c r="E5" s="662"/>
      <c r="F5" s="28" t="s">
        <v>311</v>
      </c>
      <c r="G5" s="176">
        <f>SUM(G6:G7)</f>
        <v>0</v>
      </c>
      <c r="H5" s="176">
        <f t="shared" ref="H5:L5" si="0">SUM(H6:H7)</f>
        <v>0</v>
      </c>
      <c r="I5" s="176"/>
      <c r="J5" s="176">
        <f t="shared" ref="J5:J13" si="1">K5-I5-H5-G5</f>
        <v>0</v>
      </c>
      <c r="K5" s="176">
        <f t="shared" si="0"/>
        <v>0</v>
      </c>
      <c r="L5" s="14">
        <f t="shared" si="0"/>
        <v>0</v>
      </c>
    </row>
    <row r="6" spans="1:12" s="6" customFormat="1" ht="15" customHeight="1" x14ac:dyDescent="0.2">
      <c r="A6" s="650"/>
      <c r="B6" s="654"/>
      <c r="C6" s="22" t="s">
        <v>36</v>
      </c>
      <c r="D6" s="656" t="s">
        <v>16</v>
      </c>
      <c r="E6" s="657"/>
      <c r="F6" s="29"/>
      <c r="G6" s="163">
        <v>0</v>
      </c>
      <c r="H6" s="163"/>
      <c r="I6" s="163"/>
      <c r="J6" s="163">
        <f t="shared" si="1"/>
        <v>0</v>
      </c>
      <c r="K6" s="163"/>
      <c r="L6" s="476"/>
    </row>
    <row r="7" spans="1:12" s="6" customFormat="1" ht="15" customHeight="1" x14ac:dyDescent="0.2">
      <c r="A7" s="650"/>
      <c r="B7" s="654"/>
      <c r="C7" s="42" t="s">
        <v>37</v>
      </c>
      <c r="D7" s="656" t="s">
        <v>15</v>
      </c>
      <c r="E7" s="657"/>
      <c r="F7" s="29"/>
      <c r="G7" s="163">
        <v>0</v>
      </c>
      <c r="H7" s="163"/>
      <c r="I7" s="163"/>
      <c r="J7" s="163">
        <f t="shared" si="1"/>
        <v>0</v>
      </c>
      <c r="K7" s="163"/>
      <c r="L7" s="476"/>
    </row>
    <row r="8" spans="1:12" ht="15" customHeight="1" x14ac:dyDescent="0.2">
      <c r="A8" s="650"/>
      <c r="B8" s="653" t="s">
        <v>37</v>
      </c>
      <c r="C8" s="660" t="s">
        <v>312</v>
      </c>
      <c r="D8" s="661"/>
      <c r="E8" s="662"/>
      <c r="F8" s="30" t="s">
        <v>64</v>
      </c>
      <c r="G8" s="408">
        <f>G9+G11+G13+G16</f>
        <v>42322835</v>
      </c>
      <c r="H8" s="408">
        <f t="shared" ref="H8" si="2">H9+H11+H13+H16</f>
        <v>2000000</v>
      </c>
      <c r="I8" s="408">
        <v>0</v>
      </c>
      <c r="J8" s="408">
        <f t="shared" si="1"/>
        <v>-5119551</v>
      </c>
      <c r="K8" s="408">
        <f t="shared" ref="K8:L8" si="3">K9+K11+K13+K16</f>
        <v>39203284</v>
      </c>
      <c r="L8" s="477">
        <f t="shared" si="3"/>
        <v>39203284</v>
      </c>
    </row>
    <row r="9" spans="1:12" s="6" customFormat="1" ht="15" customHeight="1" x14ac:dyDescent="0.2">
      <c r="A9" s="650"/>
      <c r="B9" s="654"/>
      <c r="C9" s="8" t="s">
        <v>36</v>
      </c>
      <c r="D9" s="656" t="s">
        <v>42</v>
      </c>
      <c r="E9" s="657"/>
      <c r="F9" s="29"/>
      <c r="G9" s="409"/>
      <c r="H9" s="409"/>
      <c r="I9" s="409"/>
      <c r="J9" s="409">
        <f t="shared" si="1"/>
        <v>0</v>
      </c>
      <c r="K9" s="409"/>
      <c r="L9" s="478"/>
    </row>
    <row r="10" spans="1:12" s="6" customFormat="1" ht="15" customHeight="1" x14ac:dyDescent="0.25">
      <c r="A10" s="650"/>
      <c r="B10" s="654"/>
      <c r="C10" s="35"/>
      <c r="D10" s="427" t="s">
        <v>36</v>
      </c>
      <c r="E10" s="34"/>
      <c r="F10" s="29"/>
      <c r="G10" s="407"/>
      <c r="H10" s="407"/>
      <c r="I10" s="407"/>
      <c r="J10" s="407"/>
      <c r="K10" s="407"/>
      <c r="L10" s="479"/>
    </row>
    <row r="11" spans="1:12" s="6" customFormat="1" ht="15" customHeight="1" x14ac:dyDescent="0.2">
      <c r="A11" s="650"/>
      <c r="B11" s="654"/>
      <c r="C11" s="653" t="s">
        <v>37</v>
      </c>
      <c r="D11" s="656" t="s">
        <v>43</v>
      </c>
      <c r="E11" s="657"/>
      <c r="F11" s="29"/>
      <c r="G11" s="409">
        <f>SUM(G12:G12)</f>
        <v>0</v>
      </c>
      <c r="H11" s="409"/>
      <c r="I11" s="409"/>
      <c r="J11" s="409">
        <f t="shared" si="1"/>
        <v>0</v>
      </c>
      <c r="K11" s="409"/>
      <c r="L11" s="478"/>
    </row>
    <row r="12" spans="1:12" ht="15" customHeight="1" x14ac:dyDescent="0.2">
      <c r="A12" s="650"/>
      <c r="B12" s="654"/>
      <c r="C12" s="654"/>
      <c r="D12" s="12" t="s">
        <v>36</v>
      </c>
      <c r="E12" s="428"/>
      <c r="F12" s="31"/>
      <c r="G12" s="407"/>
      <c r="H12" s="407"/>
      <c r="I12" s="407"/>
      <c r="J12" s="407"/>
      <c r="K12" s="407"/>
      <c r="L12" s="479"/>
    </row>
    <row r="13" spans="1:12" s="6" customFormat="1" ht="15" customHeight="1" x14ac:dyDescent="0.2">
      <c r="A13" s="650"/>
      <c r="B13" s="654"/>
      <c r="C13" s="653" t="s">
        <v>38</v>
      </c>
      <c r="D13" s="656" t="s">
        <v>9</v>
      </c>
      <c r="E13" s="657"/>
      <c r="F13" s="29"/>
      <c r="G13" s="409">
        <f>SUM(G14:G15)</f>
        <v>37992126</v>
      </c>
      <c r="H13" s="409">
        <f t="shared" ref="H13" si="4">SUM(H14:H15)</f>
        <v>2000000</v>
      </c>
      <c r="I13" s="409">
        <v>0</v>
      </c>
      <c r="J13" s="409">
        <f t="shared" si="1"/>
        <v>-788842</v>
      </c>
      <c r="K13" s="409">
        <f t="shared" ref="K13:L13" si="5">SUM(K14:K15)</f>
        <v>39203284</v>
      </c>
      <c r="L13" s="478">
        <f t="shared" si="5"/>
        <v>39203284</v>
      </c>
    </row>
    <row r="14" spans="1:12" s="6" customFormat="1" ht="15" customHeight="1" x14ac:dyDescent="0.2">
      <c r="A14" s="650"/>
      <c r="B14" s="654"/>
      <c r="C14" s="654"/>
      <c r="D14" s="427" t="s">
        <v>36</v>
      </c>
      <c r="E14" s="428" t="s">
        <v>355</v>
      </c>
      <c r="F14" s="29" t="s">
        <v>64</v>
      </c>
      <c r="G14" s="407">
        <f>34448819+3543307</f>
        <v>37992126</v>
      </c>
      <c r="H14" s="407">
        <v>2000000</v>
      </c>
      <c r="I14" s="407">
        <v>0</v>
      </c>
      <c r="J14" s="407">
        <f>K14-I14-H14-G14</f>
        <v>-788842</v>
      </c>
      <c r="K14" s="407">
        <v>39203284</v>
      </c>
      <c r="L14" s="479">
        <f>18401036+9055118+350000+9200000+2197130</f>
        <v>39203284</v>
      </c>
    </row>
    <row r="15" spans="1:12" s="6" customFormat="1" ht="15" customHeight="1" x14ac:dyDescent="0.2">
      <c r="A15" s="650"/>
      <c r="B15" s="654"/>
      <c r="C15" s="430"/>
      <c r="D15" s="427"/>
      <c r="E15" s="428"/>
      <c r="F15" s="29"/>
      <c r="G15" s="407"/>
      <c r="H15" s="407"/>
      <c r="I15" s="407"/>
      <c r="J15" s="407"/>
      <c r="K15" s="407"/>
      <c r="L15" s="479"/>
    </row>
    <row r="16" spans="1:12" s="6" customFormat="1" ht="15" customHeight="1" x14ac:dyDescent="0.2">
      <c r="A16" s="650"/>
      <c r="B16" s="654"/>
      <c r="C16" s="653" t="s">
        <v>39</v>
      </c>
      <c r="D16" s="656" t="s">
        <v>10</v>
      </c>
      <c r="E16" s="657"/>
      <c r="F16" s="29" t="s">
        <v>64</v>
      </c>
      <c r="G16" s="409">
        <f>SUM(G17:G19)</f>
        <v>4330709</v>
      </c>
      <c r="H16" s="409">
        <f t="shared" ref="H16" si="6">SUM(H17:H19)</f>
        <v>0</v>
      </c>
      <c r="I16" s="409">
        <v>0</v>
      </c>
      <c r="J16" s="409">
        <f t="shared" ref="J16:J61" si="7">K16-I16-H16-G16</f>
        <v>-4330709</v>
      </c>
      <c r="K16" s="409">
        <f t="shared" ref="K16:L16" si="8">SUM(K17:K19)</f>
        <v>0</v>
      </c>
      <c r="L16" s="478">
        <f t="shared" si="8"/>
        <v>0</v>
      </c>
    </row>
    <row r="17" spans="1:12" s="6" customFormat="1" ht="16.5" customHeight="1" x14ac:dyDescent="0.25">
      <c r="A17" s="650"/>
      <c r="B17" s="654"/>
      <c r="C17" s="654"/>
      <c r="D17" s="427" t="s">
        <v>36</v>
      </c>
      <c r="E17" s="34" t="s">
        <v>356</v>
      </c>
      <c r="F17" s="29"/>
      <c r="G17" s="407">
        <v>3543307</v>
      </c>
      <c r="H17" s="407">
        <v>0</v>
      </c>
      <c r="I17" s="407">
        <v>0</v>
      </c>
      <c r="J17" s="407">
        <f t="shared" si="7"/>
        <v>-3543307</v>
      </c>
      <c r="K17" s="407">
        <v>0</v>
      </c>
      <c r="L17" s="479">
        <v>0</v>
      </c>
    </row>
    <row r="18" spans="1:12" s="6" customFormat="1" x14ac:dyDescent="0.25">
      <c r="A18" s="650"/>
      <c r="B18" s="654"/>
      <c r="C18" s="654"/>
      <c r="D18" s="427" t="s">
        <v>37</v>
      </c>
      <c r="E18" s="36" t="s">
        <v>357</v>
      </c>
      <c r="F18" s="29"/>
      <c r="G18" s="407">
        <v>787402</v>
      </c>
      <c r="H18" s="407">
        <v>0</v>
      </c>
      <c r="I18" s="407">
        <v>0</v>
      </c>
      <c r="J18" s="407">
        <f t="shared" si="7"/>
        <v>-787402</v>
      </c>
      <c r="K18" s="407">
        <v>0</v>
      </c>
      <c r="L18" s="479">
        <v>0</v>
      </c>
    </row>
    <row r="19" spans="1:12" s="6" customFormat="1" ht="16.5" customHeight="1" x14ac:dyDescent="0.25">
      <c r="A19" s="650"/>
      <c r="B19" s="654"/>
      <c r="C19" s="654"/>
      <c r="D19" s="427"/>
      <c r="E19" s="36"/>
      <c r="F19" s="29"/>
      <c r="G19" s="407"/>
      <c r="H19" s="407"/>
      <c r="I19" s="407"/>
      <c r="J19" s="407"/>
      <c r="K19" s="407"/>
      <c r="L19" s="479"/>
    </row>
    <row r="20" spans="1:12" ht="18.75" customHeight="1" x14ac:dyDescent="0.2">
      <c r="A20" s="650"/>
      <c r="B20" s="653" t="s">
        <v>38</v>
      </c>
      <c r="C20" s="660" t="s">
        <v>308</v>
      </c>
      <c r="D20" s="661"/>
      <c r="E20" s="662"/>
      <c r="F20" s="30" t="s">
        <v>309</v>
      </c>
      <c r="G20" s="408">
        <f>G21+G24+G41+G42</f>
        <v>5257322</v>
      </c>
      <c r="H20" s="408">
        <f>H21+H24+H41+H42</f>
        <v>0</v>
      </c>
      <c r="I20" s="408">
        <v>7301950</v>
      </c>
      <c r="J20" s="408">
        <f t="shared" si="7"/>
        <v>-1867947</v>
      </c>
      <c r="K20" s="408">
        <f>K21+K24+K41+K42</f>
        <v>10691325</v>
      </c>
      <c r="L20" s="477">
        <f>L21+L24+L41+L42</f>
        <v>10691325</v>
      </c>
    </row>
    <row r="21" spans="1:12" s="6" customFormat="1" ht="15" customHeight="1" x14ac:dyDescent="0.2">
      <c r="A21" s="650"/>
      <c r="B21" s="654"/>
      <c r="C21" s="8" t="s">
        <v>36</v>
      </c>
      <c r="D21" s="663" t="s">
        <v>306</v>
      </c>
      <c r="E21" s="664"/>
      <c r="F21" s="29" t="s">
        <v>173</v>
      </c>
      <c r="G21" s="409">
        <f>SUM(G22:G23)</f>
        <v>120000</v>
      </c>
      <c r="H21" s="409">
        <f t="shared" ref="H21" si="9">SUM(H22:H23)</f>
        <v>0</v>
      </c>
      <c r="I21" s="409">
        <v>70947</v>
      </c>
      <c r="J21" s="409">
        <f t="shared" si="7"/>
        <v>-12000</v>
      </c>
      <c r="K21" s="409">
        <f t="shared" ref="K21:L21" si="10">SUM(K22:K23)</f>
        <v>178947</v>
      </c>
      <c r="L21" s="478">
        <f t="shared" si="10"/>
        <v>178947</v>
      </c>
    </row>
    <row r="22" spans="1:12" ht="25.5" x14ac:dyDescent="0.2">
      <c r="A22" s="650"/>
      <c r="B22" s="654"/>
      <c r="C22" s="665"/>
      <c r="D22" s="5" t="s">
        <v>36</v>
      </c>
      <c r="E22" s="7" t="s">
        <v>402</v>
      </c>
      <c r="F22" s="31"/>
      <c r="G22" s="407">
        <v>120000</v>
      </c>
      <c r="H22" s="407">
        <v>0</v>
      </c>
      <c r="I22" s="407">
        <v>70947</v>
      </c>
      <c r="J22" s="407">
        <f t="shared" si="7"/>
        <v>-12000</v>
      </c>
      <c r="K22" s="407">
        <v>178947</v>
      </c>
      <c r="L22" s="479">
        <f>53200+15747+110000</f>
        <v>178947</v>
      </c>
    </row>
    <row r="23" spans="1:12" ht="12.75" x14ac:dyDescent="0.2">
      <c r="A23" s="650"/>
      <c r="B23" s="654"/>
      <c r="C23" s="666"/>
      <c r="D23" s="5">
        <v>2</v>
      </c>
      <c r="E23" s="7"/>
      <c r="F23" s="31"/>
      <c r="G23" s="407">
        <v>0</v>
      </c>
      <c r="H23" s="407"/>
      <c r="I23" s="407"/>
      <c r="J23" s="407">
        <f t="shared" si="7"/>
        <v>0</v>
      </c>
      <c r="K23" s="407"/>
      <c r="L23" s="479"/>
    </row>
    <row r="24" spans="1:12" s="6" customFormat="1" ht="26.25" customHeight="1" x14ac:dyDescent="0.2">
      <c r="A24" s="650"/>
      <c r="B24" s="654"/>
      <c r="C24" s="653" t="s">
        <v>37</v>
      </c>
      <c r="D24" s="656" t="s">
        <v>307</v>
      </c>
      <c r="E24" s="657"/>
      <c r="F24" s="29" t="s">
        <v>65</v>
      </c>
      <c r="G24" s="409">
        <f>SUM(G25:G42)</f>
        <v>5137322</v>
      </c>
      <c r="H24" s="409">
        <f>SUM(H25:H42)</f>
        <v>0</v>
      </c>
      <c r="I24" s="409">
        <v>7231003</v>
      </c>
      <c r="J24" s="409">
        <f t="shared" si="7"/>
        <v>-1855947</v>
      </c>
      <c r="K24" s="409">
        <f>SUM(K25:K42)</f>
        <v>10512378</v>
      </c>
      <c r="L24" s="478">
        <f>SUM(L25:L42)</f>
        <v>10512378</v>
      </c>
    </row>
    <row r="25" spans="1:12" s="6" customFormat="1" ht="12.75" x14ac:dyDescent="0.2">
      <c r="A25" s="650"/>
      <c r="B25" s="654"/>
      <c r="C25" s="654"/>
      <c r="D25" s="427" t="s">
        <v>36</v>
      </c>
      <c r="E25" s="433" t="s">
        <v>393</v>
      </c>
      <c r="F25" s="29"/>
      <c r="G25" s="407">
        <v>100000</v>
      </c>
      <c r="H25" s="407">
        <v>0</v>
      </c>
      <c r="I25" s="407">
        <v>0</v>
      </c>
      <c r="J25" s="407">
        <f t="shared" si="7"/>
        <v>-61417</v>
      </c>
      <c r="K25" s="407">
        <v>38583</v>
      </c>
      <c r="L25" s="479">
        <f>38583</f>
        <v>38583</v>
      </c>
    </row>
    <row r="26" spans="1:12" s="6" customFormat="1" ht="12.75" x14ac:dyDescent="0.2">
      <c r="A26" s="650"/>
      <c r="B26" s="654"/>
      <c r="C26" s="654"/>
      <c r="D26" s="427" t="s">
        <v>37</v>
      </c>
      <c r="E26" s="37" t="s">
        <v>358</v>
      </c>
      <c r="F26" s="29"/>
      <c r="G26" s="407">
        <v>472441</v>
      </c>
      <c r="H26" s="407">
        <v>0</v>
      </c>
      <c r="I26" s="407">
        <v>0</v>
      </c>
      <c r="J26" s="407">
        <f t="shared" si="7"/>
        <v>-472441</v>
      </c>
      <c r="K26" s="407">
        <v>0</v>
      </c>
      <c r="L26" s="479">
        <v>0</v>
      </c>
    </row>
    <row r="27" spans="1:12" s="6" customFormat="1" ht="12.75" x14ac:dyDescent="0.2">
      <c r="A27" s="650"/>
      <c r="B27" s="654"/>
      <c r="C27" s="654"/>
      <c r="D27" s="427" t="s">
        <v>38</v>
      </c>
      <c r="E27" s="433" t="s">
        <v>359</v>
      </c>
      <c r="F27" s="29"/>
      <c r="G27" s="407">
        <v>944882</v>
      </c>
      <c r="H27" s="407">
        <v>0</v>
      </c>
      <c r="I27" s="407">
        <v>0</v>
      </c>
      <c r="J27" s="407">
        <f t="shared" si="7"/>
        <v>-506882</v>
      </c>
      <c r="K27" s="407">
        <v>438000</v>
      </c>
      <c r="L27" s="479">
        <f>438000</f>
        <v>438000</v>
      </c>
    </row>
    <row r="28" spans="1:12" s="6" customFormat="1" ht="25.5" x14ac:dyDescent="0.2">
      <c r="A28" s="650"/>
      <c r="B28" s="654"/>
      <c r="C28" s="654"/>
      <c r="D28" s="427" t="s">
        <v>39</v>
      </c>
      <c r="E28" s="7" t="s">
        <v>360</v>
      </c>
      <c r="F28" s="29"/>
      <c r="G28" s="407">
        <v>25197</v>
      </c>
      <c r="H28" s="407">
        <v>0</v>
      </c>
      <c r="I28" s="407">
        <v>0</v>
      </c>
      <c r="J28" s="407">
        <f t="shared" si="7"/>
        <v>-17324</v>
      </c>
      <c r="K28" s="407">
        <v>7873</v>
      </c>
      <c r="L28" s="479">
        <f>7873</f>
        <v>7873</v>
      </c>
    </row>
    <row r="29" spans="1:12" s="6" customFormat="1" ht="12.75" x14ac:dyDescent="0.2">
      <c r="A29" s="650"/>
      <c r="B29" s="654"/>
      <c r="C29" s="654"/>
      <c r="D29" s="427" t="s">
        <v>40</v>
      </c>
      <c r="E29" s="433" t="s">
        <v>403</v>
      </c>
      <c r="F29" s="29"/>
      <c r="G29" s="407">
        <v>1391732</v>
      </c>
      <c r="H29" s="407">
        <v>0</v>
      </c>
      <c r="I29" s="407">
        <v>0</v>
      </c>
      <c r="J29" s="407">
        <f t="shared" si="7"/>
        <v>330100</v>
      </c>
      <c r="K29" s="407">
        <v>1721832</v>
      </c>
      <c r="L29" s="479">
        <f>1259842+230995+230995</f>
        <v>1721832</v>
      </c>
    </row>
    <row r="30" spans="1:12" s="6" customFormat="1" ht="12.75" x14ac:dyDescent="0.2">
      <c r="A30" s="650"/>
      <c r="B30" s="654"/>
      <c r="C30" s="654"/>
      <c r="D30" s="427"/>
      <c r="E30" s="433" t="s">
        <v>361</v>
      </c>
      <c r="F30" s="29"/>
      <c r="G30" s="407">
        <v>131890</v>
      </c>
      <c r="H30" s="407">
        <v>0</v>
      </c>
      <c r="I30" s="407">
        <v>0</v>
      </c>
      <c r="J30" s="407">
        <f t="shared" si="7"/>
        <v>0</v>
      </c>
      <c r="K30" s="407">
        <v>131890</v>
      </c>
      <c r="L30" s="479">
        <v>131890</v>
      </c>
    </row>
    <row r="31" spans="1:12" s="6" customFormat="1" ht="12.75" x14ac:dyDescent="0.2">
      <c r="A31" s="650"/>
      <c r="B31" s="654"/>
      <c r="C31" s="654"/>
      <c r="D31" s="427"/>
      <c r="E31" s="433" t="s">
        <v>362</v>
      </c>
      <c r="F31" s="29"/>
      <c r="G31" s="407">
        <f>1355000+551180</f>
        <v>1906180</v>
      </c>
      <c r="H31" s="407">
        <v>0</v>
      </c>
      <c r="I31" s="407">
        <v>0</v>
      </c>
      <c r="J31" s="407">
        <f t="shared" si="7"/>
        <v>-371180</v>
      </c>
      <c r="K31" s="407">
        <v>1535000</v>
      </c>
      <c r="L31" s="479">
        <f>180000+1355000</f>
        <v>1535000</v>
      </c>
    </row>
    <row r="32" spans="1:12" s="6" customFormat="1" ht="12.75" x14ac:dyDescent="0.2">
      <c r="A32" s="650"/>
      <c r="B32" s="654"/>
      <c r="C32" s="654"/>
      <c r="D32" s="427"/>
      <c r="E32" s="433" t="s">
        <v>363</v>
      </c>
      <c r="F32" s="29"/>
      <c r="G32" s="407">
        <v>80000</v>
      </c>
      <c r="H32" s="407">
        <v>0</v>
      </c>
      <c r="I32" s="407">
        <v>0</v>
      </c>
      <c r="J32" s="407">
        <f t="shared" si="7"/>
        <v>-80000</v>
      </c>
      <c r="K32" s="407">
        <v>0</v>
      </c>
      <c r="L32" s="479">
        <v>0</v>
      </c>
    </row>
    <row r="33" spans="1:12" ht="12.75" x14ac:dyDescent="0.2">
      <c r="A33" s="650"/>
      <c r="B33" s="654"/>
      <c r="C33" s="654"/>
      <c r="D33" s="427"/>
      <c r="E33" s="37" t="s">
        <v>364</v>
      </c>
      <c r="F33" s="427"/>
      <c r="G33" s="407">
        <v>85000</v>
      </c>
      <c r="H33" s="407">
        <v>0</v>
      </c>
      <c r="I33" s="407">
        <v>0</v>
      </c>
      <c r="J33" s="407">
        <f t="shared" si="7"/>
        <v>-85000</v>
      </c>
      <c r="K33" s="407">
        <v>0</v>
      </c>
      <c r="L33" s="479">
        <v>0</v>
      </c>
    </row>
    <row r="34" spans="1:12" ht="25.5" x14ac:dyDescent="0.2">
      <c r="A34" s="650"/>
      <c r="B34" s="654"/>
      <c r="C34" s="430"/>
      <c r="D34" s="433" t="s">
        <v>44</v>
      </c>
      <c r="E34" s="289" t="s">
        <v>404</v>
      </c>
      <c r="F34" s="290"/>
      <c r="G34" s="407"/>
      <c r="H34" s="407">
        <v>0</v>
      </c>
      <c r="I34" s="407">
        <v>0</v>
      </c>
      <c r="J34" s="407">
        <f t="shared" si="7"/>
        <v>1211201</v>
      </c>
      <c r="K34" s="407">
        <v>1211201</v>
      </c>
      <c r="L34" s="479">
        <f>1167122+24394+19685</f>
        <v>1211201</v>
      </c>
    </row>
    <row r="35" spans="1:12" ht="12.75" x14ac:dyDescent="0.2">
      <c r="A35" s="650"/>
      <c r="B35" s="654"/>
      <c r="C35" s="430"/>
      <c r="D35" s="427" t="s">
        <v>46</v>
      </c>
      <c r="E35" s="289" t="s">
        <v>407</v>
      </c>
      <c r="F35" s="290"/>
      <c r="G35" s="407"/>
      <c r="H35" s="407"/>
      <c r="I35" s="407">
        <v>119572</v>
      </c>
      <c r="J35" s="407">
        <f t="shared" si="7"/>
        <v>-10804</v>
      </c>
      <c r="K35" s="407">
        <v>108768</v>
      </c>
      <c r="L35" s="479">
        <f>49528+59240</f>
        <v>108768</v>
      </c>
    </row>
    <row r="36" spans="1:12" ht="12.75" x14ac:dyDescent="0.2">
      <c r="A36" s="650"/>
      <c r="B36" s="654"/>
      <c r="C36" s="430"/>
      <c r="D36" s="427" t="s">
        <v>47</v>
      </c>
      <c r="E36" s="289" t="s">
        <v>405</v>
      </c>
      <c r="F36" s="290"/>
      <c r="G36" s="407"/>
      <c r="H36" s="407"/>
      <c r="I36" s="407">
        <v>2611432</v>
      </c>
      <c r="J36" s="407">
        <f t="shared" si="7"/>
        <v>-935432</v>
      </c>
      <c r="K36" s="407">
        <v>1676000</v>
      </c>
      <c r="L36" s="479">
        <f>1676000</f>
        <v>1676000</v>
      </c>
    </row>
    <row r="37" spans="1:12" ht="12.75" x14ac:dyDescent="0.2">
      <c r="A37" s="650"/>
      <c r="B37" s="654"/>
      <c r="C37" s="430"/>
      <c r="D37" s="427" t="s">
        <v>48</v>
      </c>
      <c r="E37" s="289" t="s">
        <v>406</v>
      </c>
      <c r="F37" s="290"/>
      <c r="G37" s="407"/>
      <c r="H37" s="407"/>
      <c r="I37" s="407">
        <v>4499999</v>
      </c>
      <c r="J37" s="407">
        <f t="shared" si="7"/>
        <v>-4366928</v>
      </c>
      <c r="K37" s="407">
        <v>133071</v>
      </c>
      <c r="L37" s="479">
        <f>133071</f>
        <v>133071</v>
      </c>
    </row>
    <row r="38" spans="1:12" ht="12.75" x14ac:dyDescent="0.2">
      <c r="A38" s="650"/>
      <c r="B38" s="654"/>
      <c r="C38" s="430"/>
      <c r="D38" s="427">
        <v>10</v>
      </c>
      <c r="E38" s="289" t="s">
        <v>418</v>
      </c>
      <c r="F38" s="290"/>
      <c r="G38" s="407"/>
      <c r="H38" s="407"/>
      <c r="I38" s="407"/>
      <c r="J38" s="407"/>
      <c r="K38" s="407">
        <v>565000</v>
      </c>
      <c r="L38" s="479">
        <v>565000</v>
      </c>
    </row>
    <row r="39" spans="1:12" ht="12.75" x14ac:dyDescent="0.2">
      <c r="A39" s="650"/>
      <c r="B39" s="654"/>
      <c r="C39" s="430"/>
      <c r="D39" s="427">
        <v>11</v>
      </c>
      <c r="E39" s="289" t="s">
        <v>419</v>
      </c>
      <c r="F39" s="290"/>
      <c r="G39" s="407"/>
      <c r="H39" s="407"/>
      <c r="I39" s="407"/>
      <c r="J39" s="407"/>
      <c r="K39" s="407">
        <v>2863000</v>
      </c>
      <c r="L39" s="479">
        <v>2863000</v>
      </c>
    </row>
    <row r="40" spans="1:12" ht="12.75" x14ac:dyDescent="0.2">
      <c r="A40" s="650"/>
      <c r="B40" s="654"/>
      <c r="C40" s="430"/>
      <c r="D40" s="427">
        <v>12</v>
      </c>
      <c r="E40" s="289" t="s">
        <v>420</v>
      </c>
      <c r="F40" s="290"/>
      <c r="G40" s="407"/>
      <c r="H40" s="407"/>
      <c r="I40" s="407"/>
      <c r="J40" s="407"/>
      <c r="K40" s="407">
        <v>82160</v>
      </c>
      <c r="L40" s="479">
        <v>82160</v>
      </c>
    </row>
    <row r="41" spans="1:12" s="6" customFormat="1" ht="15" customHeight="1" x14ac:dyDescent="0.2">
      <c r="A41" s="650"/>
      <c r="B41" s="654"/>
      <c r="C41" s="8" t="s">
        <v>38</v>
      </c>
      <c r="D41" s="656" t="s">
        <v>28</v>
      </c>
      <c r="E41" s="657"/>
      <c r="F41" s="29"/>
      <c r="G41" s="409">
        <v>0</v>
      </c>
      <c r="H41" s="407">
        <v>0</v>
      </c>
      <c r="I41" s="407">
        <v>0</v>
      </c>
      <c r="J41" s="407">
        <f t="shared" si="7"/>
        <v>0</v>
      </c>
      <c r="K41" s="409"/>
      <c r="L41" s="478"/>
    </row>
    <row r="42" spans="1:12" s="6" customFormat="1" ht="15" customHeight="1" x14ac:dyDescent="0.2">
      <c r="A42" s="658"/>
      <c r="B42" s="659"/>
      <c r="C42" s="8"/>
      <c r="D42" s="656"/>
      <c r="E42" s="657"/>
      <c r="F42" s="29"/>
      <c r="G42" s="409"/>
      <c r="H42" s="409"/>
      <c r="I42" s="409"/>
      <c r="J42" s="409"/>
      <c r="K42" s="409"/>
      <c r="L42" s="478"/>
    </row>
    <row r="43" spans="1:12" ht="15" customHeight="1" x14ac:dyDescent="0.2">
      <c r="A43" s="642"/>
      <c r="B43" s="431" t="s">
        <v>39</v>
      </c>
      <c r="C43" s="644" t="s">
        <v>310</v>
      </c>
      <c r="D43" s="645"/>
      <c r="E43" s="646"/>
      <c r="F43" s="30" t="s">
        <v>313</v>
      </c>
      <c r="G43" s="408">
        <v>11756888</v>
      </c>
      <c r="H43" s="408"/>
      <c r="I43" s="408">
        <v>-4184677</v>
      </c>
      <c r="J43" s="408">
        <f t="shared" si="7"/>
        <v>-4648116</v>
      </c>
      <c r="K43" s="408">
        <v>2924095</v>
      </c>
      <c r="L43" s="477">
        <f>78516+14364+2126+35610+340157+10417+296226+2+4252+29700+13373+124737+6586+48600+365850+118260+5315+452520+35929+15995+152550+773010</f>
        <v>2924095</v>
      </c>
    </row>
    <row r="44" spans="1:12" ht="18" customHeight="1" thickBot="1" x14ac:dyDescent="0.25">
      <c r="A44" s="643"/>
      <c r="B44" s="647" t="s">
        <v>26</v>
      </c>
      <c r="C44" s="648"/>
      <c r="D44" s="648"/>
      <c r="E44" s="634"/>
      <c r="F44" s="32"/>
      <c r="G44" s="410">
        <f>G5+G8+G20+G43</f>
        <v>59337045</v>
      </c>
      <c r="H44" s="410">
        <f>H5+H8+H20+H43</f>
        <v>2000000</v>
      </c>
      <c r="I44" s="410">
        <v>3117273</v>
      </c>
      <c r="J44" s="410">
        <f t="shared" si="7"/>
        <v>-11635614</v>
      </c>
      <c r="K44" s="410">
        <f>K5+K8+K20+K43</f>
        <v>52818704</v>
      </c>
      <c r="L44" s="480">
        <f>L5+L8+L20+L43</f>
        <v>52818704</v>
      </c>
    </row>
    <row r="45" spans="1:12" ht="31.5" customHeight="1" x14ac:dyDescent="0.2">
      <c r="A45" s="649" t="s">
        <v>37</v>
      </c>
      <c r="B45" s="651" t="s">
        <v>2</v>
      </c>
      <c r="C45" s="652"/>
      <c r="D45" s="652"/>
      <c r="E45" s="652"/>
      <c r="F45" s="652"/>
      <c r="G45" s="652"/>
      <c r="H45" s="473"/>
      <c r="I45" s="473"/>
      <c r="J45" s="473">
        <f t="shared" si="7"/>
        <v>0</v>
      </c>
      <c r="K45" s="481"/>
      <c r="L45" s="482"/>
    </row>
    <row r="46" spans="1:12" ht="15" customHeight="1" x14ac:dyDescent="0.2">
      <c r="A46" s="650"/>
      <c r="B46" s="653" t="s">
        <v>36</v>
      </c>
      <c r="C46" s="655" t="s">
        <v>3</v>
      </c>
      <c r="D46" s="655"/>
      <c r="E46" s="655"/>
      <c r="F46" s="23" t="s">
        <v>66</v>
      </c>
      <c r="G46" s="179">
        <f>G47+G52</f>
        <v>8849602</v>
      </c>
      <c r="H46" s="179">
        <f>H47+H52</f>
        <v>0</v>
      </c>
      <c r="I46" s="179">
        <v>17506787</v>
      </c>
      <c r="J46" s="179">
        <f t="shared" si="7"/>
        <v>-17322056</v>
      </c>
      <c r="K46" s="412">
        <f t="shared" ref="K46:L46" si="11">K47+K52</f>
        <v>9034333</v>
      </c>
      <c r="L46" s="342">
        <f t="shared" si="11"/>
        <v>9034333</v>
      </c>
    </row>
    <row r="47" spans="1:12" s="6" customFormat="1" ht="15" customHeight="1" x14ac:dyDescent="0.2">
      <c r="A47" s="650"/>
      <c r="B47" s="654"/>
      <c r="C47" s="429" t="s">
        <v>36</v>
      </c>
      <c r="D47" s="656" t="s">
        <v>4</v>
      </c>
      <c r="E47" s="657"/>
      <c r="F47" s="8" t="s">
        <v>66</v>
      </c>
      <c r="G47" s="180">
        <f>SUM(G48:G49)</f>
        <v>7637792</v>
      </c>
      <c r="H47" s="180">
        <f t="shared" ref="H47" si="12">SUM(H48:H49)</f>
        <v>0</v>
      </c>
      <c r="I47" s="180">
        <v>-45900</v>
      </c>
      <c r="J47" s="180">
        <f t="shared" si="7"/>
        <v>1192441</v>
      </c>
      <c r="K47" s="413">
        <f>SUM(K48:K51)</f>
        <v>8784333</v>
      </c>
      <c r="L47" s="483">
        <f>SUM(L48:L51)</f>
        <v>8784333</v>
      </c>
    </row>
    <row r="48" spans="1:12" ht="14.25" customHeight="1" x14ac:dyDescent="0.2">
      <c r="A48" s="650"/>
      <c r="B48" s="654"/>
      <c r="C48" s="39"/>
      <c r="D48" s="427" t="s">
        <v>36</v>
      </c>
      <c r="E48" s="474" t="s">
        <v>365</v>
      </c>
      <c r="F48" s="5"/>
      <c r="G48" s="178">
        <v>4488186</v>
      </c>
      <c r="H48" s="178">
        <v>0</v>
      </c>
      <c r="I48" s="178">
        <v>0</v>
      </c>
      <c r="J48" s="178">
        <f t="shared" si="7"/>
        <v>-973</v>
      </c>
      <c r="K48" s="411">
        <v>4487213</v>
      </c>
      <c r="L48" s="278">
        <f>60000+4427213</f>
        <v>4487213</v>
      </c>
    </row>
    <row r="49" spans="1:12" s="13" customFormat="1" ht="12.75" x14ac:dyDescent="0.2">
      <c r="A49" s="650"/>
      <c r="B49" s="654"/>
      <c r="C49" s="426"/>
      <c r="D49" s="427"/>
      <c r="E49" s="4" t="s">
        <v>366</v>
      </c>
      <c r="F49" s="5"/>
      <c r="G49" s="178">
        <v>3149606</v>
      </c>
      <c r="H49" s="178">
        <v>0</v>
      </c>
      <c r="I49" s="178">
        <v>-45900</v>
      </c>
      <c r="J49" s="178">
        <f t="shared" si="7"/>
        <v>537514</v>
      </c>
      <c r="K49" s="411">
        <v>3641220</v>
      </c>
      <c r="L49" s="278">
        <f>2592470+170000+878750</f>
        <v>3641220</v>
      </c>
    </row>
    <row r="50" spans="1:12" s="13" customFormat="1" ht="12.75" x14ac:dyDescent="0.2">
      <c r="A50" s="650"/>
      <c r="B50" s="654"/>
      <c r="C50" s="429"/>
      <c r="D50" s="427"/>
      <c r="E50" s="343" t="s">
        <v>408</v>
      </c>
      <c r="F50" s="5"/>
      <c r="G50" s="178"/>
      <c r="H50" s="178"/>
      <c r="I50" s="178"/>
      <c r="J50" s="178">
        <f t="shared" si="7"/>
        <v>445000</v>
      </c>
      <c r="K50" s="411">
        <v>445000</v>
      </c>
      <c r="L50" s="278">
        <f>20000+425000</f>
        <v>445000</v>
      </c>
    </row>
    <row r="51" spans="1:12" s="13" customFormat="1" ht="12.75" x14ac:dyDescent="0.2">
      <c r="A51" s="650"/>
      <c r="B51" s="654"/>
      <c r="C51" s="429"/>
      <c r="D51" s="427"/>
      <c r="E51" s="343" t="s">
        <v>421</v>
      </c>
      <c r="F51" s="5"/>
      <c r="G51" s="178"/>
      <c r="H51" s="178"/>
      <c r="I51" s="178"/>
      <c r="J51" s="178">
        <f t="shared" si="7"/>
        <v>210900</v>
      </c>
      <c r="K51" s="411">
        <v>210900</v>
      </c>
      <c r="L51" s="278">
        <f>14173+47559+82740+25294+2717+38417</f>
        <v>210900</v>
      </c>
    </row>
    <row r="52" spans="1:12" s="6" customFormat="1" ht="15" customHeight="1" x14ac:dyDescent="0.2">
      <c r="A52" s="650"/>
      <c r="B52" s="654"/>
      <c r="C52" s="653" t="s">
        <v>37</v>
      </c>
      <c r="D52" s="656" t="s">
        <v>5</v>
      </c>
      <c r="E52" s="657"/>
      <c r="F52" s="8" t="s">
        <v>66</v>
      </c>
      <c r="G52" s="180">
        <f>SUM(G53:G53)</f>
        <v>1211810</v>
      </c>
      <c r="H52" s="180">
        <f t="shared" ref="H52" si="13">SUM(H53:H53)</f>
        <v>0</v>
      </c>
      <c r="I52" s="180">
        <v>17552687</v>
      </c>
      <c r="J52" s="180">
        <f t="shared" si="7"/>
        <v>-18514497</v>
      </c>
      <c r="K52" s="413">
        <f>SUM(K53:K54)</f>
        <v>250000</v>
      </c>
      <c r="L52" s="483">
        <f t="shared" ref="L52" si="14">SUM(L53:L53)</f>
        <v>250000</v>
      </c>
    </row>
    <row r="53" spans="1:12" s="6" customFormat="1" ht="15" customHeight="1" x14ac:dyDescent="0.2">
      <c r="A53" s="650"/>
      <c r="B53" s="654"/>
      <c r="C53" s="654"/>
      <c r="D53" s="427" t="s">
        <v>36</v>
      </c>
      <c r="E53" s="428" t="s">
        <v>394</v>
      </c>
      <c r="F53" s="29"/>
      <c r="G53" s="181">
        <v>1211810</v>
      </c>
      <c r="H53" s="178">
        <v>0</v>
      </c>
      <c r="I53" s="178">
        <v>1825000</v>
      </c>
      <c r="J53" s="181">
        <f t="shared" si="7"/>
        <v>-2786810</v>
      </c>
      <c r="K53" s="414">
        <v>250000</v>
      </c>
      <c r="L53" s="484">
        <f>250000</f>
        <v>250000</v>
      </c>
    </row>
    <row r="54" spans="1:12" s="6" customFormat="1" ht="15" customHeight="1" x14ac:dyDescent="0.2">
      <c r="A54" s="425"/>
      <c r="B54" s="430"/>
      <c r="C54" s="430"/>
      <c r="D54" s="427"/>
      <c r="E54" s="428" t="s">
        <v>409</v>
      </c>
      <c r="F54" s="29"/>
      <c r="G54" s="181"/>
      <c r="H54" s="178"/>
      <c r="I54" s="178">
        <v>15727687</v>
      </c>
      <c r="J54" s="181">
        <f t="shared" si="7"/>
        <v>-15727687</v>
      </c>
      <c r="K54" s="414">
        <v>0</v>
      </c>
      <c r="L54" s="484">
        <v>0</v>
      </c>
    </row>
    <row r="55" spans="1:12" ht="15" customHeight="1" x14ac:dyDescent="0.2">
      <c r="A55" s="642"/>
      <c r="B55" s="668" t="s">
        <v>37</v>
      </c>
      <c r="C55" s="655" t="s">
        <v>314</v>
      </c>
      <c r="D55" s="655"/>
      <c r="E55" s="655"/>
      <c r="F55" s="23" t="s">
        <v>315</v>
      </c>
      <c r="G55" s="179">
        <f>SUM(G56:G56)</f>
        <v>0</v>
      </c>
      <c r="H55" s="179">
        <f t="shared" ref="H55" si="15">SUM(H56:H56)</f>
        <v>0</v>
      </c>
      <c r="I55" s="179">
        <v>0</v>
      </c>
      <c r="J55" s="179">
        <f t="shared" si="7"/>
        <v>0</v>
      </c>
      <c r="K55" s="412">
        <f t="shared" ref="K55:L55" si="16">SUM(K56:K56)</f>
        <v>0</v>
      </c>
      <c r="L55" s="342">
        <f t="shared" si="16"/>
        <v>0</v>
      </c>
    </row>
    <row r="56" spans="1:12" ht="15" customHeight="1" x14ac:dyDescent="0.2">
      <c r="A56" s="650"/>
      <c r="B56" s="668"/>
      <c r="C56" s="5" t="s">
        <v>36</v>
      </c>
      <c r="D56" s="669"/>
      <c r="E56" s="670"/>
      <c r="F56" s="5"/>
      <c r="G56" s="178"/>
      <c r="H56" s="178"/>
      <c r="I56" s="178"/>
      <c r="J56" s="178"/>
      <c r="K56" s="411"/>
      <c r="L56" s="278"/>
    </row>
    <row r="57" spans="1:12" s="6" customFormat="1" ht="15" customHeight="1" x14ac:dyDescent="0.2">
      <c r="A57" s="650"/>
      <c r="B57" s="426" t="s">
        <v>38</v>
      </c>
      <c r="C57" s="660" t="s">
        <v>316</v>
      </c>
      <c r="D57" s="661"/>
      <c r="E57" s="662"/>
      <c r="F57" s="23"/>
      <c r="G57" s="179">
        <v>0</v>
      </c>
      <c r="H57" s="179"/>
      <c r="I57" s="179"/>
      <c r="J57" s="179"/>
      <c r="K57" s="412"/>
      <c r="L57" s="342"/>
    </row>
    <row r="58" spans="1:12" s="6" customFormat="1" ht="15" customHeight="1" x14ac:dyDescent="0.2">
      <c r="A58" s="650"/>
      <c r="B58" s="429" t="s">
        <v>39</v>
      </c>
      <c r="C58" s="660" t="s">
        <v>317</v>
      </c>
      <c r="D58" s="672"/>
      <c r="E58" s="673"/>
      <c r="F58" s="177" t="s">
        <v>318</v>
      </c>
      <c r="G58" s="182">
        <v>850394</v>
      </c>
      <c r="H58" s="182">
        <v>1349684</v>
      </c>
      <c r="I58" s="182">
        <v>4967375</v>
      </c>
      <c r="J58" s="182">
        <f t="shared" si="7"/>
        <v>-4864531</v>
      </c>
      <c r="K58" s="415">
        <v>2302922</v>
      </c>
      <c r="L58" s="485">
        <f>(4427213*0.27)+(250000*0.27)+(2592470*0.27)+1+45900+237263+3827+12841+22340+6830+733+10373</f>
        <v>2302922.41</v>
      </c>
    </row>
    <row r="59" spans="1:12" ht="18" customHeight="1" thickBot="1" x14ac:dyDescent="0.25">
      <c r="A59" s="643"/>
      <c r="B59" s="671" t="s">
        <v>31</v>
      </c>
      <c r="C59" s="671"/>
      <c r="D59" s="671"/>
      <c r="E59" s="671"/>
      <c r="F59" s="33"/>
      <c r="G59" s="183">
        <f>G46+G55+G57+G58</f>
        <v>9699996</v>
      </c>
      <c r="H59" s="183">
        <f>H46+H55+H57+H58</f>
        <v>1349684</v>
      </c>
      <c r="I59" s="183">
        <v>22474162</v>
      </c>
      <c r="J59" s="183">
        <f t="shared" si="7"/>
        <v>-22186587</v>
      </c>
      <c r="K59" s="416">
        <f t="shared" ref="K59:L59" si="17">K46+K55+K57+K58</f>
        <v>11337255</v>
      </c>
      <c r="L59" s="486">
        <f t="shared" si="17"/>
        <v>11337255.41</v>
      </c>
    </row>
    <row r="60" spans="1:12" s="157" customFormat="1" ht="15" customHeight="1" thickBot="1" x14ac:dyDescent="0.3">
      <c r="A60" s="154"/>
      <c r="B60" s="155"/>
      <c r="C60" s="158"/>
      <c r="D60" s="159"/>
      <c r="E60" s="160"/>
      <c r="F60" s="156"/>
      <c r="G60" s="184"/>
      <c r="H60" s="184"/>
      <c r="I60" s="184"/>
      <c r="J60" s="184">
        <f t="shared" si="7"/>
        <v>0</v>
      </c>
      <c r="K60" s="417"/>
      <c r="L60" s="487"/>
    </row>
    <row r="61" spans="1:12" ht="21" customHeight="1" thickBot="1" x14ac:dyDescent="0.25">
      <c r="A61" s="38"/>
      <c r="B61" s="667" t="s">
        <v>298</v>
      </c>
      <c r="C61" s="667"/>
      <c r="D61" s="667"/>
      <c r="E61" s="667"/>
      <c r="F61" s="27"/>
      <c r="G61" s="185">
        <f>G44+G59</f>
        <v>69037041</v>
      </c>
      <c r="H61" s="185">
        <f>H44+H59</f>
        <v>3349684</v>
      </c>
      <c r="I61" s="185">
        <v>25591435</v>
      </c>
      <c r="J61" s="185">
        <f t="shared" si="7"/>
        <v>-33822201</v>
      </c>
      <c r="K61" s="418">
        <f t="shared" ref="K61:L61" si="18">K44+K59</f>
        <v>64155959</v>
      </c>
      <c r="L61" s="488">
        <f t="shared" si="18"/>
        <v>64155959.409999996</v>
      </c>
    </row>
    <row r="66" spans="1:1" ht="21" customHeight="1" x14ac:dyDescent="0.2">
      <c r="A66" s="270"/>
    </row>
    <row r="67" spans="1:1" ht="15" customHeight="1" x14ac:dyDescent="0.2">
      <c r="A67" s="270"/>
    </row>
  </sheetData>
  <mergeCells count="44">
    <mergeCell ref="B5:B7"/>
    <mergeCell ref="C5:E5"/>
    <mergeCell ref="D13:E13"/>
    <mergeCell ref="C11:C12"/>
    <mergeCell ref="A1:L1"/>
    <mergeCell ref="A2:K2"/>
    <mergeCell ref="B61:E61"/>
    <mergeCell ref="A55:A59"/>
    <mergeCell ref="B55:B56"/>
    <mergeCell ref="C55:E55"/>
    <mergeCell ref="D56:E56"/>
    <mergeCell ref="C57:E57"/>
    <mergeCell ref="B59:E59"/>
    <mergeCell ref="C58:E58"/>
    <mergeCell ref="A3:E3"/>
    <mergeCell ref="D11:E11"/>
    <mergeCell ref="D16:E16"/>
    <mergeCell ref="B4:G4"/>
    <mergeCell ref="A4:A42"/>
    <mergeCell ref="B8:B19"/>
    <mergeCell ref="C16:C19"/>
    <mergeCell ref="B20:B42"/>
    <mergeCell ref="C20:E20"/>
    <mergeCell ref="D21:E21"/>
    <mergeCell ref="C22:C23"/>
    <mergeCell ref="C24:C33"/>
    <mergeCell ref="D42:E42"/>
    <mergeCell ref="D24:E24"/>
    <mergeCell ref="D41:E41"/>
    <mergeCell ref="D6:E6"/>
    <mergeCell ref="C8:E8"/>
    <mergeCell ref="D9:E9"/>
    <mergeCell ref="D7:E7"/>
    <mergeCell ref="C13:C14"/>
    <mergeCell ref="A43:A44"/>
    <mergeCell ref="C43:E43"/>
    <mergeCell ref="B44:E44"/>
    <mergeCell ref="A45:A53"/>
    <mergeCell ref="B45:G45"/>
    <mergeCell ref="B46:B53"/>
    <mergeCell ref="C46:E46"/>
    <mergeCell ref="D47:E47"/>
    <mergeCell ref="C52:C53"/>
    <mergeCell ref="D52:E52"/>
  </mergeCells>
  <phoneticPr fontId="6" type="noConversion"/>
  <pageMargins left="0.70866141732283461" right="0.70866141732283461" top="0.74803149606299213" bottom="0.74803149606299213" header="0.31496062992125984" footer="0.31496062992125984"/>
  <pageSetup paperSize="9" scale="70" orientation="portrait" r:id="rId1"/>
  <headerFooter alignWithMargins="0">
    <oddHeader>&amp;R6. számú melléklet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workbookViewId="0">
      <selection activeCell="G9" sqref="G9"/>
    </sheetView>
  </sheetViews>
  <sheetFormatPr defaultRowHeight="15" customHeight="1" x14ac:dyDescent="0.2"/>
  <cols>
    <col min="1" max="1" width="6.5703125" style="46" customWidth="1"/>
    <col min="2" max="2" width="50.42578125" style="2" customWidth="1"/>
    <col min="3" max="3" width="25.42578125" style="2" customWidth="1"/>
    <col min="4" max="16384" width="9.140625" style="2"/>
  </cols>
  <sheetData>
    <row r="1" spans="1:3" ht="15" customHeight="1" x14ac:dyDescent="0.2">
      <c r="A1" s="681" t="s">
        <v>367</v>
      </c>
      <c r="B1" s="681"/>
      <c r="C1" s="681"/>
    </row>
    <row r="2" spans="1:3" ht="15" customHeight="1" thickBot="1" x14ac:dyDescent="0.25"/>
    <row r="3" spans="1:3" ht="42" customHeight="1" thickBot="1" x14ac:dyDescent="0.25">
      <c r="A3" s="677" t="s">
        <v>67</v>
      </c>
      <c r="B3" s="679" t="s">
        <v>68</v>
      </c>
      <c r="C3" s="291" t="s">
        <v>301</v>
      </c>
    </row>
    <row r="4" spans="1:3" ht="25.5" customHeight="1" thickBot="1" x14ac:dyDescent="0.25">
      <c r="A4" s="678"/>
      <c r="B4" s="680"/>
      <c r="C4" s="47" t="s">
        <v>69</v>
      </c>
    </row>
    <row r="5" spans="1:3" ht="15" customHeight="1" x14ac:dyDescent="0.2">
      <c r="A5" s="48" t="s">
        <v>36</v>
      </c>
      <c r="B5" s="49" t="s">
        <v>70</v>
      </c>
      <c r="C5" s="292">
        <v>1</v>
      </c>
    </row>
    <row r="6" spans="1:3" ht="15" customHeight="1" x14ac:dyDescent="0.2">
      <c r="A6" s="48" t="s">
        <v>37</v>
      </c>
      <c r="B6" s="50" t="s">
        <v>71</v>
      </c>
      <c r="C6" s="53">
        <v>1</v>
      </c>
    </row>
    <row r="7" spans="1:3" ht="15" customHeight="1" x14ac:dyDescent="0.2">
      <c r="A7" s="48" t="s">
        <v>38</v>
      </c>
      <c r="B7" s="51" t="s">
        <v>72</v>
      </c>
      <c r="C7" s="53">
        <v>3</v>
      </c>
    </row>
    <row r="8" spans="1:3" ht="15" customHeight="1" x14ac:dyDescent="0.2">
      <c r="A8" s="48" t="s">
        <v>39</v>
      </c>
      <c r="B8" s="51" t="s">
        <v>73</v>
      </c>
      <c r="C8" s="53">
        <v>2</v>
      </c>
    </row>
    <row r="9" spans="1:3" ht="15" customHeight="1" x14ac:dyDescent="0.2">
      <c r="A9" s="48" t="s">
        <v>40</v>
      </c>
      <c r="B9" s="50" t="s">
        <v>169</v>
      </c>
      <c r="C9" s="53">
        <v>2</v>
      </c>
    </row>
    <row r="10" spans="1:3" ht="15" customHeight="1" x14ac:dyDescent="0.2">
      <c r="A10" s="48"/>
      <c r="B10" s="54"/>
      <c r="C10" s="53"/>
    </row>
    <row r="11" spans="1:3" ht="15" customHeight="1" x14ac:dyDescent="0.2">
      <c r="A11" s="48"/>
      <c r="B11" s="51"/>
      <c r="C11" s="53"/>
    </row>
    <row r="12" spans="1:3" ht="15" customHeight="1" thickBot="1" x14ac:dyDescent="0.25">
      <c r="A12" s="293"/>
      <c r="B12" s="294"/>
      <c r="C12" s="295"/>
    </row>
    <row r="13" spans="1:3" s="6" customFormat="1" ht="15" customHeight="1" thickBot="1" x14ac:dyDescent="0.25">
      <c r="A13" s="682" t="s">
        <v>74</v>
      </c>
      <c r="B13" s="683"/>
      <c r="C13" s="296">
        <f>SUM(C5:C12)</f>
        <v>9</v>
      </c>
    </row>
    <row r="18" spans="2:3" ht="15" customHeight="1" x14ac:dyDescent="0.2">
      <c r="B18" s="6"/>
      <c r="C18" s="6"/>
    </row>
    <row r="19" spans="2:3" ht="15" customHeight="1" x14ac:dyDescent="0.2">
      <c r="B19" s="6"/>
      <c r="C19" s="6"/>
    </row>
    <row r="20" spans="2:3" ht="15" customHeight="1" x14ac:dyDescent="0.2">
      <c r="B20" s="6"/>
      <c r="C20" s="6"/>
    </row>
    <row r="21" spans="2:3" ht="15" customHeight="1" x14ac:dyDescent="0.2">
      <c r="B21" s="6"/>
      <c r="C21" s="6"/>
    </row>
    <row r="22" spans="2:3" ht="18" customHeight="1" x14ac:dyDescent="0.2"/>
    <row r="26" spans="2:3" ht="15" customHeight="1" x14ac:dyDescent="0.2">
      <c r="B26" s="6"/>
      <c r="C26" s="6"/>
    </row>
    <row r="32" spans="2:3" ht="15" customHeight="1" x14ac:dyDescent="0.2">
      <c r="B32" s="6"/>
      <c r="C32" s="6"/>
    </row>
    <row r="34" spans="2:3" ht="15" customHeight="1" x14ac:dyDescent="0.2">
      <c r="B34" s="6"/>
      <c r="C34" s="6"/>
    </row>
  </sheetData>
  <mergeCells count="4">
    <mergeCell ref="A3:A4"/>
    <mergeCell ref="B3:B4"/>
    <mergeCell ref="A1:C1"/>
    <mergeCell ref="A13:B13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Header>&amp;R7.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2</vt:i4>
      </vt:variant>
    </vt:vector>
  </HeadingPairs>
  <TitlesOfParts>
    <vt:vector size="12" baseType="lpstr">
      <vt:lpstr>1. Bevételek</vt:lpstr>
      <vt:lpstr>1.1.Bevételek (KÖT, ÖNV,Áll.i)</vt:lpstr>
      <vt:lpstr>2. Kiadások</vt:lpstr>
      <vt:lpstr>2.1.Kiadások (KÖT, ÖNV, Áll.i)</vt:lpstr>
      <vt:lpstr>3.Működési mérleg</vt:lpstr>
      <vt:lpstr>4. Felhalmozási mérleg</vt:lpstr>
      <vt:lpstr>5. Pénzeszköz átadás</vt:lpstr>
      <vt:lpstr>6 .Felhalmozási k.</vt:lpstr>
      <vt:lpstr>7. Létszám</vt:lpstr>
      <vt:lpstr>8. Adósságk.</vt:lpstr>
      <vt:lpstr>'1. Bevételek'!Nyomtatási_cím</vt:lpstr>
      <vt:lpstr>'2. Kiadások'!Nyomtatási_cím</vt:lpstr>
    </vt:vector>
  </TitlesOfParts>
  <Company>Budaörs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Burnoczki.Renata</cp:lastModifiedBy>
  <cp:lastPrinted>2021-03-04T15:58:13Z</cp:lastPrinted>
  <dcterms:created xsi:type="dcterms:W3CDTF">2005-12-27T13:42:28Z</dcterms:created>
  <dcterms:modified xsi:type="dcterms:W3CDTF">2021-03-08T07:00:15Z</dcterms:modified>
</cp:coreProperties>
</file>