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eszaros.edit\Documents\2020. évi beszámoló\KT előterjesztés\"/>
    </mc:Choice>
  </mc:AlternateContent>
  <xr:revisionPtr revIDLastSave="0" documentId="13_ncr:1_{1ED63F84-A231-4DF0-9F85-CDC31BDB0905}" xr6:coauthVersionLast="46" xr6:coauthVersionMax="46" xr10:uidLastSave="{00000000-0000-0000-0000-000000000000}"/>
  <bookViews>
    <workbookView xWindow="-108" yWindow="-108" windowWidth="23256" windowHeight="12576" tabRatio="1000" firstSheet="17" activeTab="22" xr2:uid="{00000000-000D-0000-FFFF-FFFF00000000}"/>
  </bookViews>
  <sheets>
    <sheet name="A melléklet" sheetId="1" r:id="rId1"/>
    <sheet name="A2 melléklet" sheetId="2" r:id="rId2"/>
    <sheet name="1.melléklet" sheetId="3" r:id="rId3"/>
    <sheet name="1_A melléklet" sheetId="4" r:id="rId4"/>
    <sheet name="1_B_MELLÉKLET" sheetId="5" r:id="rId5"/>
    <sheet name="2. melléklet" sheetId="6" r:id="rId6"/>
    <sheet name="3. melléklet" sheetId="7" r:id="rId7"/>
    <sheet name="4_.melléklet" sheetId="8" r:id="rId8"/>
    <sheet name="5.  melléklet" sheetId="9" r:id="rId9"/>
    <sheet name="6.melléket" sheetId="10" r:id="rId10"/>
    <sheet name="7. melléklet" sheetId="11" r:id="rId11"/>
    <sheet name="8. melléklet Önkormányzat" sheetId="12" r:id="rId12"/>
    <sheet name="9.  melléklet Hivatal" sheetId="13" r:id="rId13"/>
    <sheet name="10. melléklet Isaszegi Héts" sheetId="14" r:id="rId14"/>
    <sheet name="11.  melléklet Isaszegi Bóbi" sheetId="15" r:id="rId15"/>
    <sheet name="12. mell. Isaszegi Humánszol" sheetId="16" r:id="rId16"/>
    <sheet name="13.  mellékletMűvelődési ház" sheetId="17" r:id="rId17"/>
    <sheet name="14. melléklet Könyvtár" sheetId="18" r:id="rId18"/>
    <sheet name="15.melléklet IVÜSZ" sheetId="19" r:id="rId19"/>
    <sheet name="16. melléklet Bölcsőde" sheetId="20" r:id="rId20"/>
    <sheet name="17. melléklet" sheetId="21" r:id="rId21"/>
    <sheet name="18. melléklet" sheetId="22" r:id="rId22"/>
    <sheet name="19. melléklet" sheetId="23" r:id="rId23"/>
    <sheet name="20. melléklet" sheetId="24" r:id="rId24"/>
    <sheet name="21. melléklet" sheetId="25" r:id="rId25"/>
    <sheet name="22. melléklet" sheetId="26" r:id="rId26"/>
    <sheet name="23. melléklet" sheetId="28" r:id="rId27"/>
  </sheets>
  <externalReferences>
    <externalReference r:id="rId28"/>
  </externalReferences>
  <definedNames>
    <definedName name="Excel_BuiltIn_Print_Area" localSheetId="2">'1.melléklet'!$A$2:$H$83</definedName>
    <definedName name="Excel_BuiltIn_Print_Area" localSheetId="3">'1_A melléklet'!$A$1:$G$60</definedName>
    <definedName name="Excel_BuiltIn_Print_Area" localSheetId="4">'1_B_MELLÉKLET'!$A$1:$G$42</definedName>
    <definedName name="Excel_BuiltIn_Print_Area" localSheetId="15">'12. mell. Isaszegi Humánszol'!$A$1:$I$176</definedName>
    <definedName name="Excel_BuiltIn_Print_Area" localSheetId="20">'17. melléklet'!$A$1:$G$24</definedName>
    <definedName name="Excel_BuiltIn_Print_Area" localSheetId="7">'4_.melléklet'!$A$1:$L$49</definedName>
    <definedName name="Excel_BuiltIn_Print_Area" localSheetId="9">'6.melléket'!$A$2:$G$15</definedName>
    <definedName name="_xlnm.Print_Area" localSheetId="2">'1.melléklet'!$A$2:$H$83</definedName>
    <definedName name="_xlnm.Print_Area" localSheetId="3">'1_A melléklet'!$A$1:$H$60</definedName>
    <definedName name="_xlnm.Print_Area" localSheetId="4">'1_B_MELLÉKLET'!$A$1:$H$42</definedName>
    <definedName name="_xlnm.Print_Area" localSheetId="15">'12. mell. Isaszegi Humánszol'!$A$1:$I$176</definedName>
    <definedName name="_xlnm.Print_Area" localSheetId="20">'17. melléklet'!$A$1:$G$24</definedName>
    <definedName name="_xlnm.Print_Area" localSheetId="22">'19. melléklet'!$A$1:$M$30</definedName>
    <definedName name="_xlnm.Print_Area" localSheetId="7">'4_.melléklet'!$A$1:$J$60</definedName>
    <definedName name="_xlnm.Print_Area" localSheetId="9">'6.melléket'!$A$2:$G$15</definedName>
  </definedNames>
  <calcPr calcId="191029"/>
</workbook>
</file>

<file path=xl/calcChain.xml><?xml version="1.0" encoding="utf-8"?>
<calcChain xmlns="http://schemas.openxmlformats.org/spreadsheetml/2006/main">
  <c r="D11" i="9" l="1"/>
  <c r="C11" i="9"/>
  <c r="H62" i="18"/>
  <c r="H63" i="18"/>
  <c r="E58" i="2"/>
  <c r="E53" i="3"/>
  <c r="E16" i="5"/>
  <c r="E32" i="4"/>
  <c r="H8" i="5"/>
  <c r="H9" i="5"/>
  <c r="J19" i="23"/>
  <c r="J17" i="23"/>
  <c r="J10" i="23"/>
  <c r="J7" i="23"/>
  <c r="E53" i="17"/>
  <c r="E27" i="8"/>
  <c r="D38" i="1" s="1"/>
  <c r="F47" i="12"/>
  <c r="F46" i="12"/>
  <c r="F43" i="12"/>
  <c r="J11" i="23" l="1"/>
  <c r="E39" i="3"/>
  <c r="E54" i="12"/>
  <c r="E52" i="18"/>
  <c r="E53" i="18"/>
  <c r="E51" i="18"/>
  <c r="E17" i="3"/>
  <c r="E14" i="3"/>
  <c r="I7" i="3"/>
  <c r="E52" i="19"/>
  <c r="E51" i="19"/>
  <c r="E52" i="16"/>
  <c r="E51" i="16"/>
  <c r="E52" i="20"/>
  <c r="E51" i="20"/>
  <c r="E53" i="12"/>
  <c r="E52" i="12"/>
  <c r="E41" i="3"/>
  <c r="E46" i="13"/>
  <c r="E45" i="13"/>
  <c r="D37" i="1"/>
  <c r="E75" i="3"/>
  <c r="E43" i="19" l="1"/>
  <c r="F43" i="19" s="1"/>
  <c r="H43" i="19" s="1"/>
  <c r="G53" i="4"/>
  <c r="F53" i="4"/>
  <c r="G23" i="3"/>
  <c r="G21" i="4" s="1"/>
  <c r="G23" i="12"/>
  <c r="G41" i="12"/>
  <c r="G38" i="3" s="1"/>
  <c r="G21" i="12"/>
  <c r="E15" i="12"/>
  <c r="E14" i="12"/>
  <c r="E13" i="12"/>
  <c r="E11" i="12"/>
  <c r="F22" i="12"/>
  <c r="H22" i="12" s="1"/>
  <c r="M20" i="23"/>
  <c r="G19" i="3"/>
  <c r="C6" i="5"/>
  <c r="D6" i="5"/>
  <c r="E6" i="5"/>
  <c r="G6" i="5"/>
  <c r="F7" i="5"/>
  <c r="H7" i="5" s="1"/>
  <c r="E12" i="3"/>
  <c r="E12" i="4" s="1"/>
  <c r="E10" i="12"/>
  <c r="F10" i="12" s="1"/>
  <c r="E23" i="24"/>
  <c r="D23" i="24"/>
  <c r="C23" i="24"/>
  <c r="B23" i="24"/>
  <c r="G14" i="24"/>
  <c r="F14" i="24"/>
  <c r="E14" i="24"/>
  <c r="D14" i="24"/>
  <c r="C14" i="24"/>
  <c r="B14" i="24"/>
  <c r="G8" i="24"/>
  <c r="F8" i="24"/>
  <c r="E8" i="24"/>
  <c r="D8" i="24"/>
  <c r="C8" i="24"/>
  <c r="B8" i="24"/>
  <c r="L25" i="23"/>
  <c r="L23" i="23"/>
  <c r="G28" i="26"/>
  <c r="G15" i="26"/>
  <c r="C14" i="28"/>
  <c r="B14" i="28"/>
  <c r="I14" i="26"/>
  <c r="G32" i="26"/>
  <c r="G31" i="26"/>
  <c r="G30" i="26"/>
  <c r="G27" i="26"/>
  <c r="G26" i="26"/>
  <c r="G25" i="26"/>
  <c r="G24" i="26"/>
  <c r="G23" i="26"/>
  <c r="G22" i="26"/>
  <c r="G21" i="26"/>
  <c r="G20" i="26"/>
  <c r="G16" i="26"/>
  <c r="G14" i="26"/>
  <c r="G13" i="26"/>
  <c r="G12" i="26"/>
  <c r="G11" i="26"/>
  <c r="G10" i="26"/>
  <c r="G9" i="26"/>
  <c r="G8" i="26"/>
  <c r="G7" i="26"/>
  <c r="B7" i="26"/>
  <c r="J14" i="23"/>
  <c r="J26" i="23"/>
  <c r="G26" i="25"/>
  <c r="F26" i="25"/>
  <c r="F13" i="25"/>
  <c r="G13" i="25"/>
  <c r="G6" i="25"/>
  <c r="F6" i="25"/>
  <c r="F23" i="24"/>
  <c r="C7" i="23"/>
  <c r="L27" i="23"/>
  <c r="K26" i="23"/>
  <c r="I26" i="23"/>
  <c r="H26" i="23"/>
  <c r="G26" i="23"/>
  <c r="F26" i="23"/>
  <c r="E26" i="23"/>
  <c r="D26" i="23"/>
  <c r="C26" i="23"/>
  <c r="L24" i="23"/>
  <c r="L22" i="23"/>
  <c r="L21" i="23"/>
  <c r="L20" i="23"/>
  <c r="K17" i="23"/>
  <c r="I17" i="23"/>
  <c r="H17" i="23"/>
  <c r="G17" i="23"/>
  <c r="F17" i="23"/>
  <c r="E17" i="23"/>
  <c r="D17" i="23"/>
  <c r="C17" i="23"/>
  <c r="L16" i="23"/>
  <c r="L15" i="23"/>
  <c r="K14" i="23"/>
  <c r="I14" i="23"/>
  <c r="H14" i="23"/>
  <c r="G14" i="23"/>
  <c r="F14" i="23"/>
  <c r="E14" i="23"/>
  <c r="D14" i="23"/>
  <c r="C14" i="23"/>
  <c r="L13" i="23"/>
  <c r="L12" i="23"/>
  <c r="K10" i="23"/>
  <c r="I10" i="23"/>
  <c r="H10" i="23"/>
  <c r="G10" i="23"/>
  <c r="F10" i="23"/>
  <c r="E10" i="23"/>
  <c r="D10" i="23"/>
  <c r="C10" i="23"/>
  <c r="L9" i="23"/>
  <c r="L8" i="23"/>
  <c r="K7" i="23"/>
  <c r="I7" i="23"/>
  <c r="H7" i="23"/>
  <c r="G7" i="23"/>
  <c r="F7" i="23"/>
  <c r="E7" i="23"/>
  <c r="D7" i="23"/>
  <c r="L6" i="23"/>
  <c r="L5" i="23"/>
  <c r="F15" i="22"/>
  <c r="E15" i="22"/>
  <c r="D15" i="22"/>
  <c r="C15" i="22"/>
  <c r="G14" i="22"/>
  <c r="G13" i="22"/>
  <c r="G12" i="22"/>
  <c r="G11" i="22"/>
  <c r="G10" i="22"/>
  <c r="G9" i="22"/>
  <c r="E52" i="3"/>
  <c r="E42" i="4" s="1"/>
  <c r="E54" i="3"/>
  <c r="E55" i="3"/>
  <c r="E45" i="4" s="1"/>
  <c r="E56" i="3"/>
  <c r="E26" i="8"/>
  <c r="E28" i="8"/>
  <c r="E29" i="8"/>
  <c r="D43" i="1" s="1"/>
  <c r="E32" i="8"/>
  <c r="E33" i="8"/>
  <c r="E34" i="8"/>
  <c r="E35" i="8"/>
  <c r="E36" i="8"/>
  <c r="E37" i="8"/>
  <c r="D49" i="1" s="1"/>
  <c r="E38" i="8"/>
  <c r="E39" i="8"/>
  <c r="F39" i="8" s="1"/>
  <c r="H39" i="8" s="1"/>
  <c r="E40" i="8"/>
  <c r="E41" i="8"/>
  <c r="E42" i="8"/>
  <c r="D48" i="1" s="1"/>
  <c r="E25" i="8"/>
  <c r="F12" i="8"/>
  <c r="H12" i="8" s="1"/>
  <c r="G21" i="8"/>
  <c r="G31" i="8"/>
  <c r="E31" i="8" s="1"/>
  <c r="G5" i="8"/>
  <c r="E5" i="8" s="1"/>
  <c r="G30" i="8"/>
  <c r="G8" i="8"/>
  <c r="F42" i="8"/>
  <c r="H42" i="8" s="1"/>
  <c r="G18" i="8"/>
  <c r="F11" i="8"/>
  <c r="D63" i="3"/>
  <c r="D25" i="5" s="1"/>
  <c r="D46" i="8"/>
  <c r="G37" i="3"/>
  <c r="G12" i="5" s="1"/>
  <c r="D51" i="12"/>
  <c r="G51" i="12"/>
  <c r="D57" i="3"/>
  <c r="D51" i="3"/>
  <c r="D41" i="3"/>
  <c r="D32" i="4" s="1"/>
  <c r="D38" i="3"/>
  <c r="D13" i="5" s="1"/>
  <c r="D35" i="3"/>
  <c r="D26" i="3"/>
  <c r="D14" i="3"/>
  <c r="G17" i="5"/>
  <c r="G16" i="5" s="1"/>
  <c r="G43" i="12"/>
  <c r="G12" i="12"/>
  <c r="G9" i="3" s="1"/>
  <c r="G49" i="15"/>
  <c r="G71" i="15" s="1"/>
  <c r="E15" i="17"/>
  <c r="G15" i="17"/>
  <c r="D15" i="17"/>
  <c r="G62" i="17"/>
  <c r="E36" i="18"/>
  <c r="G36" i="18"/>
  <c r="D36" i="18"/>
  <c r="E62" i="18"/>
  <c r="G62" i="18"/>
  <c r="G45" i="19"/>
  <c r="F6" i="21"/>
  <c r="F12" i="21"/>
  <c r="D34" i="12"/>
  <c r="D15" i="8"/>
  <c r="D7" i="3"/>
  <c r="G7" i="3"/>
  <c r="G7" i="4" s="1"/>
  <c r="D8" i="3"/>
  <c r="E8" i="3"/>
  <c r="E8" i="4" s="1"/>
  <c r="G8" i="3"/>
  <c r="D9" i="3"/>
  <c r="D9" i="4" s="1"/>
  <c r="D10" i="3"/>
  <c r="D10" i="4" s="1"/>
  <c r="G10" i="3"/>
  <c r="G10" i="4" s="1"/>
  <c r="D11" i="3"/>
  <c r="G11" i="3"/>
  <c r="G11" i="4" s="1"/>
  <c r="D12" i="3"/>
  <c r="G12" i="3"/>
  <c r="G12" i="4" s="1"/>
  <c r="G14" i="3"/>
  <c r="G14" i="4" s="1"/>
  <c r="D15" i="3"/>
  <c r="F15" i="3" s="1"/>
  <c r="G15" i="3"/>
  <c r="D16" i="3"/>
  <c r="E16" i="3"/>
  <c r="F16" i="3" s="1"/>
  <c r="G16" i="3"/>
  <c r="G16" i="4" s="1"/>
  <c r="D17" i="3"/>
  <c r="F17" i="3"/>
  <c r="G17" i="3"/>
  <c r="G17" i="4" s="1"/>
  <c r="D19" i="3"/>
  <c r="D18" i="3" s="1"/>
  <c r="E19" i="3"/>
  <c r="E18" i="3" s="1"/>
  <c r="D21" i="3"/>
  <c r="D20" i="3" s="1"/>
  <c r="E21" i="3"/>
  <c r="G21" i="3"/>
  <c r="D22" i="3"/>
  <c r="E22" i="3"/>
  <c r="E20" i="4" s="1"/>
  <c r="G22" i="3"/>
  <c r="D23" i="3"/>
  <c r="E23" i="3"/>
  <c r="E21" i="4"/>
  <c r="D24" i="3"/>
  <c r="E24" i="3"/>
  <c r="E22" i="4" s="1"/>
  <c r="G24" i="3"/>
  <c r="G22" i="4" s="1"/>
  <c r="D24" i="4"/>
  <c r="E26" i="3"/>
  <c r="E24" i="4" s="1"/>
  <c r="D27" i="3"/>
  <c r="E27" i="3"/>
  <c r="E25" i="4" s="1"/>
  <c r="G27" i="3"/>
  <c r="G25" i="4" s="1"/>
  <c r="D28" i="3"/>
  <c r="F28" i="3" s="1"/>
  <c r="E28" i="3"/>
  <c r="G28" i="3"/>
  <c r="D29" i="3"/>
  <c r="D27" i="4" s="1"/>
  <c r="E29" i="3"/>
  <c r="E27" i="4" s="1"/>
  <c r="G29" i="3"/>
  <c r="G27" i="4" s="1"/>
  <c r="D30" i="3"/>
  <c r="E30" i="3"/>
  <c r="E28" i="4" s="1"/>
  <c r="G30" i="3"/>
  <c r="D32" i="3"/>
  <c r="E32" i="3"/>
  <c r="G32" i="3"/>
  <c r="G9" i="5" s="1"/>
  <c r="D33" i="3"/>
  <c r="F33" i="3" s="1"/>
  <c r="E33" i="3"/>
  <c r="G33" i="3"/>
  <c r="G31" i="3" s="1"/>
  <c r="G8" i="5" s="1"/>
  <c r="E35" i="3"/>
  <c r="E34" i="3" s="1"/>
  <c r="E29" i="4" s="1"/>
  <c r="G35" i="3"/>
  <c r="D37" i="3"/>
  <c r="D12" i="5" s="1"/>
  <c r="E37" i="3"/>
  <c r="E12" i="5" s="1"/>
  <c r="E38" i="3"/>
  <c r="E13" i="5" s="1"/>
  <c r="D40" i="3"/>
  <c r="E40" i="3"/>
  <c r="F41" i="3"/>
  <c r="H41" i="3" s="1"/>
  <c r="G41" i="3"/>
  <c r="G32" i="4" s="1"/>
  <c r="D42" i="3"/>
  <c r="E42" i="3"/>
  <c r="C44" i="3"/>
  <c r="C82" i="3" s="1"/>
  <c r="G51" i="3"/>
  <c r="G41" i="4" s="1"/>
  <c r="D52" i="3"/>
  <c r="D42" i="4" s="1"/>
  <c r="G52" i="3"/>
  <c r="G42" i="4" s="1"/>
  <c r="D53" i="3"/>
  <c r="D43" i="4" s="1"/>
  <c r="G53" i="3"/>
  <c r="G43" i="4" s="1"/>
  <c r="D54" i="3"/>
  <c r="D44" i="4" s="1"/>
  <c r="G54" i="3"/>
  <c r="G44" i="4" s="1"/>
  <c r="D55" i="3"/>
  <c r="G55" i="3"/>
  <c r="D56" i="3"/>
  <c r="D46" i="4" s="1"/>
  <c r="G56" i="3"/>
  <c r="I10" i="26" s="1"/>
  <c r="D58" i="3"/>
  <c r="D48" i="4" s="1"/>
  <c r="G58" i="3"/>
  <c r="G48" i="4" s="1"/>
  <c r="D59" i="3"/>
  <c r="D49" i="4" s="1"/>
  <c r="E59" i="3"/>
  <c r="E49" i="4" s="1"/>
  <c r="G59" i="3"/>
  <c r="G49" i="4" s="1"/>
  <c r="D60" i="3"/>
  <c r="D50" i="4" s="1"/>
  <c r="E60" i="3"/>
  <c r="D61" i="3"/>
  <c r="E61" i="3"/>
  <c r="G61" i="3"/>
  <c r="G63" i="3"/>
  <c r="G25" i="5" s="1"/>
  <c r="D64" i="3"/>
  <c r="D65" i="3"/>
  <c r="D27" i="5" s="1"/>
  <c r="E65" i="3"/>
  <c r="E27" i="5" s="1"/>
  <c r="G65" i="3"/>
  <c r="D66" i="3"/>
  <c r="G66" i="3"/>
  <c r="G28" i="5" s="1"/>
  <c r="F67" i="3"/>
  <c r="H14" i="26" s="1"/>
  <c r="D68" i="3"/>
  <c r="E68" i="3"/>
  <c r="E30" i="5" s="1"/>
  <c r="G68" i="3"/>
  <c r="D69" i="3"/>
  <c r="E69" i="3"/>
  <c r="E31" i="5" s="1"/>
  <c r="G69" i="3"/>
  <c r="G31" i="5" s="1"/>
  <c r="D70" i="3"/>
  <c r="D32" i="5" s="1"/>
  <c r="G70" i="3"/>
  <c r="D71" i="3"/>
  <c r="E71" i="3"/>
  <c r="G71" i="3"/>
  <c r="D73" i="3"/>
  <c r="E73" i="3"/>
  <c r="G73" i="3"/>
  <c r="D75" i="3"/>
  <c r="F75" i="3" s="1"/>
  <c r="G76" i="3"/>
  <c r="D79" i="3"/>
  <c r="E79" i="3"/>
  <c r="D80" i="3"/>
  <c r="E80" i="3"/>
  <c r="G80" i="3"/>
  <c r="C7" i="4"/>
  <c r="D7" i="4"/>
  <c r="C8" i="4"/>
  <c r="G8" i="4"/>
  <c r="C9" i="4"/>
  <c r="C10" i="4"/>
  <c r="C11" i="4"/>
  <c r="D11" i="4"/>
  <c r="E11" i="4"/>
  <c r="C12" i="4"/>
  <c r="C14" i="4"/>
  <c r="C15" i="4"/>
  <c r="E15" i="4"/>
  <c r="C16" i="4"/>
  <c r="C17" i="4"/>
  <c r="D17" i="4"/>
  <c r="C19" i="4"/>
  <c r="F19" i="4"/>
  <c r="C19" i="6" s="1"/>
  <c r="C20" i="4"/>
  <c r="D20" i="4"/>
  <c r="G20" i="4"/>
  <c r="C21" i="4"/>
  <c r="C22" i="4"/>
  <c r="D22" i="4"/>
  <c r="C24" i="4"/>
  <c r="C25" i="4"/>
  <c r="C26" i="4"/>
  <c r="D26" i="4"/>
  <c r="E26" i="4"/>
  <c r="G26" i="4"/>
  <c r="C27" i="4"/>
  <c r="C28" i="4"/>
  <c r="D28" i="4"/>
  <c r="G28" i="4"/>
  <c r="C29" i="4"/>
  <c r="C31" i="4"/>
  <c r="D31" i="4"/>
  <c r="C32" i="4"/>
  <c r="E33" i="4"/>
  <c r="C41" i="4"/>
  <c r="C42" i="4"/>
  <c r="C43" i="4"/>
  <c r="C44" i="4"/>
  <c r="E44" i="4"/>
  <c r="F44" i="4" s="1"/>
  <c r="F10" i="6" s="1"/>
  <c r="C45" i="4"/>
  <c r="D45" i="4"/>
  <c r="G45" i="4"/>
  <c r="C46" i="4"/>
  <c r="C48" i="4"/>
  <c r="C49" i="4"/>
  <c r="C50" i="4"/>
  <c r="E50" i="4"/>
  <c r="C51" i="4"/>
  <c r="D51" i="4"/>
  <c r="E51" i="4"/>
  <c r="G51" i="4"/>
  <c r="C52" i="4"/>
  <c r="D52" i="4"/>
  <c r="E52" i="4"/>
  <c r="G52" i="4"/>
  <c r="H53" i="4"/>
  <c r="F54" i="4"/>
  <c r="C56" i="4"/>
  <c r="C8" i="5"/>
  <c r="B9" i="5"/>
  <c r="C9" i="5"/>
  <c r="D10" i="5"/>
  <c r="E10" i="5"/>
  <c r="C11" i="5"/>
  <c r="C12" i="5"/>
  <c r="C13" i="5"/>
  <c r="F15" i="5"/>
  <c r="C17" i="5"/>
  <c r="C16" i="5" s="1"/>
  <c r="E17" i="5"/>
  <c r="C25" i="5"/>
  <c r="C26" i="5"/>
  <c r="C27" i="5"/>
  <c r="F42" i="6" s="1"/>
  <c r="G27" i="5"/>
  <c r="C28" i="5"/>
  <c r="C29" i="5"/>
  <c r="F44" i="6" s="1"/>
  <c r="D29" i="5"/>
  <c r="G29" i="5"/>
  <c r="C30" i="5"/>
  <c r="F45" i="6" s="1"/>
  <c r="D30" i="5"/>
  <c r="G30" i="5"/>
  <c r="C31" i="5"/>
  <c r="F46" i="6" s="1"/>
  <c r="F33" i="5"/>
  <c r="C34" i="5"/>
  <c r="F48" i="6" s="1"/>
  <c r="D34" i="5"/>
  <c r="E34" i="5"/>
  <c r="G34" i="5"/>
  <c r="F35" i="5"/>
  <c r="H35" i="5" s="1"/>
  <c r="F36" i="5"/>
  <c r="C8" i="14"/>
  <c r="D8" i="14"/>
  <c r="E8" i="14"/>
  <c r="F8" i="14"/>
  <c r="C15" i="14"/>
  <c r="D15" i="14"/>
  <c r="E15" i="14"/>
  <c r="E41" i="14" s="1"/>
  <c r="F15" i="14"/>
  <c r="C20" i="14"/>
  <c r="D20" i="14"/>
  <c r="E20" i="14"/>
  <c r="F20" i="14"/>
  <c r="C22" i="14"/>
  <c r="D22" i="14"/>
  <c r="E22" i="14"/>
  <c r="F22" i="14"/>
  <c r="C27" i="14"/>
  <c r="D27" i="14"/>
  <c r="E27" i="14"/>
  <c r="C33" i="14"/>
  <c r="C36" i="14"/>
  <c r="D36" i="14"/>
  <c r="E36" i="14"/>
  <c r="F36" i="14"/>
  <c r="C38" i="14"/>
  <c r="D38" i="14"/>
  <c r="E38" i="14"/>
  <c r="F38" i="14"/>
  <c r="F43" i="14"/>
  <c r="H43" i="14" s="1"/>
  <c r="F44" i="14"/>
  <c r="G45" i="14"/>
  <c r="G46" i="14" s="1"/>
  <c r="D50" i="14"/>
  <c r="E50" i="14"/>
  <c r="G50" i="14"/>
  <c r="G77" i="14" s="1"/>
  <c r="F51" i="14"/>
  <c r="F52" i="14"/>
  <c r="H52" i="14" s="1"/>
  <c r="F53" i="14"/>
  <c r="H53" i="14" s="1"/>
  <c r="F54" i="14"/>
  <c r="F55" i="14"/>
  <c r="F56" i="14"/>
  <c r="C57" i="14"/>
  <c r="C50" i="14"/>
  <c r="F57" i="14"/>
  <c r="F58" i="14"/>
  <c r="F59" i="14"/>
  <c r="F60" i="14"/>
  <c r="F61" i="14"/>
  <c r="C62" i="14"/>
  <c r="D62" i="14"/>
  <c r="E62" i="14"/>
  <c r="F63" i="14"/>
  <c r="F64" i="14"/>
  <c r="F65" i="14"/>
  <c r="F66" i="14"/>
  <c r="F67" i="14"/>
  <c r="F68" i="14"/>
  <c r="F69" i="14"/>
  <c r="F70" i="14"/>
  <c r="F71" i="14"/>
  <c r="F73" i="14"/>
  <c r="C74" i="14"/>
  <c r="F74" i="14"/>
  <c r="F75" i="14"/>
  <c r="F76" i="14"/>
  <c r="F78" i="14"/>
  <c r="F79" i="14"/>
  <c r="H79" i="14" s="1"/>
  <c r="F80" i="14"/>
  <c r="C7" i="15"/>
  <c r="D7" i="15"/>
  <c r="E7" i="15"/>
  <c r="F7" i="15"/>
  <c r="C14" i="15"/>
  <c r="D14" i="15"/>
  <c r="E14" i="15"/>
  <c r="F14" i="15"/>
  <c r="F40" i="15" s="1"/>
  <c r="C19" i="15"/>
  <c r="D19" i="15"/>
  <c r="E19" i="15"/>
  <c r="F19" i="15"/>
  <c r="C21" i="15"/>
  <c r="D21" i="15"/>
  <c r="E21" i="15"/>
  <c r="F21" i="15"/>
  <c r="C26" i="15"/>
  <c r="D26" i="15"/>
  <c r="E26" i="15"/>
  <c r="F26" i="15"/>
  <c r="C32" i="15"/>
  <c r="D32" i="15"/>
  <c r="E32" i="15"/>
  <c r="F32" i="15"/>
  <c r="C35" i="15"/>
  <c r="D35" i="15"/>
  <c r="E35" i="15"/>
  <c r="F35" i="15"/>
  <c r="C37" i="15"/>
  <c r="D37" i="15"/>
  <c r="E37" i="15"/>
  <c r="E40" i="15" s="1"/>
  <c r="F37" i="15"/>
  <c r="C40" i="15"/>
  <c r="D40" i="15"/>
  <c r="F42" i="15"/>
  <c r="H42" i="15" s="1"/>
  <c r="F43" i="15"/>
  <c r="G44" i="15"/>
  <c r="G45" i="15" s="1"/>
  <c r="D49" i="15"/>
  <c r="E49" i="15"/>
  <c r="F50" i="15"/>
  <c r="H50" i="15" s="1"/>
  <c r="F51" i="15"/>
  <c r="H51" i="15" s="1"/>
  <c r="F52" i="15"/>
  <c r="H52" i="15" s="1"/>
  <c r="F53" i="15"/>
  <c r="F54" i="15"/>
  <c r="F55" i="15"/>
  <c r="C56" i="15"/>
  <c r="C49" i="15" s="1"/>
  <c r="F56" i="15"/>
  <c r="F57" i="15"/>
  <c r="F58" i="15"/>
  <c r="F59" i="15"/>
  <c r="F60" i="15"/>
  <c r="C61" i="15"/>
  <c r="D61" i="15"/>
  <c r="F61" i="15" s="1"/>
  <c r="E61" i="15"/>
  <c r="F62" i="15"/>
  <c r="F63" i="15"/>
  <c r="F64" i="15"/>
  <c r="F65" i="15"/>
  <c r="F66" i="15"/>
  <c r="F67" i="15"/>
  <c r="F68" i="15"/>
  <c r="F69" i="15"/>
  <c r="F70" i="15"/>
  <c r="F72" i="15"/>
  <c r="C73" i="15"/>
  <c r="F73" i="15"/>
  <c r="F74" i="15"/>
  <c r="F75" i="15"/>
  <c r="F77" i="15"/>
  <c r="C85" i="15"/>
  <c r="C87" i="15" s="1"/>
  <c r="C8" i="16"/>
  <c r="D8" i="16"/>
  <c r="E8" i="16"/>
  <c r="F8" i="16"/>
  <c r="C15" i="16"/>
  <c r="D15" i="16"/>
  <c r="E15" i="16"/>
  <c r="F15" i="16"/>
  <c r="C20" i="16"/>
  <c r="D20" i="16"/>
  <c r="E20" i="16"/>
  <c r="F20" i="16"/>
  <c r="C22" i="16"/>
  <c r="D22" i="16"/>
  <c r="E22" i="16"/>
  <c r="F22" i="16"/>
  <c r="C27" i="16"/>
  <c r="D27" i="16"/>
  <c r="E27" i="16"/>
  <c r="F27" i="16" s="1"/>
  <c r="H27" i="16" s="1"/>
  <c r="G27" i="16"/>
  <c r="G41" i="16" s="1"/>
  <c r="F28" i="16"/>
  <c r="H28" i="16" s="1"/>
  <c r="G26" i="3"/>
  <c r="F29" i="16"/>
  <c r="F30" i="16"/>
  <c r="F31" i="16"/>
  <c r="F32" i="16"/>
  <c r="C33" i="16"/>
  <c r="D33" i="16"/>
  <c r="F33" i="16"/>
  <c r="E33" i="16"/>
  <c r="F34" i="16"/>
  <c r="F35" i="16"/>
  <c r="C36" i="16"/>
  <c r="G36" i="16"/>
  <c r="H36" i="16"/>
  <c r="F37" i="16"/>
  <c r="H37" i="16"/>
  <c r="C38" i="16"/>
  <c r="F38" i="16"/>
  <c r="F39" i="16"/>
  <c r="F40" i="16"/>
  <c r="F43" i="16"/>
  <c r="H43" i="16" s="1"/>
  <c r="F44" i="16"/>
  <c r="F47" i="16"/>
  <c r="D50" i="16"/>
  <c r="D77" i="16" s="1"/>
  <c r="G50" i="16"/>
  <c r="F52" i="16"/>
  <c r="H52" i="16" s="1"/>
  <c r="F53" i="16"/>
  <c r="H53" i="16" s="1"/>
  <c r="F54" i="16"/>
  <c r="F55" i="16"/>
  <c r="F56" i="16"/>
  <c r="C57" i="16"/>
  <c r="C50" i="16" s="1"/>
  <c r="F57" i="16"/>
  <c r="F58" i="16"/>
  <c r="F59" i="16"/>
  <c r="F60" i="16"/>
  <c r="F61" i="16"/>
  <c r="C62" i="16"/>
  <c r="D62" i="16"/>
  <c r="E62" i="16"/>
  <c r="F62" i="16" s="1"/>
  <c r="G62" i="16"/>
  <c r="F63" i="16"/>
  <c r="H63" i="16" s="1"/>
  <c r="F64" i="16"/>
  <c r="F65" i="16"/>
  <c r="F66" i="16"/>
  <c r="F67" i="16"/>
  <c r="F68" i="16"/>
  <c r="F69" i="16"/>
  <c r="F70" i="16"/>
  <c r="F71" i="16"/>
  <c r="F73" i="16"/>
  <c r="C74" i="16"/>
  <c r="F74" i="16"/>
  <c r="F75" i="16"/>
  <c r="F76" i="16"/>
  <c r="F78" i="16"/>
  <c r="H79" i="16"/>
  <c r="C85" i="16"/>
  <c r="C86" i="16" s="1"/>
  <c r="C88" i="16" s="1"/>
  <c r="C96" i="16"/>
  <c r="D96" i="16"/>
  <c r="E96" i="16"/>
  <c r="F97" i="16"/>
  <c r="F98" i="16"/>
  <c r="F99" i="16"/>
  <c r="F100" i="16"/>
  <c r="F101" i="16"/>
  <c r="F102" i="16"/>
  <c r="C103" i="16"/>
  <c r="D103" i="16"/>
  <c r="E103" i="16"/>
  <c r="F104" i="16"/>
  <c r="F105" i="16"/>
  <c r="F106" i="16"/>
  <c r="F107" i="16"/>
  <c r="C108" i="16"/>
  <c r="D108" i="16"/>
  <c r="E108" i="16"/>
  <c r="F109" i="16"/>
  <c r="C110" i="16"/>
  <c r="D110" i="16"/>
  <c r="F110" i="16" s="1"/>
  <c r="E110" i="16"/>
  <c r="F111" i="16"/>
  <c r="F112" i="16"/>
  <c r="F113" i="16"/>
  <c r="F114" i="16"/>
  <c r="C115" i="16"/>
  <c r="E115" i="16"/>
  <c r="G115" i="16"/>
  <c r="G129" i="16" s="1"/>
  <c r="F116" i="16"/>
  <c r="H116" i="16" s="1"/>
  <c r="F117" i="16"/>
  <c r="F118" i="16"/>
  <c r="F119" i="16"/>
  <c r="F120" i="16"/>
  <c r="C121" i="16"/>
  <c r="D121" i="16"/>
  <c r="E121" i="16"/>
  <c r="F122" i="16"/>
  <c r="F123" i="16"/>
  <c r="C124" i="16"/>
  <c r="F124" i="16"/>
  <c r="F125" i="16"/>
  <c r="C126" i="16"/>
  <c r="F126" i="16"/>
  <c r="F127" i="16"/>
  <c r="F128" i="16"/>
  <c r="F131" i="16"/>
  <c r="F132" i="16"/>
  <c r="D138" i="16"/>
  <c r="G138" i="16"/>
  <c r="G165" i="16" s="1"/>
  <c r="E139" i="16"/>
  <c r="F139" i="16" s="1"/>
  <c r="H139" i="16" s="1"/>
  <c r="F140" i="16"/>
  <c r="H140" i="16" s="1"/>
  <c r="F142" i="16"/>
  <c r="F143" i="16"/>
  <c r="F144" i="16"/>
  <c r="C145" i="16"/>
  <c r="C138" i="16" s="1"/>
  <c r="F145" i="16"/>
  <c r="F146" i="16"/>
  <c r="F147" i="16"/>
  <c r="F148" i="16"/>
  <c r="F149" i="16"/>
  <c r="C150" i="16"/>
  <c r="D150" i="16"/>
  <c r="E150" i="16"/>
  <c r="F150" i="16" s="1"/>
  <c r="F151" i="16"/>
  <c r="F152" i="16"/>
  <c r="F153" i="16"/>
  <c r="F154" i="16"/>
  <c r="F155" i="16"/>
  <c r="F156" i="16"/>
  <c r="F157" i="16"/>
  <c r="F158" i="16"/>
  <c r="F159" i="16"/>
  <c r="F161" i="16"/>
  <c r="C162" i="16"/>
  <c r="F162" i="16"/>
  <c r="F163" i="16"/>
  <c r="F164" i="16"/>
  <c r="F166" i="16"/>
  <c r="F167" i="16"/>
  <c r="G167" i="16" s="1"/>
  <c r="H167" i="16" s="1"/>
  <c r="F168" i="16"/>
  <c r="G168" i="16"/>
  <c r="C173" i="16"/>
  <c r="C174" i="16" s="1"/>
  <c r="C176" i="16" s="1"/>
  <c r="C8" i="17"/>
  <c r="D8" i="17"/>
  <c r="E8" i="17"/>
  <c r="F8" i="17"/>
  <c r="C15" i="17"/>
  <c r="F16" i="17"/>
  <c r="F15" i="17" s="1"/>
  <c r="H15" i="17" s="1"/>
  <c r="F17" i="17"/>
  <c r="F18" i="17"/>
  <c r="F19" i="17"/>
  <c r="C20" i="17"/>
  <c r="D20" i="17"/>
  <c r="E20" i="17"/>
  <c r="F21" i="17"/>
  <c r="C22" i="17"/>
  <c r="D22" i="17"/>
  <c r="E22" i="17"/>
  <c r="F22" i="17"/>
  <c r="F23" i="17"/>
  <c r="F24" i="17"/>
  <c r="F25" i="17"/>
  <c r="F26" i="17"/>
  <c r="C27" i="17"/>
  <c r="D27" i="17"/>
  <c r="E27" i="17"/>
  <c r="F27" i="17" s="1"/>
  <c r="G27" i="17"/>
  <c r="F28" i="17"/>
  <c r="H28" i="17" s="1"/>
  <c r="F29" i="17"/>
  <c r="F30" i="17"/>
  <c r="F31" i="17"/>
  <c r="F32" i="17"/>
  <c r="C33" i="17"/>
  <c r="D33" i="17"/>
  <c r="F33" i="17" s="1"/>
  <c r="E33" i="17"/>
  <c r="F34" i="17"/>
  <c r="F35" i="17"/>
  <c r="C36" i="17"/>
  <c r="D36" i="17"/>
  <c r="F36" i="17" s="1"/>
  <c r="E36" i="17"/>
  <c r="F37" i="17"/>
  <c r="C38" i="17"/>
  <c r="D38" i="17"/>
  <c r="F38" i="17" s="1"/>
  <c r="E38" i="17"/>
  <c r="F39" i="17"/>
  <c r="F40" i="17"/>
  <c r="F43" i="17"/>
  <c r="H43" i="17" s="1"/>
  <c r="F44" i="17"/>
  <c r="G45" i="17"/>
  <c r="D50" i="17"/>
  <c r="E50" i="17"/>
  <c r="G50" i="17"/>
  <c r="F51" i="17"/>
  <c r="H51" i="17" s="1"/>
  <c r="F52" i="17"/>
  <c r="H52" i="17" s="1"/>
  <c r="F53" i="17"/>
  <c r="H53" i="17" s="1"/>
  <c r="F54" i="17"/>
  <c r="F55" i="17"/>
  <c r="F56" i="17"/>
  <c r="C57" i="17"/>
  <c r="C50" i="17" s="1"/>
  <c r="F57" i="17"/>
  <c r="F58" i="17"/>
  <c r="F59" i="17"/>
  <c r="F60" i="17"/>
  <c r="F61" i="17"/>
  <c r="C62" i="17"/>
  <c r="D62" i="17"/>
  <c r="E62" i="17"/>
  <c r="F63" i="17"/>
  <c r="H63" i="17" s="1"/>
  <c r="F64" i="17"/>
  <c r="F65" i="17"/>
  <c r="F66" i="17"/>
  <c r="F67" i="17"/>
  <c r="F68" i="17"/>
  <c r="F69" i="17"/>
  <c r="F70" i="17"/>
  <c r="F71" i="17"/>
  <c r="F73" i="17"/>
  <c r="C74" i="17"/>
  <c r="D74" i="17"/>
  <c r="E74" i="17"/>
  <c r="F75" i="17"/>
  <c r="F76" i="17"/>
  <c r="F78" i="17"/>
  <c r="F79" i="17"/>
  <c r="F80" i="17"/>
  <c r="C87" i="17"/>
  <c r="C8" i="18"/>
  <c r="D8" i="18"/>
  <c r="E8" i="18"/>
  <c r="F8" i="18"/>
  <c r="C15" i="18"/>
  <c r="D15" i="18"/>
  <c r="E15" i="18"/>
  <c r="F15" i="18"/>
  <c r="C20" i="18"/>
  <c r="D20" i="18"/>
  <c r="E20" i="18"/>
  <c r="F20" i="18"/>
  <c r="C22" i="18"/>
  <c r="D22" i="18"/>
  <c r="E22" i="18"/>
  <c r="F22" i="18"/>
  <c r="C27" i="18"/>
  <c r="D27" i="18"/>
  <c r="E27" i="18"/>
  <c r="F27" i="18" s="1"/>
  <c r="H27" i="18" s="1"/>
  <c r="G27" i="18"/>
  <c r="G41" i="18" s="1"/>
  <c r="F28" i="18"/>
  <c r="H28" i="18"/>
  <c r="F29" i="18"/>
  <c r="F30" i="18"/>
  <c r="F31" i="18"/>
  <c r="F32" i="18"/>
  <c r="C33" i="18"/>
  <c r="D33" i="18"/>
  <c r="D41" i="18" s="1"/>
  <c r="E33" i="18"/>
  <c r="F34" i="18"/>
  <c r="F35" i="18"/>
  <c r="C36" i="18"/>
  <c r="F37" i="18"/>
  <c r="F36" i="18" s="1"/>
  <c r="H36" i="18" s="1"/>
  <c r="H37" i="18"/>
  <c r="D38" i="18"/>
  <c r="F38" i="18" s="1"/>
  <c r="F39" i="18"/>
  <c r="F40" i="18"/>
  <c r="F43" i="18"/>
  <c r="H43" i="18" s="1"/>
  <c r="F44" i="18"/>
  <c r="G45" i="18"/>
  <c r="F47" i="18"/>
  <c r="D50" i="18"/>
  <c r="G50" i="18"/>
  <c r="F52" i="18"/>
  <c r="H52" i="18" s="1"/>
  <c r="F53" i="18"/>
  <c r="H53" i="18" s="1"/>
  <c r="F54" i="18"/>
  <c r="F55" i="18"/>
  <c r="F56" i="18"/>
  <c r="C57" i="18"/>
  <c r="C50" i="18"/>
  <c r="F57" i="18"/>
  <c r="F58" i="18"/>
  <c r="F59" i="18"/>
  <c r="F60" i="18"/>
  <c r="F61" i="18"/>
  <c r="C62" i="18"/>
  <c r="D62" i="18"/>
  <c r="F62" i="18"/>
  <c r="F64" i="18"/>
  <c r="F65" i="18"/>
  <c r="F66" i="18"/>
  <c r="F67" i="18"/>
  <c r="F68" i="18"/>
  <c r="F69" i="18"/>
  <c r="F70" i="18"/>
  <c r="F71" i="18"/>
  <c r="F73" i="18"/>
  <c r="C74" i="18"/>
  <c r="D74" i="18"/>
  <c r="E74" i="18"/>
  <c r="F75" i="18"/>
  <c r="F76" i="18"/>
  <c r="F78" i="18"/>
  <c r="F79" i="18"/>
  <c r="H79" i="18" s="1"/>
  <c r="F80" i="18"/>
  <c r="A85" i="18"/>
  <c r="C85" i="18" s="1"/>
  <c r="C8" i="19"/>
  <c r="D8" i="19"/>
  <c r="E8" i="19"/>
  <c r="F8" i="19"/>
  <c r="C15" i="19"/>
  <c r="D15" i="19"/>
  <c r="E15" i="19"/>
  <c r="F15" i="19"/>
  <c r="C20" i="19"/>
  <c r="D20" i="19"/>
  <c r="E20" i="19"/>
  <c r="F20" i="19"/>
  <c r="C22" i="19"/>
  <c r="D22" i="19"/>
  <c r="E22" i="19"/>
  <c r="F22" i="19"/>
  <c r="C27" i="19"/>
  <c r="D27" i="19"/>
  <c r="E27" i="19"/>
  <c r="G27" i="19"/>
  <c r="G41" i="19" s="1"/>
  <c r="F28" i="19"/>
  <c r="H28" i="19" s="1"/>
  <c r="F29" i="19"/>
  <c r="F30" i="19"/>
  <c r="F31" i="19"/>
  <c r="F32" i="19"/>
  <c r="C33" i="19"/>
  <c r="D33" i="19"/>
  <c r="F33" i="19" s="1"/>
  <c r="E33" i="19"/>
  <c r="F34" i="19"/>
  <c r="F35" i="19"/>
  <c r="C36" i="19"/>
  <c r="D36" i="19"/>
  <c r="E36" i="19"/>
  <c r="F37" i="19"/>
  <c r="C38" i="19"/>
  <c r="D38" i="19"/>
  <c r="F38" i="19" s="1"/>
  <c r="E38" i="19"/>
  <c r="F39" i="19"/>
  <c r="F40" i="19"/>
  <c r="F44" i="19"/>
  <c r="C45" i="19"/>
  <c r="D50" i="19"/>
  <c r="E50" i="19"/>
  <c r="E77" i="19" s="1"/>
  <c r="G50" i="19"/>
  <c r="G72" i="19" s="1"/>
  <c r="F51" i="19"/>
  <c r="H51" i="19" s="1"/>
  <c r="F52" i="19"/>
  <c r="H52" i="19" s="1"/>
  <c r="F53" i="19"/>
  <c r="H53" i="19" s="1"/>
  <c r="F54" i="19"/>
  <c r="F55" i="19"/>
  <c r="F56" i="19"/>
  <c r="C57" i="19"/>
  <c r="C50" i="19" s="1"/>
  <c r="F57" i="19"/>
  <c r="F58" i="19"/>
  <c r="F59" i="19"/>
  <c r="F60" i="19"/>
  <c r="F61" i="19"/>
  <c r="C62" i="19"/>
  <c r="D62" i="19"/>
  <c r="E62" i="19"/>
  <c r="F63" i="19"/>
  <c r="F64" i="19"/>
  <c r="F65" i="19"/>
  <c r="F66" i="19"/>
  <c r="F67" i="19"/>
  <c r="F68" i="19"/>
  <c r="F69" i="19"/>
  <c r="F70" i="19"/>
  <c r="F71" i="19"/>
  <c r="F73" i="19"/>
  <c r="C74" i="19"/>
  <c r="D74" i="19"/>
  <c r="E74" i="19"/>
  <c r="F75" i="19"/>
  <c r="F76" i="19"/>
  <c r="F78" i="19"/>
  <c r="F79" i="19"/>
  <c r="F80" i="19"/>
  <c r="C86" i="19"/>
  <c r="C88" i="19"/>
  <c r="C89" i="19" s="1"/>
  <c r="C90" i="19"/>
  <c r="C91" i="19"/>
  <c r="C8" i="20"/>
  <c r="D8" i="20"/>
  <c r="D41" i="20" s="1"/>
  <c r="E8" i="20"/>
  <c r="E41" i="20" s="1"/>
  <c r="F8" i="20"/>
  <c r="C15" i="20"/>
  <c r="D15" i="20"/>
  <c r="E15" i="20"/>
  <c r="F15" i="20"/>
  <c r="C20" i="20"/>
  <c r="D20" i="20"/>
  <c r="E20" i="20"/>
  <c r="F20" i="20"/>
  <c r="C22" i="20"/>
  <c r="D22" i="20"/>
  <c r="E22" i="20"/>
  <c r="F22" i="20"/>
  <c r="C27" i="20"/>
  <c r="D27" i="20"/>
  <c r="E27" i="20"/>
  <c r="G27" i="20"/>
  <c r="G41" i="20" s="1"/>
  <c r="F28" i="20"/>
  <c r="H28" i="20" s="1"/>
  <c r="F29" i="20"/>
  <c r="F30" i="20"/>
  <c r="F31" i="20"/>
  <c r="F32" i="20"/>
  <c r="C33" i="20"/>
  <c r="D33" i="20"/>
  <c r="F33" i="20" s="1"/>
  <c r="E33" i="20"/>
  <c r="F34" i="20"/>
  <c r="F35" i="20"/>
  <c r="C36" i="20"/>
  <c r="D36" i="20"/>
  <c r="E36" i="20"/>
  <c r="F37" i="20"/>
  <c r="C38" i="20"/>
  <c r="D38" i="20"/>
  <c r="E38" i="20"/>
  <c r="F39" i="20"/>
  <c r="F40" i="20"/>
  <c r="F43" i="20"/>
  <c r="F44" i="20"/>
  <c r="C45" i="20"/>
  <c r="G45" i="20"/>
  <c r="D50" i="20"/>
  <c r="E50" i="20"/>
  <c r="F50" i="20" s="1"/>
  <c r="H50" i="20" s="1"/>
  <c r="G50" i="20"/>
  <c r="G77" i="20" s="1"/>
  <c r="F51" i="20"/>
  <c r="H51" i="20" s="1"/>
  <c r="F52" i="20"/>
  <c r="H52" i="20" s="1"/>
  <c r="F53" i="20"/>
  <c r="H53" i="20" s="1"/>
  <c r="F54" i="20"/>
  <c r="F55" i="20"/>
  <c r="F56" i="20"/>
  <c r="C57" i="20"/>
  <c r="C50" i="20"/>
  <c r="F57" i="20"/>
  <c r="F58" i="20"/>
  <c r="F59" i="20"/>
  <c r="F60" i="20"/>
  <c r="F61" i="20"/>
  <c r="C62" i="20"/>
  <c r="D62" i="20"/>
  <c r="E62" i="20"/>
  <c r="F62" i="20" s="1"/>
  <c r="F63" i="20"/>
  <c r="F64" i="20"/>
  <c r="F65" i="20"/>
  <c r="F66" i="20"/>
  <c r="F67" i="20"/>
  <c r="F68" i="20"/>
  <c r="F69" i="20"/>
  <c r="F70" i="20"/>
  <c r="F71" i="20"/>
  <c r="G72" i="20"/>
  <c r="F73" i="20"/>
  <c r="C74" i="20"/>
  <c r="D74" i="20"/>
  <c r="E74" i="20"/>
  <c r="F75" i="20"/>
  <c r="F76" i="20"/>
  <c r="F78" i="20"/>
  <c r="F79" i="20"/>
  <c r="F80" i="20"/>
  <c r="C86" i="20"/>
  <c r="C87" i="20"/>
  <c r="C88" i="20"/>
  <c r="C90" i="20"/>
  <c r="C91" i="20" s="1"/>
  <c r="E6" i="21"/>
  <c r="E7" i="21"/>
  <c r="F7" i="21"/>
  <c r="G7" i="21" s="1"/>
  <c r="E8" i="21"/>
  <c r="G8" i="21" s="1"/>
  <c r="E9" i="21"/>
  <c r="G9" i="21" s="1"/>
  <c r="E10" i="21"/>
  <c r="G10" i="21" s="1"/>
  <c r="E11" i="21"/>
  <c r="G11" i="21" s="1"/>
  <c r="E12" i="21"/>
  <c r="G12" i="21" s="1"/>
  <c r="E13" i="21"/>
  <c r="G13" i="21" s="1"/>
  <c r="E14" i="21"/>
  <c r="G14" i="21" s="1"/>
  <c r="E15" i="21"/>
  <c r="G15" i="21" s="1"/>
  <c r="E16" i="21"/>
  <c r="G16" i="21" s="1"/>
  <c r="E17" i="21"/>
  <c r="G17" i="21" s="1"/>
  <c r="E18" i="21"/>
  <c r="G18" i="21" s="1"/>
  <c r="E19" i="21"/>
  <c r="G19" i="21" s="1"/>
  <c r="E20" i="21"/>
  <c r="E21" i="21"/>
  <c r="G21" i="21" s="1"/>
  <c r="E22" i="21"/>
  <c r="G22" i="21" s="1"/>
  <c r="B23" i="21"/>
  <c r="C23" i="21"/>
  <c r="D23" i="21"/>
  <c r="F19" i="6"/>
  <c r="C28" i="6"/>
  <c r="C48" i="6"/>
  <c r="F49" i="6"/>
  <c r="F50" i="6"/>
  <c r="F6" i="7"/>
  <c r="F11" i="7" s="1"/>
  <c r="C11" i="7"/>
  <c r="D11" i="7"/>
  <c r="E11" i="7"/>
  <c r="C5" i="8"/>
  <c r="C15" i="8" s="1"/>
  <c r="F5" i="8"/>
  <c r="H6" i="8"/>
  <c r="F7" i="8"/>
  <c r="F9" i="8"/>
  <c r="F10" i="8"/>
  <c r="F13" i="8"/>
  <c r="F16" i="8"/>
  <c r="F17" i="8"/>
  <c r="C18" i="8"/>
  <c r="F18" i="8"/>
  <c r="C19" i="8"/>
  <c r="F19" i="8"/>
  <c r="H19" i="8" s="1"/>
  <c r="F20" i="8"/>
  <c r="F21" i="8"/>
  <c r="C22" i="8"/>
  <c r="F22" i="8"/>
  <c r="F23" i="8"/>
  <c r="F24" i="8"/>
  <c r="F25" i="8"/>
  <c r="F26" i="8"/>
  <c r="F27" i="8"/>
  <c r="F28" i="8"/>
  <c r="H28" i="8" s="1"/>
  <c r="F32" i="8"/>
  <c r="F33" i="8"/>
  <c r="F34" i="8"/>
  <c r="F35" i="8"/>
  <c r="F36" i="8"/>
  <c r="F37" i="8"/>
  <c r="H37" i="8" s="1"/>
  <c r="F38" i="8"/>
  <c r="F43" i="8"/>
  <c r="F44" i="8"/>
  <c r="F47" i="8"/>
  <c r="F49" i="8"/>
  <c r="F51" i="8"/>
  <c r="F54" i="8"/>
  <c r="F55" i="8"/>
  <c r="L93" i="8"/>
  <c r="F9" i="10"/>
  <c r="F11" i="10"/>
  <c r="C12" i="10"/>
  <c r="D12" i="10"/>
  <c r="E15" i="11"/>
  <c r="E16" i="11"/>
  <c r="E17" i="11"/>
  <c r="C9" i="12"/>
  <c r="D9" i="12"/>
  <c r="F11" i="12"/>
  <c r="H11" i="12" s="1"/>
  <c r="E10" i="3"/>
  <c r="F14" i="12"/>
  <c r="F15" i="12"/>
  <c r="C16" i="12"/>
  <c r="D16" i="12"/>
  <c r="E16" i="12"/>
  <c r="G16" i="12"/>
  <c r="F17" i="12"/>
  <c r="F18" i="12"/>
  <c r="H18" i="12" s="1"/>
  <c r="F19" i="12"/>
  <c r="H19" i="12" s="1"/>
  <c r="F20" i="12"/>
  <c r="H20" i="12" s="1"/>
  <c r="C21" i="12"/>
  <c r="D21" i="12"/>
  <c r="E21" i="12"/>
  <c r="F21" i="12" s="1"/>
  <c r="C23" i="12"/>
  <c r="D23" i="12"/>
  <c r="E23" i="12"/>
  <c r="F23" i="12" s="1"/>
  <c r="H23" i="12" s="1"/>
  <c r="F24" i="12"/>
  <c r="H24" i="12" s="1"/>
  <c r="F25" i="12"/>
  <c r="F26" i="12"/>
  <c r="H26" i="12" s="1"/>
  <c r="F27" i="12"/>
  <c r="H27" i="12"/>
  <c r="C28" i="12"/>
  <c r="D28" i="12"/>
  <c r="F28" i="12" s="1"/>
  <c r="G28" i="12"/>
  <c r="F29" i="12"/>
  <c r="H29" i="12" s="1"/>
  <c r="F30" i="12"/>
  <c r="F31" i="12"/>
  <c r="F32" i="12"/>
  <c r="F33" i="12"/>
  <c r="C34" i="12"/>
  <c r="E34" i="12"/>
  <c r="F34" i="12" s="1"/>
  <c r="H34" i="12" s="1"/>
  <c r="G34" i="12"/>
  <c r="F35" i="12"/>
  <c r="H35" i="12" s="1"/>
  <c r="F36" i="12"/>
  <c r="C37" i="12"/>
  <c r="C42" i="12" s="1"/>
  <c r="C47" i="12" s="1"/>
  <c r="F37" i="12"/>
  <c r="H37" i="12" s="1"/>
  <c r="F38" i="12"/>
  <c r="H38" i="12" s="1"/>
  <c r="C39" i="12"/>
  <c r="D39" i="12"/>
  <c r="E39" i="12"/>
  <c r="F40" i="12"/>
  <c r="H40" i="12" s="1"/>
  <c r="F41" i="12"/>
  <c r="G40" i="3"/>
  <c r="G31" i="4" s="1"/>
  <c r="G33" i="4" s="1"/>
  <c r="F44" i="12"/>
  <c r="H44" i="12" s="1"/>
  <c r="H45" i="12"/>
  <c r="C46" i="12"/>
  <c r="D46" i="12"/>
  <c r="E46" i="12"/>
  <c r="F52" i="12"/>
  <c r="H52" i="12" s="1"/>
  <c r="F53" i="12"/>
  <c r="H53" i="12" s="1"/>
  <c r="F54" i="12"/>
  <c r="F55" i="12"/>
  <c r="F56" i="12"/>
  <c r="F57" i="12"/>
  <c r="C58" i="12"/>
  <c r="C51" i="12" s="1"/>
  <c r="F60" i="12"/>
  <c r="F61" i="12"/>
  <c r="F62" i="12"/>
  <c r="F61" i="3" s="1"/>
  <c r="C63" i="12"/>
  <c r="D63" i="12"/>
  <c r="G63" i="12"/>
  <c r="E65" i="12"/>
  <c r="F65" i="12" s="1"/>
  <c r="G64" i="3"/>
  <c r="G26" i="5" s="1"/>
  <c r="F66" i="12"/>
  <c r="J66" i="12"/>
  <c r="F68" i="12"/>
  <c r="F69" i="12"/>
  <c r="F70" i="12"/>
  <c r="F72" i="12"/>
  <c r="F74" i="12"/>
  <c r="C75" i="12"/>
  <c r="D75" i="12"/>
  <c r="F76" i="12"/>
  <c r="H76" i="12" s="1"/>
  <c r="G75" i="3"/>
  <c r="G74" i="3" s="1"/>
  <c r="I16" i="26" s="1"/>
  <c r="H80" i="12"/>
  <c r="H81" i="12"/>
  <c r="C85" i="12"/>
  <c r="C86" i="12"/>
  <c r="C87" i="12"/>
  <c r="C88" i="12" s="1"/>
  <c r="C89" i="12"/>
  <c r="C90" i="12" s="1"/>
  <c r="C96" i="12" s="1"/>
  <c r="C97" i="12" s="1"/>
  <c r="C91" i="12"/>
  <c r="C92" i="12"/>
  <c r="C8" i="13"/>
  <c r="D8" i="13"/>
  <c r="E8" i="13"/>
  <c r="F8" i="13"/>
  <c r="C15" i="13"/>
  <c r="D15" i="13"/>
  <c r="D41" i="13" s="1"/>
  <c r="E15" i="13"/>
  <c r="F15" i="13"/>
  <c r="C20" i="13"/>
  <c r="D20" i="13"/>
  <c r="E20" i="13"/>
  <c r="F20" i="13"/>
  <c r="C22" i="13"/>
  <c r="D22" i="13"/>
  <c r="E22" i="13"/>
  <c r="G22" i="13"/>
  <c r="C27" i="13"/>
  <c r="D27" i="13"/>
  <c r="E27" i="13"/>
  <c r="E41" i="13" s="1"/>
  <c r="G27" i="13"/>
  <c r="F28" i="13"/>
  <c r="H28" i="13" s="1"/>
  <c r="F29" i="13"/>
  <c r="F30" i="13"/>
  <c r="F31" i="13"/>
  <c r="F32" i="13"/>
  <c r="C33" i="13"/>
  <c r="F33" i="13"/>
  <c r="F34" i="13"/>
  <c r="F35" i="13"/>
  <c r="C36" i="13"/>
  <c r="F36" i="13"/>
  <c r="F37" i="13"/>
  <c r="C38" i="13"/>
  <c r="F38" i="13"/>
  <c r="F39" i="13"/>
  <c r="F40" i="13"/>
  <c r="F43" i="13"/>
  <c r="H43" i="13" s="1"/>
  <c r="F44" i="13"/>
  <c r="C45" i="13"/>
  <c r="D45" i="13"/>
  <c r="G45" i="13"/>
  <c r="D50" i="13"/>
  <c r="D77" i="13" s="1"/>
  <c r="E50" i="13"/>
  <c r="G50" i="13"/>
  <c r="G72" i="13" s="1"/>
  <c r="F51" i="13"/>
  <c r="H51" i="13" s="1"/>
  <c r="F52" i="13"/>
  <c r="H52" i="13" s="1"/>
  <c r="F53" i="13"/>
  <c r="H53" i="13" s="1"/>
  <c r="F54" i="13"/>
  <c r="F55" i="13"/>
  <c r="F56" i="13"/>
  <c r="F56" i="3" s="1"/>
  <c r="H10" i="26" s="1"/>
  <c r="C57" i="13"/>
  <c r="C50" i="13" s="1"/>
  <c r="F57" i="13"/>
  <c r="F58" i="13"/>
  <c r="F59" i="13"/>
  <c r="F60" i="13"/>
  <c r="F61" i="13"/>
  <c r="C62" i="13"/>
  <c r="F62" i="13"/>
  <c r="F63" i="13"/>
  <c r="F64" i="13"/>
  <c r="F65" i="13"/>
  <c r="F66" i="13"/>
  <c r="F67" i="13"/>
  <c r="F68" i="13"/>
  <c r="F69" i="13"/>
  <c r="F70" i="13"/>
  <c r="F71" i="13"/>
  <c r="F73" i="13"/>
  <c r="C74" i="13"/>
  <c r="F74" i="13"/>
  <c r="F75" i="13"/>
  <c r="F76" i="13"/>
  <c r="F78" i="13"/>
  <c r="F79" i="13"/>
  <c r="H79" i="13" s="1"/>
  <c r="C86" i="13"/>
  <c r="C87" i="13" s="1"/>
  <c r="C89" i="13" s="1"/>
  <c r="E16" i="1"/>
  <c r="E24" i="1"/>
  <c r="D35" i="1"/>
  <c r="D40" i="1"/>
  <c r="D41" i="1"/>
  <c r="D42" i="1"/>
  <c r="D14" i="2"/>
  <c r="D20" i="2"/>
  <c r="D29" i="2"/>
  <c r="D37" i="2"/>
  <c r="D51" i="2"/>
  <c r="D58" i="2"/>
  <c r="C77" i="20"/>
  <c r="C95" i="12"/>
  <c r="H57" i="12"/>
  <c r="D41" i="19"/>
  <c r="C129" i="16"/>
  <c r="F96" i="16"/>
  <c r="C76" i="15"/>
  <c r="C41" i="15"/>
  <c r="C44" i="15" s="1"/>
  <c r="C45" i="15" s="1"/>
  <c r="C71" i="15"/>
  <c r="F60" i="3"/>
  <c r="F62" i="19"/>
  <c r="G41" i="17"/>
  <c r="G45" i="16"/>
  <c r="E72" i="14"/>
  <c r="E77" i="14"/>
  <c r="E42" i="14" s="1"/>
  <c r="E45" i="14" s="1"/>
  <c r="E46" i="14" s="1"/>
  <c r="F69" i="3"/>
  <c r="D31" i="5"/>
  <c r="G75" i="12"/>
  <c r="F59" i="3"/>
  <c r="F54" i="3"/>
  <c r="C86" i="18"/>
  <c r="C88" i="18" s="1"/>
  <c r="C72" i="18"/>
  <c r="C88" i="17"/>
  <c r="C90" i="17" s="1"/>
  <c r="F49" i="15"/>
  <c r="H49" i="15" s="1"/>
  <c r="E76" i="15"/>
  <c r="D77" i="14"/>
  <c r="F77" i="14" s="1"/>
  <c r="F55" i="3"/>
  <c r="F13" i="12"/>
  <c r="H13" i="12" s="1"/>
  <c r="F38" i="20"/>
  <c r="D72" i="18"/>
  <c r="D77" i="18"/>
  <c r="C77" i="16"/>
  <c r="C72" i="16"/>
  <c r="F50" i="14"/>
  <c r="H51" i="14"/>
  <c r="F51" i="16"/>
  <c r="H51" i="16" s="1"/>
  <c r="D26" i="5"/>
  <c r="G34" i="3"/>
  <c r="I26" i="26" s="1"/>
  <c r="F103" i="16"/>
  <c r="D72" i="16"/>
  <c r="F23" i="3"/>
  <c r="H23" i="3" s="1"/>
  <c r="D21" i="4"/>
  <c r="F20" i="17"/>
  <c r="D41" i="17"/>
  <c r="F108" i="16"/>
  <c r="F42" i="3"/>
  <c r="H31" i="26" s="1"/>
  <c r="D16" i="5"/>
  <c r="F16" i="5" s="1"/>
  <c r="C49" i="6" s="1"/>
  <c r="C50" i="6" s="1"/>
  <c r="F22" i="4"/>
  <c r="C22" i="6" s="1"/>
  <c r="G79" i="3"/>
  <c r="D31" i="3"/>
  <c r="F8" i="3"/>
  <c r="H8" i="3" s="1"/>
  <c r="D8" i="4"/>
  <c r="F80" i="3"/>
  <c r="H80" i="3" s="1"/>
  <c r="F65" i="3"/>
  <c r="F24" i="3"/>
  <c r="H24" i="3" s="1"/>
  <c r="G46" i="4"/>
  <c r="C18" i="4"/>
  <c r="F22" i="3"/>
  <c r="D16" i="4"/>
  <c r="G57" i="3"/>
  <c r="G47" i="4" s="1"/>
  <c r="G46" i="16"/>
  <c r="F51" i="18"/>
  <c r="H51" i="18" s="1"/>
  <c r="E50" i="18"/>
  <c r="E72" i="18" s="1"/>
  <c r="F50" i="17"/>
  <c r="E64" i="3" l="1"/>
  <c r="F64" i="3" s="1"/>
  <c r="D50" i="1"/>
  <c r="G15" i="8"/>
  <c r="F41" i="8"/>
  <c r="H41" i="8" s="1"/>
  <c r="D47" i="1"/>
  <c r="F30" i="8"/>
  <c r="E30" i="8"/>
  <c r="D39" i="1" s="1"/>
  <c r="F40" i="8"/>
  <c r="H40" i="8" s="1"/>
  <c r="D45" i="1"/>
  <c r="E42" i="12"/>
  <c r="E47" i="12" s="1"/>
  <c r="E72" i="20"/>
  <c r="F72" i="20" s="1"/>
  <c r="H72" i="20" s="1"/>
  <c r="E77" i="20"/>
  <c r="E42" i="20" s="1"/>
  <c r="E45" i="20" s="1"/>
  <c r="E46" i="20" s="1"/>
  <c r="F79" i="3"/>
  <c r="F71" i="3"/>
  <c r="F68" i="3"/>
  <c r="F37" i="3"/>
  <c r="C33" i="4"/>
  <c r="E16" i="4"/>
  <c r="F16" i="4" s="1"/>
  <c r="C6" i="4"/>
  <c r="F73" i="3"/>
  <c r="D43" i="3"/>
  <c r="D13" i="3"/>
  <c r="E20" i="3"/>
  <c r="F20" i="3" s="1"/>
  <c r="H56" i="3"/>
  <c r="G25" i="3"/>
  <c r="I24" i="26" s="1"/>
  <c r="F30" i="3"/>
  <c r="F20" i="4"/>
  <c r="C20" i="6" s="1"/>
  <c r="C47" i="4"/>
  <c r="C40" i="4" s="1"/>
  <c r="C55" i="4" s="1"/>
  <c r="F28" i="4"/>
  <c r="C13" i="4"/>
  <c r="F49" i="4"/>
  <c r="F15" i="6" s="1"/>
  <c r="F13" i="5"/>
  <c r="F21" i="4"/>
  <c r="C21" i="6" s="1"/>
  <c r="F50" i="4"/>
  <c r="F16" i="6" s="1"/>
  <c r="E41" i="17"/>
  <c r="H79" i="3"/>
  <c r="C77" i="13"/>
  <c r="C72" i="13"/>
  <c r="G13" i="5"/>
  <c r="G36" i="3"/>
  <c r="I27" i="26" s="1"/>
  <c r="G130" i="16"/>
  <c r="D44" i="1"/>
  <c r="F31" i="8"/>
  <c r="E46" i="8"/>
  <c r="E64" i="12" s="1"/>
  <c r="C41" i="20"/>
  <c r="D77" i="19"/>
  <c r="D42" i="19" s="1"/>
  <c r="D45" i="19" s="1"/>
  <c r="E41" i="19"/>
  <c r="F41" i="19" s="1"/>
  <c r="H41" i="19" s="1"/>
  <c r="F62" i="17"/>
  <c r="H62" i="17" s="1"/>
  <c r="C72" i="17"/>
  <c r="D41" i="16"/>
  <c r="D76" i="15"/>
  <c r="D41" i="15" s="1"/>
  <c r="F21" i="3"/>
  <c r="F35" i="3"/>
  <c r="I9" i="26"/>
  <c r="F27" i="13"/>
  <c r="H27" i="13" s="1"/>
  <c r="D72" i="17"/>
  <c r="D42" i="16"/>
  <c r="D45" i="16" s="1"/>
  <c r="I28" i="26"/>
  <c r="E12" i="12"/>
  <c r="C72" i="20"/>
  <c r="F36" i="19"/>
  <c r="G46" i="17"/>
  <c r="F121" i="16"/>
  <c r="E129" i="16"/>
  <c r="H62" i="16"/>
  <c r="H77" i="14"/>
  <c r="C18" i="6"/>
  <c r="E31" i="3"/>
  <c r="E8" i="5" s="1"/>
  <c r="I11" i="26"/>
  <c r="I25" i="26"/>
  <c r="E41" i="15"/>
  <c r="E44" i="15" s="1"/>
  <c r="E45" i="15" s="1"/>
  <c r="C93" i="12"/>
  <c r="F39" i="12"/>
  <c r="F74" i="18"/>
  <c r="D160" i="16"/>
  <c r="F62" i="14"/>
  <c r="F72" i="14" s="1"/>
  <c r="D15" i="4"/>
  <c r="F15" i="4" s="1"/>
  <c r="C15" i="6" s="1"/>
  <c r="I12" i="26"/>
  <c r="I7" i="5"/>
  <c r="F72" i="18"/>
  <c r="D72" i="20"/>
  <c r="H16" i="17"/>
  <c r="H22" i="4"/>
  <c r="G15" i="22"/>
  <c r="I13" i="26"/>
  <c r="I30" i="26"/>
  <c r="I47" i="12"/>
  <c r="D42" i="18"/>
  <c r="D45" i="18" s="1"/>
  <c r="D46" i="18" s="1"/>
  <c r="D18" i="4"/>
  <c r="C42" i="16"/>
  <c r="C45" i="16" s="1"/>
  <c r="C46" i="16" s="1"/>
  <c r="H28" i="12"/>
  <c r="G46" i="20"/>
  <c r="C41" i="16"/>
  <c r="H21" i="4"/>
  <c r="E51" i="3"/>
  <c r="E41" i="4" s="1"/>
  <c r="F12" i="4"/>
  <c r="C12" i="6" s="1"/>
  <c r="C41" i="13"/>
  <c r="C46" i="13" s="1"/>
  <c r="F11" i="4"/>
  <c r="C11" i="6" s="1"/>
  <c r="G6" i="21"/>
  <c r="D50" i="3"/>
  <c r="F31" i="4"/>
  <c r="C31" i="6" s="1"/>
  <c r="E8" i="8"/>
  <c r="I7" i="26"/>
  <c r="I15" i="26"/>
  <c r="G9" i="12"/>
  <c r="H21" i="12"/>
  <c r="E72" i="19"/>
  <c r="E71" i="15"/>
  <c r="F26" i="4"/>
  <c r="C26" i="6" s="1"/>
  <c r="E36" i="3"/>
  <c r="E11" i="5" s="1"/>
  <c r="F23" i="21"/>
  <c r="D33" i="4"/>
  <c r="I8" i="26"/>
  <c r="E43" i="3"/>
  <c r="F43" i="3" s="1"/>
  <c r="H30" i="26"/>
  <c r="F27" i="19"/>
  <c r="E25" i="3"/>
  <c r="E23" i="4" s="1"/>
  <c r="E41" i="16"/>
  <c r="F41" i="16" s="1"/>
  <c r="H41" i="16" s="1"/>
  <c r="G39" i="12"/>
  <c r="H39" i="12" s="1"/>
  <c r="H41" i="12"/>
  <c r="G18" i="3"/>
  <c r="F8" i="4"/>
  <c r="D6" i="3"/>
  <c r="H13" i="5"/>
  <c r="F18" i="23"/>
  <c r="K18" i="23"/>
  <c r="C14" i="5"/>
  <c r="C18" i="5" s="1"/>
  <c r="F31" i="5"/>
  <c r="D17" i="5"/>
  <c r="F17" i="5" s="1"/>
  <c r="H17" i="5" s="1"/>
  <c r="F30" i="5"/>
  <c r="F34" i="5"/>
  <c r="C40" i="6"/>
  <c r="H16" i="5"/>
  <c r="C24" i="5"/>
  <c r="C37" i="5" s="1"/>
  <c r="C60" i="4" s="1"/>
  <c r="F27" i="5"/>
  <c r="F6" i="5"/>
  <c r="H6" i="5" s="1"/>
  <c r="F18" i="3"/>
  <c r="H22" i="26" s="1"/>
  <c r="I22" i="26"/>
  <c r="F19" i="3"/>
  <c r="E17" i="4"/>
  <c r="F17" i="4" s="1"/>
  <c r="C17" i="6" s="1"/>
  <c r="H17" i="3"/>
  <c r="F11" i="3"/>
  <c r="F12" i="3"/>
  <c r="H8" i="24"/>
  <c r="H14" i="24" s="1"/>
  <c r="E18" i="23"/>
  <c r="I18" i="23"/>
  <c r="J18" i="23"/>
  <c r="K11" i="23"/>
  <c r="E29" i="5"/>
  <c r="F29" i="5" s="1"/>
  <c r="G17" i="26"/>
  <c r="G33" i="26"/>
  <c r="I11" i="23"/>
  <c r="F11" i="23"/>
  <c r="E11" i="23"/>
  <c r="G20" i="25"/>
  <c r="F20" i="25"/>
  <c r="C11" i="23"/>
  <c r="G11" i="23"/>
  <c r="C18" i="23"/>
  <c r="G18" i="23"/>
  <c r="D11" i="23"/>
  <c r="H11" i="23"/>
  <c r="D18" i="23"/>
  <c r="H18" i="23"/>
  <c r="L10" i="23"/>
  <c r="L17" i="23"/>
  <c r="L26" i="23"/>
  <c r="L14" i="23"/>
  <c r="L7" i="23"/>
  <c r="F45" i="4"/>
  <c r="F11" i="6" s="1"/>
  <c r="E46" i="4"/>
  <c r="G46" i="8"/>
  <c r="H21" i="8"/>
  <c r="H30" i="8"/>
  <c r="H26" i="8"/>
  <c r="H18" i="8"/>
  <c r="D50" i="8"/>
  <c r="D56" i="8" s="1"/>
  <c r="H11" i="8"/>
  <c r="H22" i="8"/>
  <c r="H23" i="8"/>
  <c r="C46" i="8"/>
  <c r="C50" i="8" s="1"/>
  <c r="C56" i="8" s="1"/>
  <c r="E14" i="5"/>
  <c r="E18" i="5" s="1"/>
  <c r="F18" i="6"/>
  <c r="F17" i="6" s="1"/>
  <c r="F52" i="4"/>
  <c r="H52" i="4" s="1"/>
  <c r="F18" i="4"/>
  <c r="H37" i="3"/>
  <c r="D47" i="4"/>
  <c r="F32" i="4"/>
  <c r="F33" i="4"/>
  <c r="H33" i="4" s="1"/>
  <c r="D36" i="3"/>
  <c r="F38" i="3"/>
  <c r="D34" i="3"/>
  <c r="G42" i="3"/>
  <c r="G46" i="12"/>
  <c r="H43" i="12"/>
  <c r="G20" i="3"/>
  <c r="H16" i="3"/>
  <c r="G9" i="4"/>
  <c r="G6" i="4" s="1"/>
  <c r="G6" i="3"/>
  <c r="I20" i="26" s="1"/>
  <c r="G42" i="12"/>
  <c r="H75" i="3"/>
  <c r="G24" i="5"/>
  <c r="G37" i="5" s="1"/>
  <c r="G78" i="12"/>
  <c r="G79" i="12" s="1"/>
  <c r="G73" i="12"/>
  <c r="D62" i="3"/>
  <c r="D72" i="3" s="1"/>
  <c r="D28" i="5"/>
  <c r="D24" i="5" s="1"/>
  <c r="D37" i="5" s="1"/>
  <c r="G72" i="16"/>
  <c r="G41" i="13"/>
  <c r="G46" i="13" s="1"/>
  <c r="H50" i="14"/>
  <c r="G72" i="14"/>
  <c r="H72" i="14" s="1"/>
  <c r="G76" i="15"/>
  <c r="G43" i="3"/>
  <c r="G24" i="4"/>
  <c r="G23" i="4" s="1"/>
  <c r="H27" i="17"/>
  <c r="F41" i="17"/>
  <c r="H41" i="17" s="1"/>
  <c r="G77" i="17"/>
  <c r="H50" i="17"/>
  <c r="G72" i="17"/>
  <c r="G29" i="4"/>
  <c r="G46" i="19"/>
  <c r="H27" i="19"/>
  <c r="G77" i="19"/>
  <c r="G50" i="3"/>
  <c r="G40" i="4"/>
  <c r="G55" i="4" s="1"/>
  <c r="D77" i="20"/>
  <c r="D42" i="20" s="1"/>
  <c r="D45" i="20" s="1"/>
  <c r="F27" i="20"/>
  <c r="F41" i="20" s="1"/>
  <c r="F26" i="3"/>
  <c r="H26" i="3" s="1"/>
  <c r="F50" i="19"/>
  <c r="H50" i="19" s="1"/>
  <c r="F77" i="19"/>
  <c r="H77" i="19" s="1"/>
  <c r="D72" i="19"/>
  <c r="E77" i="17"/>
  <c r="E42" i="17" s="1"/>
  <c r="E45" i="17" s="1"/>
  <c r="E46" i="17" s="1"/>
  <c r="D14" i="4"/>
  <c r="F24" i="4"/>
  <c r="C24" i="6" s="1"/>
  <c r="F115" i="16"/>
  <c r="F51" i="3"/>
  <c r="D71" i="15"/>
  <c r="F71" i="15" s="1"/>
  <c r="H71" i="15" s="1"/>
  <c r="F76" i="15"/>
  <c r="F50" i="13"/>
  <c r="F52" i="3"/>
  <c r="F42" i="4"/>
  <c r="F8" i="6" s="1"/>
  <c r="D41" i="4"/>
  <c r="F40" i="3"/>
  <c r="H46" i="12"/>
  <c r="C42" i="6"/>
  <c r="F32" i="3"/>
  <c r="H8" i="4"/>
  <c r="C8" i="6"/>
  <c r="D6" i="4"/>
  <c r="H13" i="8"/>
  <c r="H10" i="8"/>
  <c r="E13" i="3"/>
  <c r="E14" i="4"/>
  <c r="E77" i="18"/>
  <c r="F50" i="18"/>
  <c r="H50" i="18" s="1"/>
  <c r="D46" i="16"/>
  <c r="C73" i="12"/>
  <c r="C78" i="12"/>
  <c r="C79" i="12" s="1"/>
  <c r="H54" i="12"/>
  <c r="D73" i="12"/>
  <c r="D78" i="12"/>
  <c r="D79" i="12" s="1"/>
  <c r="H15" i="3"/>
  <c r="G15" i="4"/>
  <c r="F31" i="3"/>
  <c r="D8" i="5"/>
  <c r="D44" i="15"/>
  <c r="F41" i="15"/>
  <c r="H41" i="15" s="1"/>
  <c r="H31" i="8"/>
  <c r="D46" i="19"/>
  <c r="G60" i="3"/>
  <c r="H61" i="12"/>
  <c r="F29" i="8"/>
  <c r="H5" i="8"/>
  <c r="F16" i="12"/>
  <c r="H16" i="12" s="1"/>
  <c r="D42" i="12"/>
  <c r="E10" i="4"/>
  <c r="F10" i="3"/>
  <c r="H10" i="3" s="1"/>
  <c r="D72" i="13"/>
  <c r="F72" i="13" s="1"/>
  <c r="F41" i="13"/>
  <c r="D46" i="13"/>
  <c r="H27" i="8"/>
  <c r="F14" i="3"/>
  <c r="H17" i="12"/>
  <c r="H35" i="8"/>
  <c r="H33" i="8"/>
  <c r="H24" i="8"/>
  <c r="H9" i="8"/>
  <c r="H7" i="8"/>
  <c r="C46" i="20"/>
  <c r="C87" i="19"/>
  <c r="C94" i="19" s="1"/>
  <c r="C92" i="19"/>
  <c r="C93" i="19"/>
  <c r="C95" i="19" s="1"/>
  <c r="F74" i="19"/>
  <c r="G46" i="18"/>
  <c r="E41" i="18"/>
  <c r="F27" i="3"/>
  <c r="D25" i="4"/>
  <c r="F25" i="4" s="1"/>
  <c r="C25" i="6" s="1"/>
  <c r="D25" i="3"/>
  <c r="G77" i="13"/>
  <c r="H50" i="13"/>
  <c r="C89" i="20"/>
  <c r="C92" i="20" s="1"/>
  <c r="C93" i="20"/>
  <c r="G72" i="18"/>
  <c r="G77" i="18"/>
  <c r="C77" i="14"/>
  <c r="C72" i="14"/>
  <c r="F46" i="4"/>
  <c r="E77" i="13"/>
  <c r="E42" i="13" s="1"/>
  <c r="E72" i="13"/>
  <c r="H34" i="8"/>
  <c r="H32" i="8"/>
  <c r="H25" i="8"/>
  <c r="C77" i="19"/>
  <c r="C72" i="19"/>
  <c r="D77" i="17"/>
  <c r="F74" i="17"/>
  <c r="C41" i="17"/>
  <c r="C165" i="16"/>
  <c r="C130" i="16" s="1"/>
  <c r="C133" i="16" s="1"/>
  <c r="C134" i="16" s="1"/>
  <c r="F141" i="16"/>
  <c r="E138" i="16"/>
  <c r="F41" i="14"/>
  <c r="F42" i="14" s="1"/>
  <c r="H42" i="14" s="1"/>
  <c r="C41" i="14"/>
  <c r="H34" i="5"/>
  <c r="F10" i="5"/>
  <c r="C43" i="6" s="1"/>
  <c r="F29" i="3"/>
  <c r="F74" i="20"/>
  <c r="F36" i="20"/>
  <c r="C41" i="19"/>
  <c r="C46" i="19" s="1"/>
  <c r="C77" i="18"/>
  <c r="C42" i="18" s="1"/>
  <c r="C45" i="18" s="1"/>
  <c r="F33" i="18"/>
  <c r="F41" i="18" s="1"/>
  <c r="H41" i="18" s="1"/>
  <c r="C41" i="18"/>
  <c r="G77" i="16"/>
  <c r="D72" i="14"/>
  <c r="F51" i="4"/>
  <c r="C23" i="4"/>
  <c r="G62" i="3"/>
  <c r="F12" i="5"/>
  <c r="G19" i="4"/>
  <c r="H21" i="3"/>
  <c r="E23" i="21"/>
  <c r="H27" i="20"/>
  <c r="C77" i="17"/>
  <c r="C42" i="17" s="1"/>
  <c r="C45" i="17" s="1"/>
  <c r="E72" i="17"/>
  <c r="G160" i="16"/>
  <c r="C160" i="16"/>
  <c r="D129" i="16"/>
  <c r="D130" i="16" s="1"/>
  <c r="D133" i="16" s="1"/>
  <c r="D41" i="14"/>
  <c r="F27" i="4"/>
  <c r="C27" i="6" s="1"/>
  <c r="H38" i="3"/>
  <c r="E18" i="4"/>
  <c r="G13" i="3"/>
  <c r="I21" i="26" s="1"/>
  <c r="E50" i="16"/>
  <c r="G23" i="21" l="1"/>
  <c r="F46" i="8"/>
  <c r="H46" i="8" s="1"/>
  <c r="E26" i="5"/>
  <c r="F26" i="5" s="1"/>
  <c r="F41" i="6" s="1"/>
  <c r="I17" i="26"/>
  <c r="H23" i="26"/>
  <c r="H35" i="3"/>
  <c r="H32" i="3"/>
  <c r="F77" i="20"/>
  <c r="H77" i="20" s="1"/>
  <c r="F72" i="19"/>
  <c r="H72" i="19" s="1"/>
  <c r="H72" i="18"/>
  <c r="C16" i="6"/>
  <c r="H16" i="4"/>
  <c r="D44" i="3"/>
  <c r="D39" i="3"/>
  <c r="H31" i="4"/>
  <c r="C30" i="4"/>
  <c r="C34" i="4" s="1"/>
  <c r="F42" i="20"/>
  <c r="H42" i="20" s="1"/>
  <c r="H41" i="20"/>
  <c r="H51" i="3"/>
  <c r="H7" i="26"/>
  <c r="H31" i="3"/>
  <c r="H25" i="26"/>
  <c r="H40" i="3"/>
  <c r="H28" i="26"/>
  <c r="H42" i="3"/>
  <c r="I31" i="26"/>
  <c r="G45" i="3"/>
  <c r="I32" i="26" s="1"/>
  <c r="G133" i="16"/>
  <c r="G134" i="16" s="1"/>
  <c r="D13" i="4"/>
  <c r="F77" i="13"/>
  <c r="H52" i="3"/>
  <c r="H8" i="26"/>
  <c r="F8" i="8"/>
  <c r="D36" i="1"/>
  <c r="E15" i="8"/>
  <c r="E9" i="3"/>
  <c r="F12" i="12"/>
  <c r="H12" i="12" s="1"/>
  <c r="G11" i="5"/>
  <c r="G14" i="5" s="1"/>
  <c r="G18" i="5" s="1"/>
  <c r="G41" i="5" s="1"/>
  <c r="G78" i="3"/>
  <c r="G61" i="4" s="1"/>
  <c r="E42" i="19"/>
  <c r="E45" i="19" s="1"/>
  <c r="H76" i="15"/>
  <c r="F42" i="19"/>
  <c r="H42" i="19" s="1"/>
  <c r="G60" i="4"/>
  <c r="E19" i="23"/>
  <c r="E28" i="23" s="1"/>
  <c r="K44" i="3"/>
  <c r="C42" i="14"/>
  <c r="C45" i="14" s="1"/>
  <c r="H41" i="13"/>
  <c r="H17" i="4"/>
  <c r="F72" i="17"/>
  <c r="H72" i="17" s="1"/>
  <c r="H20" i="3"/>
  <c r="I23" i="26"/>
  <c r="F19" i="23"/>
  <c r="F28" i="23" s="1"/>
  <c r="K19" i="23"/>
  <c r="K28" i="23" s="1"/>
  <c r="L18" i="23"/>
  <c r="C46" i="6"/>
  <c r="C41" i="6"/>
  <c r="C41" i="5"/>
  <c r="I19" i="23"/>
  <c r="G34" i="26"/>
  <c r="L11" i="23"/>
  <c r="C19" i="23"/>
  <c r="C28" i="23" s="1"/>
  <c r="H19" i="23"/>
  <c r="H28" i="23" s="1"/>
  <c r="G19" i="23"/>
  <c r="G28" i="23" s="1"/>
  <c r="D19" i="23"/>
  <c r="G50" i="8"/>
  <c r="C39" i="6"/>
  <c r="H32" i="4"/>
  <c r="C32" i="6"/>
  <c r="C33" i="6" s="1"/>
  <c r="F36" i="3"/>
  <c r="D11" i="5"/>
  <c r="D29" i="4"/>
  <c r="F29" i="4" s="1"/>
  <c r="F34" i="3"/>
  <c r="D78" i="3"/>
  <c r="D82" i="3" s="1"/>
  <c r="H24" i="4"/>
  <c r="I78" i="3"/>
  <c r="H43" i="3"/>
  <c r="I77" i="3"/>
  <c r="D46" i="20"/>
  <c r="F46" i="20" s="1"/>
  <c r="H46" i="20" s="1"/>
  <c r="F45" i="20"/>
  <c r="H45" i="20" s="1"/>
  <c r="H115" i="16"/>
  <c r="F129" i="16"/>
  <c r="H129" i="16" s="1"/>
  <c r="H42" i="4"/>
  <c r="F41" i="4"/>
  <c r="D40" i="4"/>
  <c r="D55" i="4" s="1"/>
  <c r="D60" i="4" s="1"/>
  <c r="D42" i="17"/>
  <c r="D45" i="17" s="1"/>
  <c r="F77" i="17"/>
  <c r="C35" i="4"/>
  <c r="C59" i="4"/>
  <c r="G39" i="3"/>
  <c r="D42" i="14"/>
  <c r="D76" i="3" s="1"/>
  <c r="D74" i="3" s="1"/>
  <c r="G72" i="3"/>
  <c r="E43" i="4"/>
  <c r="C46" i="17"/>
  <c r="F42" i="13"/>
  <c r="F25" i="3"/>
  <c r="H24" i="26" s="1"/>
  <c r="D23" i="4"/>
  <c r="E50" i="8"/>
  <c r="G44" i="3"/>
  <c r="G50" i="4"/>
  <c r="H50" i="4" s="1"/>
  <c r="H60" i="3"/>
  <c r="C82" i="12"/>
  <c r="E13" i="4"/>
  <c r="F14" i="4"/>
  <c r="H14" i="4" s="1"/>
  <c r="D47" i="12"/>
  <c r="D82" i="12" s="1"/>
  <c r="D134" i="16"/>
  <c r="E160" i="16"/>
  <c r="E165" i="16"/>
  <c r="E130" i="16" s="1"/>
  <c r="E133" i="16" s="1"/>
  <c r="E134" i="16" s="1"/>
  <c r="C23" i="6"/>
  <c r="H72" i="13"/>
  <c r="E63" i="3"/>
  <c r="F64" i="12"/>
  <c r="D45" i="15"/>
  <c r="F45" i="15" s="1"/>
  <c r="H45" i="15" s="1"/>
  <c r="F44" i="15"/>
  <c r="H44" i="15" s="1"/>
  <c r="G47" i="12"/>
  <c r="E42" i="18"/>
  <c r="F77" i="18"/>
  <c r="F42" i="18" s="1"/>
  <c r="H42" i="18" s="1"/>
  <c r="H12" i="5"/>
  <c r="C45" i="6"/>
  <c r="F12" i="6"/>
  <c r="H46" i="4"/>
  <c r="C46" i="18"/>
  <c r="E72" i="16"/>
  <c r="F72" i="16" s="1"/>
  <c r="H72" i="16" s="1"/>
  <c r="F50" i="16"/>
  <c r="H50" i="16" s="1"/>
  <c r="E77" i="16"/>
  <c r="E42" i="16" s="1"/>
  <c r="H19" i="4"/>
  <c r="G18" i="4"/>
  <c r="H18" i="4" s="1"/>
  <c r="C46" i="14"/>
  <c r="H141" i="16"/>
  <c r="F138" i="16"/>
  <c r="C94" i="20"/>
  <c r="C95" i="20" s="1"/>
  <c r="F13" i="3"/>
  <c r="H14" i="3"/>
  <c r="H77" i="13"/>
  <c r="F10" i="4"/>
  <c r="H29" i="8"/>
  <c r="F8" i="5"/>
  <c r="G77" i="3"/>
  <c r="G13" i="4"/>
  <c r="F53" i="3"/>
  <c r="G82" i="3" l="1"/>
  <c r="I44" i="3"/>
  <c r="I47" i="3" s="1"/>
  <c r="I46" i="3"/>
  <c r="D54" i="1"/>
  <c r="E51" i="1"/>
  <c r="H9" i="26"/>
  <c r="E76" i="3"/>
  <c r="E74" i="3" s="1"/>
  <c r="E45" i="18"/>
  <c r="F45" i="18" s="1"/>
  <c r="H45" i="18" s="1"/>
  <c r="D29" i="1"/>
  <c r="E77" i="12"/>
  <c r="D30" i="4"/>
  <c r="D34" i="4" s="1"/>
  <c r="I33" i="26"/>
  <c r="I34" i="26" s="1"/>
  <c r="D59" i="4"/>
  <c r="E9" i="4"/>
  <c r="F9" i="4" s="1"/>
  <c r="F9" i="3"/>
  <c r="H9" i="3" s="1"/>
  <c r="G62" i="4"/>
  <c r="E67" i="12"/>
  <c r="E66" i="3"/>
  <c r="F66" i="3" s="1"/>
  <c r="H13" i="26" s="1"/>
  <c r="F15" i="8"/>
  <c r="F67" i="12" s="1"/>
  <c r="H8" i="8"/>
  <c r="E46" i="19"/>
  <c r="F46" i="19" s="1"/>
  <c r="H46" i="19" s="1"/>
  <c r="F45" i="19"/>
  <c r="H45" i="19" s="1"/>
  <c r="F11" i="5"/>
  <c r="H11" i="5" s="1"/>
  <c r="H34" i="3"/>
  <c r="H26" i="26"/>
  <c r="J47" i="12"/>
  <c r="G46" i="3"/>
  <c r="C44" i="6"/>
  <c r="C47" i="6" s="1"/>
  <c r="M19" i="23"/>
  <c r="H36" i="3"/>
  <c r="H27" i="26"/>
  <c r="D14" i="5"/>
  <c r="D18" i="5" s="1"/>
  <c r="H13" i="3"/>
  <c r="H21" i="26"/>
  <c r="I28" i="23"/>
  <c r="J28" i="23"/>
  <c r="D28" i="23"/>
  <c r="L19" i="23"/>
  <c r="C29" i="6"/>
  <c r="H29" i="4"/>
  <c r="F7" i="6"/>
  <c r="H41" i="4"/>
  <c r="C10" i="6"/>
  <c r="H10" i="4"/>
  <c r="F165" i="16"/>
  <c r="H138" i="16"/>
  <c r="F160" i="16"/>
  <c r="H160" i="16" s="1"/>
  <c r="H64" i="12"/>
  <c r="H25" i="3"/>
  <c r="F23" i="4"/>
  <c r="F45" i="13"/>
  <c r="H45" i="13" s="1"/>
  <c r="F46" i="13"/>
  <c r="H46" i="13" s="1"/>
  <c r="F43" i="4"/>
  <c r="D45" i="14"/>
  <c r="H53" i="3"/>
  <c r="F77" i="16"/>
  <c r="G56" i="8"/>
  <c r="E25" i="5"/>
  <c r="F63" i="3"/>
  <c r="C14" i="6"/>
  <c r="C13" i="6" s="1"/>
  <c r="F13" i="4"/>
  <c r="H13" i="4" s="1"/>
  <c r="H77" i="18"/>
  <c r="H42" i="13"/>
  <c r="G36" i="4"/>
  <c r="D46" i="17"/>
  <c r="F46" i="17" s="1"/>
  <c r="H46" i="17" s="1"/>
  <c r="F45" i="17"/>
  <c r="H45" i="17" s="1"/>
  <c r="G30" i="4"/>
  <c r="H77" i="17"/>
  <c r="F42" i="17"/>
  <c r="H42" i="17" s="1"/>
  <c r="F54" i="1" l="1"/>
  <c r="E71" i="12" s="1"/>
  <c r="E53" i="8" s="1"/>
  <c r="E45" i="3"/>
  <c r="E46" i="18"/>
  <c r="F46" i="18" s="1"/>
  <c r="H46" i="18" s="1"/>
  <c r="H66" i="3"/>
  <c r="E28" i="5"/>
  <c r="F28" i="5" s="1"/>
  <c r="H28" i="5" s="1"/>
  <c r="H12" i="26"/>
  <c r="H15" i="8"/>
  <c r="F50" i="8"/>
  <c r="H9" i="4"/>
  <c r="C9" i="6"/>
  <c r="H23" i="4"/>
  <c r="L28" i="23"/>
  <c r="F14" i="5"/>
  <c r="H14" i="5" s="1"/>
  <c r="H165" i="16"/>
  <c r="F130" i="16"/>
  <c r="F42" i="16"/>
  <c r="H77" i="16"/>
  <c r="F45" i="14"/>
  <c r="H45" i="14" s="1"/>
  <c r="D46" i="14"/>
  <c r="F46" i="14" s="1"/>
  <c r="H46" i="14" s="1"/>
  <c r="F25" i="5"/>
  <c r="E45" i="16"/>
  <c r="D77" i="3"/>
  <c r="D45" i="3"/>
  <c r="D41" i="5"/>
  <c r="F18" i="5"/>
  <c r="D35" i="4"/>
  <c r="G34" i="4"/>
  <c r="G35" i="4" s="1"/>
  <c r="G37" i="4" s="1"/>
  <c r="H63" i="3"/>
  <c r="F9" i="6"/>
  <c r="H43" i="4"/>
  <c r="E63" i="12" l="1"/>
  <c r="F71" i="12"/>
  <c r="H71" i="12" s="1"/>
  <c r="E70" i="3"/>
  <c r="E62" i="3" s="1"/>
  <c r="F43" i="6"/>
  <c r="E10" i="10"/>
  <c r="F10" i="10" s="1"/>
  <c r="H50" i="8"/>
  <c r="F76" i="3"/>
  <c r="F53" i="8"/>
  <c r="E56" i="8"/>
  <c r="H67" i="12"/>
  <c r="F63" i="12"/>
  <c r="C51" i="6"/>
  <c r="H18" i="5"/>
  <c r="E46" i="16"/>
  <c r="F46" i="16" s="1"/>
  <c r="H46" i="16" s="1"/>
  <c r="F45" i="16"/>
  <c r="H45" i="16" s="1"/>
  <c r="H42" i="16"/>
  <c r="H130" i="16"/>
  <c r="F133" i="16"/>
  <c r="F45" i="3"/>
  <c r="G59" i="4"/>
  <c r="D46" i="3"/>
  <c r="D31" i="1"/>
  <c r="D55" i="1" s="1"/>
  <c r="E29" i="1"/>
  <c r="F40" i="6"/>
  <c r="H25" i="5"/>
  <c r="F70" i="3" l="1"/>
  <c r="E32" i="5"/>
  <c r="F32" i="5" s="1"/>
  <c r="H63" i="12"/>
  <c r="F74" i="3"/>
  <c r="H45" i="3"/>
  <c r="E59" i="12"/>
  <c r="E58" i="12" s="1"/>
  <c r="F58" i="12" s="1"/>
  <c r="H53" i="8"/>
  <c r="H70" i="3"/>
  <c r="H15" i="26"/>
  <c r="F62" i="3"/>
  <c r="F56" i="8"/>
  <c r="H56" i="8" s="1"/>
  <c r="H133" i="16"/>
  <c r="F134" i="16"/>
  <c r="H134" i="16" s="1"/>
  <c r="H76" i="3"/>
  <c r="E75" i="12"/>
  <c r="F77" i="12"/>
  <c r="E24" i="5" l="1"/>
  <c r="E37" i="5" s="1"/>
  <c r="E41" i="5" s="1"/>
  <c r="H62" i="3"/>
  <c r="H74" i="3"/>
  <c r="H16" i="26"/>
  <c r="F59" i="12"/>
  <c r="H59" i="12" s="1"/>
  <c r="E8" i="10"/>
  <c r="E12" i="10" s="1"/>
  <c r="F12" i="10" s="1"/>
  <c r="E58" i="3"/>
  <c r="E48" i="4" s="1"/>
  <c r="F48" i="4" s="1"/>
  <c r="F14" i="6" s="1"/>
  <c r="F47" i="6"/>
  <c r="F39" i="6" s="1"/>
  <c r="H32" i="5"/>
  <c r="F24" i="5"/>
  <c r="H32" i="26"/>
  <c r="H77" i="12"/>
  <c r="F75" i="12"/>
  <c r="H75" i="12" s="1"/>
  <c r="E51" i="12"/>
  <c r="E78" i="12" s="1"/>
  <c r="E57" i="3"/>
  <c r="E50" i="3" s="1"/>
  <c r="F8" i="10" l="1"/>
  <c r="F58" i="3"/>
  <c r="H48" i="4"/>
  <c r="F37" i="5"/>
  <c r="H24" i="5"/>
  <c r="E77" i="3"/>
  <c r="E72" i="3"/>
  <c r="F72" i="3" s="1"/>
  <c r="E73" i="12"/>
  <c r="E47" i="4"/>
  <c r="F57" i="3"/>
  <c r="F51" i="12"/>
  <c r="F78" i="12" s="1"/>
  <c r="H58" i="12"/>
  <c r="H11" i="26" l="1"/>
  <c r="H17" i="26" s="1"/>
  <c r="H58" i="3"/>
  <c r="F41" i="5"/>
  <c r="H37" i="5"/>
  <c r="F51" i="6"/>
  <c r="F52" i="6" s="1"/>
  <c r="H51" i="12"/>
  <c r="F73" i="12"/>
  <c r="H73" i="12" s="1"/>
  <c r="E79" i="12"/>
  <c r="F79" i="12" s="1"/>
  <c r="F78" i="3" s="1"/>
  <c r="H57" i="3"/>
  <c r="F50" i="3"/>
  <c r="H72" i="3"/>
  <c r="F47" i="4"/>
  <c r="F40" i="4" s="1"/>
  <c r="E40" i="4"/>
  <c r="E55" i="4" s="1"/>
  <c r="E60" i="4" s="1"/>
  <c r="F77" i="3" l="1"/>
  <c r="F61" i="4"/>
  <c r="H50" i="3"/>
  <c r="F13" i="6"/>
  <c r="F6" i="6" s="1"/>
  <c r="F34" i="6" s="1"/>
  <c r="H47" i="4"/>
  <c r="H78" i="12"/>
  <c r="E78" i="3"/>
  <c r="H77" i="3" l="1"/>
  <c r="H79" i="12"/>
  <c r="F55" i="4"/>
  <c r="F60" i="4" s="1"/>
  <c r="F62" i="4" s="1"/>
  <c r="H40" i="4"/>
  <c r="F53" i="6"/>
  <c r="H55" i="4" l="1"/>
  <c r="H78" i="3"/>
  <c r="F9" i="12"/>
  <c r="H9" i="12" s="1"/>
  <c r="E9" i="12"/>
  <c r="H10" i="12"/>
  <c r="E7" i="3"/>
  <c r="F7" i="3" s="1"/>
  <c r="H7" i="3" s="1"/>
  <c r="F42" i="12" l="1"/>
  <c r="H42" i="12" s="1"/>
  <c r="E6" i="3"/>
  <c r="E7" i="4"/>
  <c r="E82" i="12" l="1"/>
  <c r="E44" i="3"/>
  <c r="E82" i="3" s="1"/>
  <c r="F6" i="3"/>
  <c r="F39" i="3"/>
  <c r="F7" i="4"/>
  <c r="E6" i="4"/>
  <c r="E30" i="4" s="1"/>
  <c r="E34" i="4" s="1"/>
  <c r="E59" i="4" s="1"/>
  <c r="H47" i="12"/>
  <c r="F82" i="12"/>
  <c r="H39" i="3" l="1"/>
  <c r="H6" i="3"/>
  <c r="H20" i="26"/>
  <c r="H33" i="26" s="1"/>
  <c r="H34" i="26" s="1"/>
  <c r="E46" i="3"/>
  <c r="F46" i="3" s="1"/>
  <c r="F44" i="3"/>
  <c r="F6" i="4"/>
  <c r="F30" i="4" s="1"/>
  <c r="H7" i="4"/>
  <c r="C7" i="6"/>
  <c r="C6" i="6" s="1"/>
  <c r="E35" i="4"/>
  <c r="H46" i="3" l="1"/>
  <c r="F82" i="3"/>
  <c r="H44" i="3"/>
  <c r="H82" i="3" s="1"/>
  <c r="C34" i="6"/>
  <c r="C30" i="6"/>
  <c r="H6" i="4"/>
  <c r="H30" i="4" l="1"/>
  <c r="F34" i="4"/>
  <c r="F59" i="4" s="1"/>
  <c r="F36" i="6"/>
  <c r="C52" i="6"/>
  <c r="H34" i="4" l="1"/>
  <c r="F35" i="4"/>
</calcChain>
</file>

<file path=xl/sharedStrings.xml><?xml version="1.0" encoding="utf-8"?>
<sst xmlns="http://schemas.openxmlformats.org/spreadsheetml/2006/main" count="1863" uniqueCount="494">
  <si>
    <t>finanszírozott feladat</t>
  </si>
  <si>
    <t>testületi döntés</t>
  </si>
  <si>
    <t xml:space="preserve"> Általános tartalék</t>
  </si>
  <si>
    <t>Önkormányzat</t>
  </si>
  <si>
    <t>Személyi kiadások:</t>
  </si>
  <si>
    <t>Dologi kiadások:</t>
  </si>
  <si>
    <t>Járulék kiadások:</t>
  </si>
  <si>
    <t>irányító szervi támogatás rendeletmódosítás miatt</t>
  </si>
  <si>
    <t>kommunális adóbevétel teljesítése alapján átcsoportosítás felhalmozási tartalékra</t>
  </si>
  <si>
    <t>Módosított működési tartalék összesen</t>
  </si>
  <si>
    <t>Felhalmozási tartalék</t>
  </si>
  <si>
    <t>Polgármesteri Hivatal felújítása (bejárati ajtó, mellékhelyiség felújítása)</t>
  </si>
  <si>
    <t>Művelődési Otthon felújítás</t>
  </si>
  <si>
    <t>Humánszolgáltató felújítás</t>
  </si>
  <si>
    <t>Alkotás utca heves esőzés okozta károk enyhítése</t>
  </si>
  <si>
    <t>Játszótéti mérleghinta javítása</t>
  </si>
  <si>
    <t>IVÜSZ részére tárgyi eszköz beszerzése</t>
  </si>
  <si>
    <t>Mezőőrök részére tárgyi eszköz beszerzése</t>
  </si>
  <si>
    <t>Humánszolgáltató részére tárgyi eszköz beszerzése</t>
  </si>
  <si>
    <t>COVID-19 miatti tárgyi eszköz beszerzés</t>
  </si>
  <si>
    <t>Polgármesteri Hivatal részére tárgyi eszköz beszerzés</t>
  </si>
  <si>
    <t>Hunyadi utcai rendelőben tárgyi eszközök beszerzése</t>
  </si>
  <si>
    <t>Aulich utcai rendelőben tárgyi eszközök beszerzése</t>
  </si>
  <si>
    <t>Fogászat részére tárgyi eszköz beszerzése</t>
  </si>
  <si>
    <t>Önkormányzat részére tárgyi eszközök beszerzése</t>
  </si>
  <si>
    <t>Könyvtár részére tárgyi eszköz beszerzés</t>
  </si>
  <si>
    <t>Patakvölgyi út csapadékvíz elvezetés</t>
  </si>
  <si>
    <t>Forgalmi rend változtatása</t>
  </si>
  <si>
    <t>Módosított felhalmozási tartalék összesen</t>
  </si>
  <si>
    <t>Tartalékok összesen</t>
  </si>
  <si>
    <t>adatok e Ft-ban</t>
  </si>
  <si>
    <t xml:space="preserve">Polgármesteri Hivatal </t>
  </si>
  <si>
    <t>intézményfinanszírozás</t>
  </si>
  <si>
    <t>Művelődési ház</t>
  </si>
  <si>
    <t>pályázati támogatás</t>
  </si>
  <si>
    <t>pályázati támogatás felhalmozási kiadása</t>
  </si>
  <si>
    <t>kulturális pótlék személyi kiadása</t>
  </si>
  <si>
    <t>kulturális pótlék járulék kiadása</t>
  </si>
  <si>
    <t>tárgyi eszköz beszerzésére dologi előirányzat csökkentése</t>
  </si>
  <si>
    <t>Hétszínvirág óvoda</t>
  </si>
  <si>
    <t>Isaszegi Humánszolgáltató Központ</t>
  </si>
  <si>
    <t>Isaszegi Városüzemeltető Szervezet</t>
  </si>
  <si>
    <t>Jókai Mór Városi Könyvtár</t>
  </si>
  <si>
    <t>Aprókfalva Bölcsőde</t>
  </si>
  <si>
    <t xml:space="preserve"> </t>
  </si>
  <si>
    <t>Isaszeg Város  Önkormányzat 2020. évi bevételei és kiadásai</t>
  </si>
  <si>
    <t>adatok eFt-ban</t>
  </si>
  <si>
    <t>sorszám</t>
  </si>
  <si>
    <t>megnevezés</t>
  </si>
  <si>
    <t>2020. évi terv</t>
  </si>
  <si>
    <t xml:space="preserve">2020. </t>
  </si>
  <si>
    <t>BEVÉTELEK</t>
  </si>
  <si>
    <t xml:space="preserve"> eddig módosított előirányzat</t>
  </si>
  <si>
    <t>rendeletmódosítás miatti tételek</t>
  </si>
  <si>
    <t>módosított előirányzat</t>
  </si>
  <si>
    <t>a teljesítés százaléka a módosított előirányzathoz képest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</si>
  <si>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</si>
  <si>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</si>
  <si>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</si>
  <si>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</si>
  <si>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</si>
  <si>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</si>
  <si>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</si>
  <si>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</si>
  <si>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</si>
  <si>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</si>
  <si>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(mezőőr,Művelődési Ház pályázat)</t>
  </si>
  <si>
    <t>Egyéb működési célú támogatások államháztartáson belülről (Bursa)</t>
  </si>
  <si>
    <t>Egyéb működési célú támogatások államháztartáson belülről (NEAK)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</si>
  <si>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</si>
  <si>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</si>
  <si>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</si>
  <si>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</si>
  <si>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</si>
  <si>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</si>
  <si>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</si>
  <si>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</si>
  <si>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</si>
  <si>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</si>
  <si>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</si>
  <si>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</si>
  <si>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 ellátási díjak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</si>
  <si>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</si>
  <si>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</si>
  <si>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</si>
  <si>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</si>
  <si>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</si>
  <si>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</si>
  <si>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</si>
  <si>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</si>
  <si>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</si>
  <si>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</si>
  <si>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</si>
  <si>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</si>
  <si>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</si>
  <si>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</si>
  <si>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</si>
  <si>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</si>
  <si>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00. havi állami támogatás , értékpapír eladás, bankbetét megszüntetése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</si>
  <si>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</si>
  <si>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</si>
  <si>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</si>
  <si>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</si>
  <si>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</si>
  <si>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</si>
  <si>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</si>
  <si>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</si>
  <si>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</si>
  <si>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</si>
  <si>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</si>
  <si>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</si>
  <si>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</si>
  <si>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</si>
  <si>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</si>
  <si>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</si>
  <si>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</si>
  <si>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</si>
  <si>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</si>
  <si>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</si>
  <si>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</si>
  <si>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</si>
  <si>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</si>
  <si>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</si>
  <si>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</si>
  <si>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</si>
  <si>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</si>
  <si>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</si>
  <si>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 xml:space="preserve">KÖLTSÉGVETÉSI KIADÁSOK ÖSSZESEN </t>
  </si>
  <si>
    <t>Finanszírozási kiadások</t>
  </si>
  <si>
    <t>00. Havi állami előleg, lízingdíj</t>
  </si>
  <si>
    <t>KIADÁSOK ÖSSZESEN</t>
  </si>
  <si>
    <t>Konszolidált kiadás</t>
  </si>
  <si>
    <t>Éves engedélyezett létszám előirányzat (fő)</t>
  </si>
  <si>
    <t>Közfoglalkoztatottak létszáma (fő)</t>
  </si>
  <si>
    <t xml:space="preserve">Működési célú központosított támogatások </t>
  </si>
  <si>
    <t>Egyéb működési célú támogatások államháztartáson belülről (mezőőr)</t>
  </si>
  <si>
    <t>Egyéb működési célú támogatások államháztartáson belülről</t>
  </si>
  <si>
    <t>Áru és készletértékesítés, szolgáltatás, kiszámlázott áfa, tulajdonosi bevételek, ellátási díjak, kiszámlázott általános forgalmi adó</t>
  </si>
  <si>
    <t>Költségvetési bevételek mindösszesen (I.-V)</t>
  </si>
  <si>
    <t>Finanszírozási bevételek (VI.-VII.)</t>
  </si>
  <si>
    <t>00. havi állami támogatás, értékpapír vásárlás</t>
  </si>
  <si>
    <t>KIADÁSOK ÖSSZESEN: (I.+II.)</t>
  </si>
  <si>
    <t>Működési többlet/hiány</t>
  </si>
  <si>
    <t>Kommunális adó bevétel</t>
  </si>
  <si>
    <t xml:space="preserve">Felhalmozási célú visszatérítendő támogatások, kölcsönök visszatérülése államháztartáson kívülről </t>
  </si>
  <si>
    <t>Költségvetési bevételek mindösszesen (I.-III.)</t>
  </si>
  <si>
    <t xml:space="preserve">00. havi állami támogatás </t>
  </si>
  <si>
    <t>Finanszírozási bevételek (IV.-V.)</t>
  </si>
  <si>
    <t>Egyéb felhalmozási célú kiadások</t>
  </si>
  <si>
    <t>Lízingdíj</t>
  </si>
  <si>
    <t>Felhalmozási többlet/hiány</t>
  </si>
  <si>
    <t>2020. évi  működési és fejlesztési célú bevételek és kiadások  bemutatása  módosított előirányzat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</si>
  <si>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</si>
  <si>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</si>
  <si>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</si>
  <si>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</si>
  <si>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</si>
  <si>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</si>
  <si>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Egyéb működési célú támogatások államháztartáson belülről (OEP)</t>
  </si>
  <si>
    <t>00. havi állami támogatás, értékpapír</t>
  </si>
  <si>
    <t>II. Felhalmozási célú bevételek és kiadások</t>
  </si>
  <si>
    <t>Ingatlanok értékesítése áfa bevétel</t>
  </si>
  <si>
    <t>Felhalmozási célú visszatérítendő támogatások, kölcsönök visszatérülése államháztartáson kívülről (kmk)</t>
  </si>
  <si>
    <t>lízingdíj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</si>
  <si>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</si>
  <si>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</si>
  <si>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</si>
  <si>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</si>
  <si>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</si>
  <si>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</si>
  <si>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2020.</t>
  </si>
  <si>
    <t>2021.</t>
  </si>
  <si>
    <t>a futamidő végéig</t>
  </si>
  <si>
    <t>A</t>
  </si>
  <si>
    <t>B</t>
  </si>
  <si>
    <t>C</t>
  </si>
  <si>
    <t>D</t>
  </si>
  <si>
    <t>E</t>
  </si>
  <si>
    <t>1.</t>
  </si>
  <si>
    <t>gépjármű lízing díja</t>
  </si>
  <si>
    <t>2.</t>
  </si>
  <si>
    <t>3.</t>
  </si>
  <si>
    <t>4.</t>
  </si>
  <si>
    <t>5.</t>
  </si>
  <si>
    <t>6.</t>
  </si>
  <si>
    <t>ÖSSZES KÖTELEZETTSÉG</t>
  </si>
  <si>
    <t>Isaszeg Város Önkormányzatának 2020. évi fejlesztési kiadási terve</t>
  </si>
  <si>
    <t>feladat megnevezése</t>
  </si>
  <si>
    <t>eddig módosított előirányzat</t>
  </si>
  <si>
    <t xml:space="preserve">Felújítások  </t>
  </si>
  <si>
    <t>Polgármesteri Hivatal felújítása</t>
  </si>
  <si>
    <t>Klapka György Általános Iskola felújítása</t>
  </si>
  <si>
    <t xml:space="preserve">Hunyadi utcai rendelő </t>
  </si>
  <si>
    <t>Felújítások mindösszesen</t>
  </si>
  <si>
    <t>II-</t>
  </si>
  <si>
    <t xml:space="preserve">Beruházások  </t>
  </si>
  <si>
    <t>Iparterületek infrastrukturális fejlesztése, VEKOP</t>
  </si>
  <si>
    <t>PM Piac_2018.</t>
  </si>
  <si>
    <t>Damjanich köz vízvezeték,Szentgyörgypuszta ivóvíz rendszer felújítása,  kompenzációs megállapodás alapján</t>
  </si>
  <si>
    <t>DAKÖV  bérleti díj terhére kompenzáció</t>
  </si>
  <si>
    <t>PM_EGÉSZSÉGÜGYI ALAPELLÁTÁS PÁLYÁZAT, Hunyadi utcai rendelőintézet,</t>
  </si>
  <si>
    <t>Hunyadi utcai rendelőintézetben fogászati rendelő kialakítása</t>
  </si>
  <si>
    <t>Út, járdaépítés</t>
  </si>
  <si>
    <t>Hétszínvirág óvoda tárgyi eszköz beszerzése</t>
  </si>
  <si>
    <t>Művelődési Ház részére tárgyi eszköz beszerzés</t>
  </si>
  <si>
    <t>Művelődési Ház konyha kialakításának tárgyi eszköz beszerzése</t>
  </si>
  <si>
    <t>Védőnői szolgálat részére tárgyi eszköz beszerzése</t>
  </si>
  <si>
    <t>Beruházások mindösszesen</t>
  </si>
  <si>
    <t>Felhalmozási célra átadott pénzeszközök</t>
  </si>
  <si>
    <t xml:space="preserve">FELHALMOZÁSI KIADÁSOK MINDÖSSZESEN </t>
  </si>
  <si>
    <t xml:space="preserve">FELHALMOZÁSI CÉLÚ KIADÁSOK MINDÖSSZESEN </t>
  </si>
  <si>
    <t>2020. évi előirányzat</t>
  </si>
  <si>
    <t>*Az adósságot keletkeztető ügyletekhez történő hozzájárulás részletes szabályairól szóló 353/2011. (XII.31.) Korm. Rendelet 2.§ (1) bekezdése alapján.</t>
  </si>
  <si>
    <t>Isaszeg Város Önkormányzat 2020. évi tartaléka</t>
  </si>
  <si>
    <t>ezer Ft-ban</t>
  </si>
  <si>
    <t>feladat</t>
  </si>
  <si>
    <t>az átcsoportosítás jogát gyakorolja</t>
  </si>
  <si>
    <t>Működési tartalék</t>
  </si>
  <si>
    <t>Képviselő-testület</t>
  </si>
  <si>
    <t>Összesen (1-2)</t>
  </si>
  <si>
    <t>Isaszeg Város Önkormányzatának 2020. évben Európai Uniós támogatással megvalósuló beruházásának bevételei, kiadásai</t>
  </si>
  <si>
    <t xml:space="preserve">A projekt kódszáma:  </t>
  </si>
  <si>
    <t xml:space="preserve">A megvalósítás helye: </t>
  </si>
  <si>
    <t xml:space="preserve">A projekt megvalósításának kezdete: </t>
  </si>
  <si>
    <t xml:space="preserve">A projekt megvalósításának befejezése: </t>
  </si>
  <si>
    <t>A projekt bevételei és kiadásai</t>
  </si>
  <si>
    <t>adatok Eft-ban</t>
  </si>
  <si>
    <t>Bevétel</t>
  </si>
  <si>
    <t>összesen</t>
  </si>
  <si>
    <t>támogatás</t>
  </si>
  <si>
    <t>Kiadás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</si>
  <si>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</si>
  <si>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</si>
  <si>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</si>
  <si>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</si>
  <si>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</si>
  <si>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</si>
  <si>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eredeti előirányzat</t>
  </si>
  <si>
    <t>Felhalmozási célú önkormányzati támogatások</t>
  </si>
  <si>
    <t>Egyéb működési célra átvett pénzeszközök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</si>
  <si>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</si>
  <si>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</si>
  <si>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00.havi állami, értékpapír eladás</t>
  </si>
  <si>
    <t>Kiadások</t>
  </si>
  <si>
    <t>2020.  évi terv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</si>
  <si>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</si>
  <si>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</si>
  <si>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00. Havi állami előleg, lízingdíj, értékpapír</t>
  </si>
  <si>
    <t>KIADÁSOK ÖSSZESEN: (I.+II.+III.)</t>
  </si>
  <si>
    <t>konszolidált kiadás</t>
  </si>
  <si>
    <t>cafeteria</t>
  </si>
  <si>
    <t>létszám</t>
  </si>
  <si>
    <t xml:space="preserve">mezőőri szolgálat </t>
  </si>
  <si>
    <t>járulék ( a 113.043 Ft/fő/év  után 15%)</t>
  </si>
  <si>
    <t>2</t>
  </si>
  <si>
    <t>polgármester, alpolgármester, 2 fő részére</t>
  </si>
  <si>
    <t>járulék ( a 201652 Ft/fő/év  után 15 %)</t>
  </si>
  <si>
    <t>Védőnői szolgálat 4 fő részére</t>
  </si>
  <si>
    <t>4</t>
  </si>
  <si>
    <t>Fogorvosi szolgálat 3 fő részére</t>
  </si>
  <si>
    <t>járulék ( a 72.000 Ft/fő/év  után 15%)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</si>
  <si>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</si>
  <si>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</si>
  <si>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</si>
  <si>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Isaszegi Polgármesteri Hivatal </t>
  </si>
  <si>
    <t>02</t>
  </si>
  <si>
    <t>Igazgatási feladatok</t>
  </si>
  <si>
    <t>Felhalmozási célú önkormányzati támogatások (vis maior)</t>
  </si>
  <si>
    <t>Egyéb tárgyi eszköz értékesítés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</si>
  <si>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</si>
  <si>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</si>
  <si>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</si>
  <si>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>2020. . évi terv</t>
  </si>
  <si>
    <t xml:space="preserve"> ebből: EU-s forrásból finanszírozott támogatással megvalósuló programok, projektek kiadásai ( ÁROP)</t>
  </si>
  <si>
    <t>Hitel-,kölcsöntörlesztés államháztartáson kívülre</t>
  </si>
  <si>
    <t>Köztisztviselő (31 fő*201652 Ft/fő/év)</t>
  </si>
  <si>
    <t>Járulék 15%</t>
  </si>
  <si>
    <t>Költségvetési szerv I.</t>
  </si>
  <si>
    <t>03</t>
  </si>
  <si>
    <t>Isaszegi Hétszínvirág Óvoda</t>
  </si>
  <si>
    <t>04</t>
  </si>
  <si>
    <t>Isaszegi Bóbita Óvoda</t>
  </si>
  <si>
    <t>2020 . évi terv</t>
  </si>
  <si>
    <t>közalkalmazottak részére (10000Ft/hó 12 hóra)</t>
  </si>
  <si>
    <t>járulék</t>
  </si>
  <si>
    <t>05</t>
  </si>
  <si>
    <t>közalkalmazottak részére (6000Ft/hó  12 hóra)</t>
  </si>
  <si>
    <t>teljesítés 07.31-ig</t>
  </si>
  <si>
    <t xml:space="preserve"> teljesítés 07.31-ig</t>
  </si>
  <si>
    <t>06</t>
  </si>
  <si>
    <t>Dózsa György Művelődési Otthon és Isaszegi Múzeumi Kiállítóhely</t>
  </si>
  <si>
    <t>közalkalmazottak részére (6000Ft/hó 12 hóra)</t>
  </si>
  <si>
    <t>07</t>
  </si>
  <si>
    <t xml:space="preserve">                          </t>
  </si>
  <si>
    <t>08</t>
  </si>
  <si>
    <t>2 fő részére 173913Ft/fő/év</t>
  </si>
  <si>
    <t>13</t>
  </si>
  <si>
    <t>13 fő közalkalmazott részére 113043Ft/fő/év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</si>
  <si>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</si>
  <si>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</si>
  <si>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(15%) előirányzata</t>
  </si>
  <si>
    <t>Támogatások részletezése 2020.  év</t>
  </si>
  <si>
    <t xml:space="preserve">       </t>
  </si>
  <si>
    <t>Megnevezés</t>
  </si>
  <si>
    <t>Nyugdíjas klubok</t>
  </si>
  <si>
    <t>Sportkör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</si>
  <si>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</si>
  <si>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</si>
  <si>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</si>
  <si>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</si>
  <si>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</si>
  <si>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</si>
  <si>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Kultúrális, Közművelődési és Sport Bizottság</t>
  </si>
  <si>
    <t>Pénzügyi, Jogi, Ügyrendi, Vagyonnyilatkozati és összeférhetetlenséget Kezelő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</si>
  <si>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</si>
  <si>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</si>
  <si>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</si>
  <si>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</si>
  <si>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</si>
  <si>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Nemzetközi-kulturális-sport-és társadalmi kapcsolatok támogatása</t>
  </si>
  <si>
    <t>Isaszegi  Önkéntes Tűzoltó Egyesület</t>
  </si>
  <si>
    <t xml:space="preserve">    Összesen:</t>
  </si>
  <si>
    <t>értékpapír kiadás</t>
  </si>
  <si>
    <t>Éves teljesítés</t>
  </si>
  <si>
    <t xml:space="preserve"> Teljesítés 08.01-12.31.</t>
  </si>
  <si>
    <t xml:space="preserve">  </t>
  </si>
  <si>
    <t>Ablak beépítés Rákóczi u 10, Rendőrség</t>
  </si>
  <si>
    <t>Bölcsőde részére tárgyi eszköz beszerzés</t>
  </si>
  <si>
    <t>Múzeum részére tárgyi eszköz beszerzés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</si>
  <si>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</si>
  <si>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</si>
  <si>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</si>
  <si>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</si>
  <si>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</si>
  <si>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</si>
  <si>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</si>
  <si>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</si>
  <si>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</si>
  <si>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</si>
  <si>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</si>
  <si>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</si>
  <si>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</si>
  <si>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</si>
  <si>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</si>
  <si>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</si>
  <si>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</si>
  <si>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</si>
  <si>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</si>
  <si>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</si>
  <si>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</si>
  <si>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......................, 2020. .......................... hó ..... nap</t>
  </si>
  <si>
    <t>adatok Ft-ban</t>
  </si>
  <si>
    <t>MARADVÁNYKIMUTATÁS</t>
  </si>
  <si>
    <t>Isaszegi Polgármesteri Hivatal</t>
  </si>
  <si>
    <t>IVÜSZ</t>
  </si>
  <si>
    <t>ÖSSZESEN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</si>
  <si>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</si>
  <si>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</si>
  <si>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</si>
  <si>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</si>
  <si>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</si>
  <si>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</si>
  <si>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</si>
  <si>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</si>
  <si>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</si>
  <si>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</si>
  <si>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</si>
  <si>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</si>
  <si>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</si>
  <si>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</si>
  <si>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</si>
  <si>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 xml:space="preserve">költségvetési évben esedékes kötelezettségek dologi kiadásokra </t>
  </si>
  <si>
    <t>Polgármesteri Hivatal felújítására</t>
  </si>
  <si>
    <t>00. havi állami kiadás</t>
  </si>
  <si>
    <t>PM PIAC</t>
  </si>
  <si>
    <t>Alaptevékenység kötelezettséggel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</si>
  <si>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</si>
  <si>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</si>
  <si>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</si>
  <si>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Isaszegi Aprók Falva Bölcsőde</t>
  </si>
  <si>
    <t>Eszközök</t>
  </si>
  <si>
    <t>Adatok ezer Ft-ban</t>
  </si>
  <si>
    <t xml:space="preserve">Önkormányzat összesen </t>
  </si>
  <si>
    <t>Nemzeti vagyonba tartozó befektetett eszközök</t>
  </si>
  <si>
    <t>Immateriális javak</t>
  </si>
  <si>
    <t>Ingatlanok</t>
  </si>
  <si>
    <t>Gépek, berendezések felszerelések, járművek</t>
  </si>
  <si>
    <t>Beruházások</t>
  </si>
  <si>
    <t>Befektetett pénzügyi eszközök</t>
  </si>
  <si>
    <t>Tartós hitelviszonyt megtestesítő értékpapírok</t>
  </si>
  <si>
    <t>Nemzeti vagyonba tartozó forgó eszközök</t>
  </si>
  <si>
    <t>Pénzeszközök</t>
  </si>
  <si>
    <t>Követelések</t>
  </si>
  <si>
    <t>Egyéb sajátos eszközoldali elszámolások</t>
  </si>
  <si>
    <t>Aktív időbeli elhatárolások</t>
  </si>
  <si>
    <t>Eszközök összesen</t>
  </si>
  <si>
    <t>Készletek</t>
  </si>
  <si>
    <t>Értékpapírok</t>
  </si>
  <si>
    <t>Források</t>
  </si>
  <si>
    <t>Önkormányzat összesen</t>
  </si>
  <si>
    <t>Saját tőke</t>
  </si>
  <si>
    <t>Kötelezettségek</t>
  </si>
  <si>
    <t>Egyéb sajátos forrásoldali elszámolások</t>
  </si>
  <si>
    <t>Passzív időbeli elhatárolások</t>
  </si>
  <si>
    <t>Források összesen</t>
  </si>
  <si>
    <t>ESZKÖZÖK</t>
  </si>
  <si>
    <t>Előző évi költségvetési beszámoló záró adatai</t>
  </si>
  <si>
    <t>Tárgy évi költségvetési beszámoló záró adatai</t>
  </si>
  <si>
    <t xml:space="preserve"> I.   Immateriális javak</t>
  </si>
  <si>
    <t>II. Ingatlanok</t>
  </si>
  <si>
    <t>III. Gépek, berendezések, felszerelések, járművek</t>
  </si>
  <si>
    <t>IV. Beruházások, felújítások</t>
  </si>
  <si>
    <t>V. Tartós részesedések</t>
  </si>
  <si>
    <t>VI. Tartós hitelviszonyt megtestesítő értékpapírok</t>
  </si>
  <si>
    <t>Nemzeti vagyonba tartozó forgóeszközök</t>
  </si>
  <si>
    <t xml:space="preserve"> I.   Készletek</t>
  </si>
  <si>
    <t xml:space="preserve"> II.  Értékpapírok</t>
  </si>
  <si>
    <t>FORRÁSOK</t>
  </si>
  <si>
    <t>21.  melléklet a / 2021. (    .    .)   önk. rendelethez</t>
  </si>
  <si>
    <t>EGYSZERŰSÍTETT MÉRLEG 2020.</t>
  </si>
  <si>
    <t>Kimutatás az önkormányzat 2020. évi vagyonáról</t>
  </si>
  <si>
    <t>20. melléklet a    /2021. (   .   .) önk.rendelethez</t>
  </si>
  <si>
    <t xml:space="preserve">eredeti </t>
  </si>
  <si>
    <t>módosított</t>
  </si>
  <si>
    <t>teljesítés</t>
  </si>
  <si>
    <t>előirányzat</t>
  </si>
  <si>
    <t>Munkaadókat terhelő járulékok</t>
  </si>
  <si>
    <t>Dologi és egyéb folyó kiadások</t>
  </si>
  <si>
    <t>Intézményi beruházási kiadások</t>
  </si>
  <si>
    <t>Felújítás</t>
  </si>
  <si>
    <t xml:space="preserve">Finanszírozási kiadások </t>
  </si>
  <si>
    <t>Költségvetési kiadások összesen</t>
  </si>
  <si>
    <t>Államháztartáson belüli megelőlegezések, lízingdíj</t>
  </si>
  <si>
    <t>Értékpapír</t>
  </si>
  <si>
    <t>Intézmények irányító szervi támogatásai</t>
  </si>
  <si>
    <t>Költségvetési bevételek összesen</t>
  </si>
  <si>
    <t>22.  melléklet a /2021. (    .    .) önk. rendelethez</t>
  </si>
  <si>
    <t>Isaszeg Város Önkormányzat és intézményeinek pénzkészlet változásának bemutatása</t>
  </si>
  <si>
    <t>Intézmény megnevezése</t>
  </si>
  <si>
    <t>Nyitó pénzkészlet</t>
  </si>
  <si>
    <t>Záró pénzkészlet</t>
  </si>
  <si>
    <t>Isaszegi Városüzemeltetési Szervezet</t>
  </si>
  <si>
    <t>23. melléklet a /2021. (      .   .) önk.rendelethez</t>
  </si>
  <si>
    <t>Isaszegi Művelődési Ház és Múzeumi Kiállítóhely</t>
  </si>
  <si>
    <t>19.  melléklet a  /2021. (   .   )  önk. rendelethez</t>
  </si>
  <si>
    <t>ezer forintban</t>
  </si>
  <si>
    <t xml:space="preserve">Egyéb felhalmozási célú átvett pénzeszköz, Felhalmozási célú önkormányzati támogatások </t>
  </si>
  <si>
    <t>2020. IV. rendeletmódosítás  tételeinek kimutatása</t>
  </si>
  <si>
    <t>IV.rendelet módosítás tételei</t>
  </si>
  <si>
    <t>bérkompenzáció bevétel 2020.10.-2020.11. havi</t>
  </si>
  <si>
    <t>kulturális pótlék 2020.10. havi</t>
  </si>
  <si>
    <t>szociális ágazati pótlék 2020.10.-2020.11. havi</t>
  </si>
  <si>
    <t>Bérkompenzáció 2020.10-11.havi személyi kiadás</t>
  </si>
  <si>
    <t>Bérkompenzáció  2020.10.-11.havi járulék kiadás</t>
  </si>
  <si>
    <t>kulturális pótlék személyi kiadása 10. havi</t>
  </si>
  <si>
    <t>kulturális pótlék járulék kiadása 10. havi</t>
  </si>
  <si>
    <t>személyiről átcsop.teljesítés miatt</t>
  </si>
  <si>
    <t>járulékra átcsop.teljesítés miatt</t>
  </si>
  <si>
    <t>átvett pénzeszközök</t>
  </si>
  <si>
    <t>átcsop. Dologiról</t>
  </si>
  <si>
    <t>értékpapírra</t>
  </si>
  <si>
    <t>ellátottak pénzbeli juttatásai</t>
  </si>
  <si>
    <t>00. havi állami támogatás</t>
  </si>
  <si>
    <t>dologi kiadás</t>
  </si>
  <si>
    <t>Érdekeltségnövelő támogatás</t>
  </si>
  <si>
    <t xml:space="preserve">8. melléklet a    /2021.(.)  önkormányzati rendelethez </t>
  </si>
  <si>
    <t xml:space="preserve">9. melléklet a    /2021.(.)  önkormányzati rendelethez </t>
  </si>
  <si>
    <t xml:space="preserve">10. melléklet a    /2021.  önkormányzati rendelethez </t>
  </si>
  <si>
    <t xml:space="preserve">11. melléklet a    /2021.(.)  önkormányzati rendelethez </t>
  </si>
  <si>
    <t xml:space="preserve">12. melléklet a    /2021.()  önkormányzati rendelethez </t>
  </si>
  <si>
    <t xml:space="preserve">13. melléklet a    /2021.(.)  önkormányzati rendelethez </t>
  </si>
  <si>
    <t xml:space="preserve">14. melléklet a    /2021..)  önkormányzati rendelethez </t>
  </si>
  <si>
    <t xml:space="preserve">15. melléklet a    /2021.(.)  önkormányzati rendelethez </t>
  </si>
  <si>
    <t xml:space="preserve">16. melléklet a    /2021.  önkormányzati rendelethez </t>
  </si>
  <si>
    <t>kommunális adó bevétel teljesítés miatti előirányzat növelése</t>
  </si>
  <si>
    <t>ellátottak pénzbeli juttatásai kiadásokra</t>
  </si>
  <si>
    <t>ellátottak pénzbeli juttatásainak dologi jellegű kiadásai</t>
  </si>
  <si>
    <t>pályázati támogatás dologi kiadása</t>
  </si>
  <si>
    <t>szociális ágazati pótlék 2020.10.-2020.11. havi személyi jellegű kiadása</t>
  </si>
  <si>
    <t>szociális ágazati pótlék 2020.10.-2020.11. havi járulék jellegű kiadása</t>
  </si>
  <si>
    <t>tárgyi eszköz beszerzésére felhalmozási  előirányzat növelése</t>
  </si>
  <si>
    <t>önkormányzatot megillető normatív támogatás</t>
  </si>
  <si>
    <t>Bevételi jogcím</t>
  </si>
  <si>
    <t>Kedvezmény nélkül elérhető bevétel</t>
  </si>
  <si>
    <t>Kedvezmények összege</t>
  </si>
  <si>
    <t>Ellátottak térítési díjának méltányossági alapon történő elengedésének összege</t>
  </si>
  <si>
    <t>Lakosság részére lakásépítéshez, lakásfelújításhoz nyújtott kölcsönök elengedésének összege</t>
  </si>
  <si>
    <t>Iparűzési adóból biztosított kedvezmény, mentesség</t>
  </si>
  <si>
    <t>Kommunális adóból biztosított kedvezmény, mentesség</t>
  </si>
  <si>
    <t>Pótlékokra, bírságokra adott mentesség</t>
  </si>
  <si>
    <t>Gépjárműadóból biztosított kedvezmény, mentesség</t>
  </si>
  <si>
    <t>Helyiségek, eszközök hasznosításából származó bevételből nyújtott kedvezmény, mentesség összege</t>
  </si>
  <si>
    <t>Egyéb nyújtott kedvezmény, vagy kölcsön elengedésének összege</t>
  </si>
  <si>
    <t>Isaszeg Város Önkormányzat 2020. évi  biztosított kedvezményei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</si>
</sst>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F_t_-;\-* #,##0.00\ _F_t_-;_-* \-??\ _F_t_-;_-@_-"/>
    <numFmt numFmtId="165" formatCode="\ #,##0.00&quot;       &quot;;\-#,##0.00&quot;       &quot;;&quot; -&quot;#&quot;       &quot;;@\ "/>
    <numFmt numFmtId="166" formatCode="\ #,##0&quot;     &quot;;\-#,##0&quot;     &quot;;&quot; -&quot;#&quot;     &quot;;@\ "/>
    <numFmt numFmtId="167" formatCode="\ #,##0&quot;       &quot;;\-#,##0&quot;       &quot;;&quot; -&quot;#&quot;       &quot;;@\ "/>
    <numFmt numFmtId="168" formatCode="#,###"/>
    <numFmt numFmtId="169" formatCode="#,###.00"/>
    <numFmt numFmtId="170" formatCode="0.0%"/>
    <numFmt numFmtId="171" formatCode="yyyy\-mm\-dd"/>
    <numFmt numFmtId="172" formatCode="0\."/>
    <numFmt numFmtId="173" formatCode="_-* #,##0\ _F_t_-;\-* #,##0\ _F_t_-;_-* \-??\ _F_t_-;_-@_-"/>
    <numFmt numFmtId="174" formatCode="mmm\ d/"/>
    <numFmt numFmtId="175" formatCode="#,##0.00&quot;       &quot;;\-#,##0.00&quot;       &quot;;&quot; -&quot;#&quot;       &quot;;@\ "/>
    <numFmt numFmtId="176" formatCode="#,##0&quot;     &quot;;\-#,##0&quot;     &quot;;&quot; -&quot;#&quot;     &quot;;@\ "/>
    <numFmt numFmtId="177" formatCode="#,##0&quot;       &quot;;\-#,##0&quot;       &quot;;&quot; -&quot;#&quot;       &quot;;@\ "/>
    <numFmt numFmtId="178" formatCode="#,##0\ _F_t"/>
  </numFmts>
  <fonts count="56" x14ac:knownFonts="1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2"/>
      <name val="Times New Roman CE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"/>
      <family val="2"/>
      <charset val="1"/>
    </font>
    <font>
      <sz val="16"/>
      <color indexed="8"/>
      <name val="Times New Roman"/>
      <family val="1"/>
      <charset val="238"/>
    </font>
    <font>
      <sz val="16"/>
      <color indexed="8"/>
      <name val="Arial"/>
      <family val="2"/>
      <charset val="1"/>
    </font>
    <font>
      <sz val="13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Arial"/>
      <family val="2"/>
      <charset val="1"/>
    </font>
    <font>
      <sz val="14"/>
      <color indexed="8"/>
      <name val="Arial"/>
      <family val="2"/>
      <charset val="1"/>
    </font>
    <font>
      <sz val="14"/>
      <name val="Arial"/>
      <family val="2"/>
      <charset val="238"/>
    </font>
    <font>
      <b/>
      <i/>
      <sz val="14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4"/>
      <name val="Times New Roman"/>
      <family val="1"/>
      <charset val="1"/>
    </font>
    <font>
      <b/>
      <i/>
      <sz val="14"/>
      <color indexed="10"/>
      <name val="Times New Roman"/>
      <family val="1"/>
      <charset val="238"/>
    </font>
    <font>
      <b/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sz val="14"/>
      <color indexed="8"/>
      <name val="Times New Roman"/>
      <family val="1"/>
      <charset val="1"/>
    </font>
    <font>
      <sz val="12"/>
      <name val="Times New Roman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4"/>
      <name val="Times New Roman CE"/>
      <family val="1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b/>
      <sz val="2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4">
    <xf numFmtId="0" fontId="0" fillId="0" borderId="0"/>
    <xf numFmtId="175" fontId="48" fillId="0" borderId="0" applyBorder="0" applyProtection="0"/>
    <xf numFmtId="165" fontId="48" fillId="0" borderId="0" applyFill="0" applyBorder="0" applyAlignment="0" applyProtection="0"/>
    <xf numFmtId="164" fontId="48" fillId="0" borderId="0" applyFill="0" applyBorder="0" applyAlignment="0" applyProtection="0"/>
    <xf numFmtId="165" fontId="48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9" fontId="23" fillId="0" borderId="0" applyBorder="0" applyProtection="0"/>
    <xf numFmtId="0" fontId="54" fillId="0" borderId="0"/>
  </cellStyleXfs>
  <cellXfs count="578">
    <xf numFmtId="0" fontId="0" fillId="0" borderId="0" xfId="0"/>
    <xf numFmtId="0" fontId="3" fillId="0" borderId="0" xfId="0" applyFont="1"/>
    <xf numFmtId="0" fontId="4" fillId="0" borderId="1" xfId="0" applyFont="1" applyBorder="1"/>
    <xf numFmtId="3" fontId="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7" fillId="0" borderId="1" xfId="2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166" fontId="3" fillId="0" borderId="0" xfId="0" applyNumberFormat="1" applyFont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0" fontId="7" fillId="0" borderId="1" xfId="0" applyFont="1" applyBorder="1" applyAlignment="1">
      <alignment wrapText="1"/>
    </xf>
    <xf numFmtId="166" fontId="10" fillId="0" borderId="1" xfId="2" applyNumberFormat="1" applyFont="1" applyFill="1" applyBorder="1" applyAlignment="1" applyProtection="1">
      <alignment horizontal="center"/>
    </xf>
    <xf numFmtId="0" fontId="4" fillId="8" borderId="1" xfId="0" applyFont="1" applyFill="1" applyBorder="1" applyAlignment="1">
      <alignment wrapText="1"/>
    </xf>
    <xf numFmtId="166" fontId="4" fillId="0" borderId="0" xfId="0" applyNumberFormat="1" applyFont="1"/>
    <xf numFmtId="0" fontId="11" fillId="9" borderId="1" xfId="0" applyFont="1" applyFill="1" applyBorder="1"/>
    <xf numFmtId="0" fontId="8" fillId="9" borderId="1" xfId="0" applyFont="1" applyFill="1" applyBorder="1" applyAlignment="1">
      <alignment wrapText="1"/>
    </xf>
    <xf numFmtId="166" fontId="12" fillId="9" borderId="1" xfId="2" applyNumberFormat="1" applyFont="1" applyFill="1" applyBorder="1" applyAlignment="1" applyProtection="1">
      <alignment horizontal="center"/>
    </xf>
    <xf numFmtId="166" fontId="12" fillId="9" borderId="3" xfId="2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>
      <alignment wrapText="1"/>
    </xf>
    <xf numFmtId="0" fontId="4" fillId="10" borderId="1" xfId="0" applyFont="1" applyFill="1" applyBorder="1"/>
    <xf numFmtId="166" fontId="11" fillId="9" borderId="3" xfId="0" applyNumberFormat="1" applyFont="1" applyFill="1" applyBorder="1" applyAlignment="1">
      <alignment horizontal="center" wrapText="1"/>
    </xf>
    <xf numFmtId="0" fontId="13" fillId="9" borderId="1" xfId="0" applyFont="1" applyFill="1" applyBorder="1"/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/>
    <xf numFmtId="3" fontId="14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4" fillId="0" borderId="1" xfId="11" applyFont="1" applyFill="1" applyBorder="1" applyAlignment="1" applyProtection="1">
      <alignment vertical="center" wrapText="1"/>
    </xf>
    <xf numFmtId="168" fontId="4" fillId="0" borderId="0" xfId="0" applyNumberFormat="1" applyFont="1"/>
    <xf numFmtId="0" fontId="4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16" fillId="0" borderId="0" xfId="0" applyFont="1"/>
    <xf numFmtId="1" fontId="16" fillId="0" borderId="0" xfId="0" applyNumberFormat="1" applyFont="1"/>
    <xf numFmtId="0" fontId="1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2" fillId="0" borderId="0" xfId="0" applyFont="1" applyAlignment="1">
      <alignment horizontal="center" vertical="center"/>
    </xf>
    <xf numFmtId="1" fontId="1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2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 applyProtection="1">
      <alignment horizontal="center" vertical="center" wrapText="1"/>
    </xf>
    <xf numFmtId="0" fontId="22" fillId="11" borderId="1" xfId="0" applyFont="1" applyFill="1" applyBorder="1" applyAlignment="1" applyProtection="1">
      <alignment horizontal="left" vertical="center" wrapText="1" indent="1"/>
    </xf>
    <xf numFmtId="168" fontId="22" fillId="11" borderId="1" xfId="0" applyNumberFormat="1" applyFont="1" applyFill="1" applyBorder="1" applyAlignment="1" applyProtection="1">
      <alignment vertical="center" wrapText="1"/>
    </xf>
    <xf numFmtId="9" fontId="12" fillId="11" borderId="1" xfId="12" applyFont="1" applyFill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 indent="1"/>
    </xf>
    <xf numFmtId="168" fontId="16" fillId="0" borderId="1" xfId="0" applyNumberFormat="1" applyFont="1" applyFill="1" applyBorder="1" applyAlignment="1" applyProtection="1">
      <alignment vertical="center" wrapText="1"/>
    </xf>
    <xf numFmtId="9" fontId="10" fillId="0" borderId="1" xfId="12" applyFont="1" applyBorder="1" applyProtection="1"/>
    <xf numFmtId="49" fontId="22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12" applyFont="1" applyBorder="1" applyProtection="1"/>
    <xf numFmtId="49" fontId="22" fillId="11" borderId="1" xfId="0" applyNumberFormat="1" applyFont="1" applyFill="1" applyBorder="1" applyAlignment="1" applyProtection="1">
      <alignment horizontal="center" vertical="center" wrapText="1"/>
    </xf>
    <xf numFmtId="0" fontId="22" fillId="11" borderId="1" xfId="11" applyFont="1" applyFill="1" applyBorder="1" applyAlignment="1" applyProtection="1">
      <alignment horizontal="left" vertical="center" wrapText="1" indent="1"/>
    </xf>
    <xf numFmtId="9" fontId="5" fillId="11" borderId="1" xfId="12" applyFont="1" applyFill="1" applyBorder="1" applyProtection="1"/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4" xfId="11" applyFont="1" applyFill="1" applyBorder="1" applyAlignment="1" applyProtection="1">
      <alignment horizontal="left" vertical="center" wrapText="1" indent="1"/>
    </xf>
    <xf numFmtId="168" fontId="22" fillId="0" borderId="1" xfId="0" applyNumberFormat="1" applyFont="1" applyFill="1" applyBorder="1" applyAlignment="1" applyProtection="1">
      <alignment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1" xfId="11" applyFont="1" applyFill="1" applyBorder="1" applyAlignment="1" applyProtection="1">
      <alignment horizontal="left" vertical="center" wrapText="1" indent="1"/>
    </xf>
    <xf numFmtId="0" fontId="22" fillId="11" borderId="5" xfId="11" applyFont="1" applyFill="1" applyBorder="1" applyAlignment="1" applyProtection="1">
      <alignment horizontal="left" vertical="center" wrapText="1" indent="1"/>
    </xf>
    <xf numFmtId="0" fontId="22" fillId="0" borderId="1" xfId="11" applyFont="1" applyFill="1" applyBorder="1" applyAlignment="1" applyProtection="1">
      <alignment horizontal="left" vertical="center" wrapText="1" indent="1"/>
    </xf>
    <xf numFmtId="49" fontId="22" fillId="11" borderId="1" xfId="11" applyNumberFormat="1" applyFont="1" applyFill="1" applyBorder="1" applyAlignment="1" applyProtection="1">
      <alignment horizontal="center" vertical="center" wrapText="1"/>
    </xf>
    <xf numFmtId="9" fontId="22" fillId="11" borderId="1" xfId="0" applyNumberFormat="1" applyFont="1" applyFill="1" applyBorder="1" applyAlignment="1" applyProtection="1">
      <alignment vertical="center" wrapText="1"/>
    </xf>
    <xf numFmtId="49" fontId="16" fillId="0" borderId="1" xfId="11" applyNumberFormat="1" applyFont="1" applyFill="1" applyBorder="1" applyAlignment="1" applyProtection="1">
      <alignment horizontal="left" vertical="center" wrapText="1" indent="1"/>
    </xf>
    <xf numFmtId="49" fontId="16" fillId="11" borderId="1" xfId="11" applyNumberFormat="1" applyFont="1" applyFill="1" applyBorder="1" applyAlignment="1" applyProtection="1">
      <alignment horizontal="left" vertical="center" wrapText="1" indent="1"/>
    </xf>
    <xf numFmtId="0" fontId="24" fillId="8" borderId="0" xfId="0" applyFont="1" applyFill="1"/>
    <xf numFmtId="168" fontId="18" fillId="0" borderId="0" xfId="0" applyNumberFormat="1" applyFont="1"/>
    <xf numFmtId="3" fontId="12" fillId="0" borderId="0" xfId="0" applyNumberFormat="1" applyFont="1" applyFill="1" applyBorder="1"/>
    <xf numFmtId="168" fontId="24" fillId="11" borderId="1" xfId="0" applyNumberFormat="1" applyFont="1" applyFill="1" applyBorder="1" applyAlignment="1" applyProtection="1">
      <alignment vertical="center" wrapText="1"/>
    </xf>
    <xf numFmtId="9" fontId="25" fillId="11" borderId="1" xfId="12" applyFont="1" applyFill="1" applyBorder="1" applyProtection="1"/>
    <xf numFmtId="3" fontId="12" fillId="0" borderId="0" xfId="0" applyNumberFormat="1" applyFont="1" applyBorder="1"/>
    <xf numFmtId="0" fontId="18" fillId="0" borderId="0" xfId="0" applyFont="1" applyBorder="1"/>
    <xf numFmtId="49" fontId="16" fillId="0" borderId="5" xfId="11" applyNumberFormat="1" applyFont="1" applyFill="1" applyBorder="1" applyAlignment="1" applyProtection="1">
      <alignment horizontal="left" vertical="center" wrapText="1" indent="1"/>
    </xf>
    <xf numFmtId="0" fontId="16" fillId="0" borderId="5" xfId="11" applyFont="1" applyFill="1" applyBorder="1" applyAlignment="1" applyProtection="1">
      <alignment horizontal="left" vertical="center" wrapText="1" indent="1"/>
    </xf>
    <xf numFmtId="168" fontId="16" fillId="0" borderId="1" xfId="0" applyNumberFormat="1" applyFont="1" applyFill="1" applyBorder="1" applyAlignment="1" applyProtection="1">
      <alignment vertical="center" wrapText="1"/>
      <protection locked="0"/>
    </xf>
    <xf numFmtId="9" fontId="12" fillId="0" borderId="1" xfId="12" applyFont="1" applyBorder="1" applyProtection="1"/>
    <xf numFmtId="0" fontId="16" fillId="0" borderId="1" xfId="11" applyFont="1" applyFill="1" applyBorder="1" applyAlignment="1" applyProtection="1">
      <alignment horizontal="left" vertical="center" wrapText="1" indent="6"/>
    </xf>
    <xf numFmtId="0" fontId="16" fillId="0" borderId="1" xfId="11" applyFont="1" applyFill="1" applyBorder="1" applyAlignment="1" applyProtection="1">
      <alignment horizontal="left" indent="6"/>
    </xf>
    <xf numFmtId="168" fontId="22" fillId="11" borderId="1" xfId="0" applyNumberFormat="1" applyFont="1" applyFill="1" applyBorder="1" applyAlignment="1" applyProtection="1">
      <alignment vertical="center" wrapText="1"/>
      <protection locked="0"/>
    </xf>
    <xf numFmtId="168" fontId="16" fillId="0" borderId="0" xfId="0" applyNumberFormat="1" applyFont="1"/>
    <xf numFmtId="0" fontId="11" fillId="0" borderId="1" xfId="11" applyFont="1" applyFill="1" applyBorder="1" applyAlignment="1" applyProtection="1">
      <alignment horizontal="left" vertical="center" wrapText="1" indent="1"/>
    </xf>
    <xf numFmtId="168" fontId="22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168" fontId="24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6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left" vertical="center"/>
    </xf>
    <xf numFmtId="169" fontId="22" fillId="0" borderId="1" xfId="0" applyNumberFormat="1" applyFont="1" applyFill="1" applyBorder="1" applyAlignment="1" applyProtection="1">
      <alignment vertical="center" wrapText="1"/>
      <protection locked="0"/>
    </xf>
    <xf numFmtId="2" fontId="16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9" fontId="12" fillId="9" borderId="1" xfId="12" applyFont="1" applyFill="1" applyBorder="1" applyProtection="1"/>
    <xf numFmtId="9" fontId="16" fillId="0" borderId="1" xfId="0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left" vertical="center" wrapText="1" indent="1"/>
    </xf>
    <xf numFmtId="0" fontId="21" fillId="0" borderId="0" xfId="0" applyFont="1"/>
    <xf numFmtId="9" fontId="18" fillId="0" borderId="1" xfId="12" applyFont="1" applyBorder="1" applyProtection="1"/>
    <xf numFmtId="0" fontId="16" fillId="0" borderId="1" xfId="0" applyFont="1" applyBorder="1"/>
    <xf numFmtId="0" fontId="4" fillId="0" borderId="0" xfId="0" applyNumberFormat="1" applyFont="1"/>
    <xf numFmtId="1" fontId="4" fillId="0" borderId="0" xfId="0" applyNumberFormat="1" applyFont="1"/>
    <xf numFmtId="0" fontId="2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/>
    <xf numFmtId="0" fontId="28" fillId="0" borderId="0" xfId="0" applyFont="1"/>
    <xf numFmtId="0" fontId="5" fillId="0" borderId="0" xfId="0" applyFont="1" applyAlignment="1">
      <alignment horizontal="center" vertical="center"/>
    </xf>
    <xf numFmtId="1" fontId="10" fillId="0" borderId="0" xfId="0" applyNumberFormat="1" applyFont="1"/>
    <xf numFmtId="0" fontId="10" fillId="0" borderId="1" xfId="0" applyFont="1" applyBorder="1" applyAlignment="1">
      <alignment horizontal="center" vertical="center"/>
    </xf>
    <xf numFmtId="49" fontId="7" fillId="11" borderId="1" xfId="0" applyNumberFormat="1" applyFont="1" applyFill="1" applyBorder="1" applyAlignment="1" applyProtection="1">
      <alignment horizontal="center" vertical="center" wrapText="1"/>
    </xf>
    <xf numFmtId="170" fontId="22" fillId="11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11" applyFont="1" applyFill="1" applyBorder="1" applyAlignment="1" applyProtection="1">
      <alignment horizontal="left" vertical="center" wrapText="1" indent="1"/>
    </xf>
    <xf numFmtId="49" fontId="7" fillId="11" borderId="1" xfId="11" applyNumberFormat="1" applyFont="1" applyFill="1" applyBorder="1" applyAlignment="1" applyProtection="1">
      <alignment horizontal="center" vertical="center" wrapText="1"/>
    </xf>
    <xf numFmtId="49" fontId="4" fillId="0" borderId="1" xfId="11" applyNumberFormat="1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Border="1"/>
    <xf numFmtId="0" fontId="10" fillId="0" borderId="0" xfId="0" applyFont="1" applyBorder="1"/>
    <xf numFmtId="0" fontId="4" fillId="0" borderId="1" xfId="0" applyFont="1" applyFill="1" applyBorder="1" applyAlignment="1">
      <alignment vertical="center" wrapText="1"/>
    </xf>
    <xf numFmtId="0" fontId="7" fillId="11" borderId="1" xfId="11" applyFont="1" applyFill="1" applyBorder="1" applyAlignment="1" applyProtection="1">
      <alignment horizontal="left" vertical="center" wrapText="1" indent="1"/>
    </xf>
    <xf numFmtId="49" fontId="4" fillId="0" borderId="5" xfId="11" applyNumberFormat="1" applyFont="1" applyFill="1" applyBorder="1" applyAlignment="1" applyProtection="1">
      <alignment horizontal="left" vertical="center" wrapText="1" indent="1"/>
    </xf>
    <xf numFmtId="9" fontId="16" fillId="0" borderId="1" xfId="0" applyNumberFormat="1" applyFont="1" applyFill="1" applyBorder="1" applyAlignment="1" applyProtection="1">
      <alignment vertical="center" wrapText="1"/>
      <protection locked="0"/>
    </xf>
    <xf numFmtId="168" fontId="16" fillId="11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7" fillId="0" borderId="0" xfId="0" applyFont="1"/>
    <xf numFmtId="0" fontId="29" fillId="0" borderId="0" xfId="0" applyFont="1"/>
    <xf numFmtId="0" fontId="7" fillId="0" borderId="0" xfId="0" applyFont="1" applyAlignment="1">
      <alignment horizontal="center" vertical="center"/>
    </xf>
    <xf numFmtId="0" fontId="7" fillId="0" borderId="3" xfId="0" applyFont="1" applyBorder="1"/>
    <xf numFmtId="0" fontId="7" fillId="11" borderId="1" xfId="0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 applyProtection="1">
      <alignment horizontal="left" vertical="center" wrapText="1" indent="1"/>
    </xf>
    <xf numFmtId="168" fontId="7" fillId="11" borderId="1" xfId="0" applyNumberFormat="1" applyFont="1" applyFill="1" applyBorder="1" applyAlignment="1" applyProtection="1">
      <alignment vertical="center" wrapText="1"/>
    </xf>
    <xf numFmtId="0" fontId="7" fillId="11" borderId="1" xfId="11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8" fontId="4" fillId="0" borderId="1" xfId="0" applyNumberFormat="1" applyFont="1" applyFill="1" applyBorder="1" applyAlignment="1" applyProtection="1">
      <alignment vertical="center" wrapText="1"/>
    </xf>
    <xf numFmtId="0" fontId="4" fillId="0" borderId="5" xfId="1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10" fillId="0" borderId="1" xfId="0" applyNumberFormat="1" applyFont="1" applyBorder="1" applyAlignment="1">
      <alignment wrapText="1"/>
    </xf>
    <xf numFmtId="0" fontId="7" fillId="11" borderId="5" xfId="11" applyFont="1" applyFill="1" applyBorder="1" applyAlignment="1" applyProtection="1">
      <alignment horizontal="left" vertical="center" wrapText="1" indent="1"/>
    </xf>
    <xf numFmtId="3" fontId="4" fillId="0" borderId="1" xfId="0" applyNumberFormat="1" applyFont="1" applyBorder="1"/>
    <xf numFmtId="168" fontId="7" fillId="0" borderId="1" xfId="0" applyNumberFormat="1" applyFont="1" applyFill="1" applyBorder="1" applyAlignment="1" applyProtection="1">
      <alignment vertical="center" wrapText="1"/>
    </xf>
    <xf numFmtId="0" fontId="7" fillId="0" borderId="1" xfId="11" applyFont="1" applyFill="1" applyBorder="1" applyAlignment="1" applyProtection="1">
      <alignment vertical="center" wrapText="1"/>
    </xf>
    <xf numFmtId="3" fontId="5" fillId="0" borderId="1" xfId="0" applyNumberFormat="1" applyFont="1" applyBorder="1"/>
    <xf numFmtId="0" fontId="7" fillId="0" borderId="1" xfId="0" applyFont="1" applyFill="1" applyBorder="1" applyAlignment="1" applyProtection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/>
    <xf numFmtId="3" fontId="7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168" fontId="5" fillId="11" borderId="1" xfId="0" applyNumberFormat="1" applyFont="1" applyFill="1" applyBorder="1"/>
    <xf numFmtId="0" fontId="7" fillId="11" borderId="1" xfId="11" applyFont="1" applyFill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68" fontId="10" fillId="0" borderId="1" xfId="0" applyNumberFormat="1" applyFont="1" applyBorder="1"/>
    <xf numFmtId="0" fontId="4" fillId="0" borderId="5" xfId="11" applyFont="1" applyFill="1" applyBorder="1" applyAlignment="1" applyProtection="1">
      <alignment horizontal="left" vertical="center" wrapText="1" indent="1"/>
    </xf>
    <xf numFmtId="0" fontId="4" fillId="0" borderId="1" xfId="11" applyFont="1" applyFill="1" applyBorder="1" applyAlignment="1" applyProtection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171" fontId="5" fillId="11" borderId="3" xfId="0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/>
    <xf numFmtId="0" fontId="10" fillId="11" borderId="1" xfId="0" applyNumberFormat="1" applyFont="1" applyFill="1" applyBorder="1"/>
    <xf numFmtId="0" fontId="7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Border="1"/>
    <xf numFmtId="0" fontId="4" fillId="0" borderId="0" xfId="0" applyFont="1" applyBorder="1"/>
    <xf numFmtId="168" fontId="4" fillId="0" borderId="0" xfId="0" applyNumberFormat="1" applyFont="1" applyBorder="1"/>
    <xf numFmtId="0" fontId="4" fillId="0" borderId="0" xfId="0" applyFont="1" applyAlignment="1">
      <alignment horizontal="left"/>
    </xf>
    <xf numFmtId="0" fontId="26" fillId="0" borderId="0" xfId="11" applyFont="1" applyFill="1"/>
    <xf numFmtId="0" fontId="31" fillId="0" borderId="0" xfId="11" applyFont="1" applyFill="1"/>
    <xf numFmtId="168" fontId="7" fillId="0" borderId="0" xfId="11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/>
    <xf numFmtId="172" fontId="7" fillId="0" borderId="2" xfId="11" applyNumberFormat="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/>
    </xf>
    <xf numFmtId="0" fontId="4" fillId="0" borderId="8" xfId="11" applyFont="1" applyFill="1" applyBorder="1" applyAlignment="1">
      <alignment horizontal="center" vertical="center"/>
    </xf>
    <xf numFmtId="0" fontId="4" fillId="0" borderId="9" xfId="11" applyFont="1" applyFill="1" applyBorder="1" applyAlignment="1">
      <alignment horizontal="center" vertical="center"/>
    </xf>
    <xf numFmtId="0" fontId="4" fillId="0" borderId="10" xfId="11" applyFont="1" applyFill="1" applyBorder="1" applyAlignment="1">
      <alignment horizontal="center" vertical="center"/>
    </xf>
    <xf numFmtId="0" fontId="4" fillId="0" borderId="5" xfId="11" applyFont="1" applyFill="1" applyBorder="1" applyProtection="1">
      <protection locked="0"/>
    </xf>
    <xf numFmtId="173" fontId="4" fillId="0" borderId="5" xfId="2" applyNumberFormat="1" applyFont="1" applyFill="1" applyBorder="1" applyAlignment="1" applyProtection="1">
      <protection locked="0"/>
    </xf>
    <xf numFmtId="173" fontId="4" fillId="0" borderId="11" xfId="2" applyNumberFormat="1" applyFont="1" applyFill="1" applyBorder="1" applyAlignment="1" applyProtection="1"/>
    <xf numFmtId="0" fontId="4" fillId="0" borderId="12" xfId="11" applyFont="1" applyFill="1" applyBorder="1" applyAlignment="1">
      <alignment horizontal="center" vertical="center"/>
    </xf>
    <xf numFmtId="0" fontId="4" fillId="0" borderId="1" xfId="11" applyFont="1" applyFill="1" applyBorder="1" applyProtection="1">
      <protection locked="0"/>
    </xf>
    <xf numFmtId="173" fontId="4" fillId="0" borderId="1" xfId="2" applyNumberFormat="1" applyFont="1" applyFill="1" applyBorder="1" applyAlignment="1" applyProtection="1">
      <protection locked="0"/>
    </xf>
    <xf numFmtId="173" fontId="4" fillId="0" borderId="13" xfId="2" applyNumberFormat="1" applyFont="1" applyFill="1" applyBorder="1" applyAlignment="1" applyProtection="1"/>
    <xf numFmtId="0" fontId="4" fillId="0" borderId="14" xfId="11" applyFont="1" applyFill="1" applyBorder="1" applyAlignment="1">
      <alignment horizontal="center" vertical="center"/>
    </xf>
    <xf numFmtId="0" fontId="4" fillId="0" borderId="2" xfId="11" applyFont="1" applyFill="1" applyBorder="1" applyProtection="1">
      <protection locked="0"/>
    </xf>
    <xf numFmtId="173" fontId="4" fillId="0" borderId="2" xfId="2" applyNumberFormat="1" applyFont="1" applyFill="1" applyBorder="1" applyAlignment="1" applyProtection="1">
      <protection locked="0"/>
    </xf>
    <xf numFmtId="0" fontId="7" fillId="0" borderId="7" xfId="11" applyFont="1" applyFill="1" applyBorder="1" applyAlignment="1">
      <alignment horizontal="center" vertical="center"/>
    </xf>
    <xf numFmtId="0" fontId="7" fillId="0" borderId="8" xfId="11" applyFont="1" applyFill="1" applyBorder="1"/>
    <xf numFmtId="173" fontId="7" fillId="0" borderId="8" xfId="11" applyNumberFormat="1" applyFont="1" applyFill="1" applyBorder="1"/>
    <xf numFmtId="173" fontId="7" fillId="0" borderId="9" xfId="11" applyNumberFormat="1" applyFont="1" applyFill="1" applyBorder="1"/>
    <xf numFmtId="0" fontId="33" fillId="0" borderId="0" xfId="11" applyFont="1" applyFill="1"/>
    <xf numFmtId="0" fontId="34" fillId="0" borderId="0" xfId="11" applyFont="1" applyFill="1"/>
    <xf numFmtId="0" fontId="4" fillId="10" borderId="0" xfId="0" applyFont="1" applyFill="1" applyBorder="1"/>
    <xf numFmtId="0" fontId="35" fillId="0" borderId="0" xfId="0" applyNumberFormat="1" applyFont="1"/>
    <xf numFmtId="0" fontId="7" fillId="10" borderId="2" xfId="0" applyFont="1" applyFill="1" applyBorder="1"/>
    <xf numFmtId="0" fontId="4" fillId="10" borderId="2" xfId="0" applyFont="1" applyFill="1" applyBorder="1"/>
    <xf numFmtId="0" fontId="4" fillId="10" borderId="0" xfId="0" applyFont="1" applyFill="1"/>
    <xf numFmtId="1" fontId="5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174" fontId="7" fillId="10" borderId="1" xfId="0" applyNumberFormat="1" applyFont="1" applyFill="1" applyBorder="1" applyAlignment="1">
      <alignment horizontal="left"/>
    </xf>
    <xf numFmtId="0" fontId="22" fillId="10" borderId="1" xfId="0" applyFont="1" applyFill="1" applyBorder="1" applyAlignment="1">
      <alignment wrapText="1"/>
    </xf>
    <xf numFmtId="176" fontId="4" fillId="10" borderId="1" xfId="1" applyNumberFormat="1" applyFont="1" applyFill="1" applyBorder="1" applyProtection="1"/>
    <xf numFmtId="9" fontId="4" fillId="10" borderId="1" xfId="0" applyNumberFormat="1" applyFont="1" applyFill="1" applyBorder="1"/>
    <xf numFmtId="176" fontId="4" fillId="10" borderId="1" xfId="0" applyNumberFormat="1" applyFont="1" applyFill="1" applyBorder="1"/>
    <xf numFmtId="176" fontId="4" fillId="10" borderId="0" xfId="1" applyNumberFormat="1" applyFont="1" applyFill="1" applyBorder="1" applyAlignment="1" applyProtection="1"/>
    <xf numFmtId="176" fontId="7" fillId="10" borderId="1" xfId="0" applyNumberFormat="1" applyFont="1" applyFill="1" applyBorder="1"/>
    <xf numFmtId="176" fontId="7" fillId="10" borderId="1" xfId="1" applyNumberFormat="1" applyFont="1" applyFill="1" applyBorder="1" applyProtection="1"/>
    <xf numFmtId="0" fontId="7" fillId="10" borderId="1" xfId="0" applyFont="1" applyFill="1" applyBorder="1"/>
    <xf numFmtId="166" fontId="7" fillId="10" borderId="1" xfId="4" applyNumberFormat="1" applyFont="1" applyFill="1" applyBorder="1" applyAlignment="1" applyProtection="1"/>
    <xf numFmtId="0" fontId="22" fillId="10" borderId="1" xfId="0" applyFont="1" applyFill="1" applyBorder="1"/>
    <xf numFmtId="166" fontId="4" fillId="10" borderId="1" xfId="4" applyNumberFormat="1" applyFont="1" applyFill="1" applyBorder="1" applyAlignment="1" applyProtection="1"/>
    <xf numFmtId="0" fontId="7" fillId="11" borderId="0" xfId="0" applyFont="1" applyFill="1"/>
    <xf numFmtId="0" fontId="37" fillId="11" borderId="0" xfId="0" applyFont="1" applyFill="1"/>
    <xf numFmtId="174" fontId="4" fillId="10" borderId="1" xfId="0" applyNumberFormat="1" applyFont="1" applyFill="1" applyBorder="1" applyAlignment="1">
      <alignment horizontal="left"/>
    </xf>
    <xf numFmtId="176" fontId="7" fillId="10" borderId="0" xfId="0" applyNumberFormat="1" applyFont="1" applyFill="1" applyBorder="1"/>
    <xf numFmtId="170" fontId="4" fillId="10" borderId="1" xfId="0" applyNumberFormat="1" applyFont="1" applyFill="1" applyBorder="1"/>
    <xf numFmtId="166" fontId="7" fillId="10" borderId="0" xfId="0" applyNumberFormat="1" applyFont="1" applyFill="1" applyBorder="1"/>
    <xf numFmtId="0" fontId="37" fillId="0" borderId="0" xfId="0" applyFont="1"/>
    <xf numFmtId="166" fontId="7" fillId="10" borderId="0" xfId="4" applyNumberFormat="1" applyFont="1" applyFill="1" applyBorder="1" applyAlignment="1" applyProtection="1"/>
    <xf numFmtId="166" fontId="30" fillId="10" borderId="0" xfId="4" applyNumberFormat="1" applyFont="1" applyFill="1" applyBorder="1" applyAlignment="1" applyProtection="1"/>
    <xf numFmtId="0" fontId="7" fillId="10" borderId="1" xfId="0" applyFont="1" applyFill="1" applyBorder="1" applyAlignment="1">
      <alignment wrapText="1"/>
    </xf>
    <xf numFmtId="166" fontId="4" fillId="10" borderId="0" xfId="4" applyNumberFormat="1" applyFont="1" applyFill="1" applyBorder="1" applyAlignment="1" applyProtection="1"/>
    <xf numFmtId="0" fontId="30" fillId="0" borderId="0" xfId="0" applyFont="1"/>
    <xf numFmtId="0" fontId="38" fillId="0" borderId="0" xfId="0" applyFont="1"/>
    <xf numFmtId="166" fontId="7" fillId="10" borderId="1" xfId="4" applyNumberFormat="1" applyFont="1" applyFill="1" applyBorder="1" applyAlignment="1" applyProtection="1">
      <alignment wrapText="1"/>
    </xf>
    <xf numFmtId="166" fontId="7" fillId="0" borderId="1" xfId="4" applyNumberFormat="1" applyFont="1" applyFill="1" applyBorder="1" applyAlignment="1" applyProtection="1"/>
    <xf numFmtId="9" fontId="7" fillId="10" borderId="1" xfId="0" applyNumberFormat="1" applyFont="1" applyFill="1" applyBorder="1"/>
    <xf numFmtId="166" fontId="4" fillId="10" borderId="0" xfId="0" applyNumberFormat="1" applyFont="1" applyFill="1" applyBorder="1"/>
    <xf numFmtId="167" fontId="4" fillId="10" borderId="1" xfId="2" applyNumberFormat="1" applyFont="1" applyFill="1" applyBorder="1" applyAlignment="1" applyProtection="1"/>
    <xf numFmtId="166" fontId="7" fillId="10" borderId="1" xfId="0" applyNumberFormat="1" applyFont="1" applyFill="1" applyBorder="1"/>
    <xf numFmtId="176" fontId="4" fillId="10" borderId="0" xfId="0" applyNumberFormat="1" applyFont="1" applyFill="1" applyBorder="1"/>
    <xf numFmtId="176" fontId="30" fillId="10" borderId="0" xfId="1" applyNumberFormat="1" applyFont="1" applyFill="1" applyBorder="1" applyAlignment="1" applyProtection="1"/>
    <xf numFmtId="0" fontId="38" fillId="11" borderId="0" xfId="0" applyFont="1" applyFill="1"/>
    <xf numFmtId="177" fontId="4" fillId="10" borderId="0" xfId="2" applyNumberFormat="1" applyFont="1" applyFill="1" applyBorder="1" applyAlignment="1" applyProtection="1"/>
    <xf numFmtId="0" fontId="30" fillId="10" borderId="0" xfId="0" applyFont="1" applyFill="1" applyBorder="1"/>
    <xf numFmtId="0" fontId="38" fillId="0" borderId="0" xfId="0" applyFont="1" applyFill="1"/>
    <xf numFmtId="9" fontId="4" fillId="10" borderId="0" xfId="12" applyFont="1" applyFill="1" applyBorder="1" applyAlignment="1" applyProtection="1"/>
    <xf numFmtId="176" fontId="7" fillId="10" borderId="0" xfId="1" applyNumberFormat="1" applyFont="1" applyFill="1" applyBorder="1" applyAlignment="1" applyProtection="1"/>
    <xf numFmtId="0" fontId="4" fillId="10" borderId="0" xfId="0" applyFont="1" applyFill="1" applyBorder="1" applyAlignment="1">
      <alignment wrapText="1"/>
    </xf>
    <xf numFmtId="167" fontId="4" fillId="10" borderId="0" xfId="2" applyNumberFormat="1" applyFont="1" applyFill="1" applyBorder="1" applyAlignment="1" applyProtection="1"/>
    <xf numFmtId="3" fontId="4" fillId="1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39" fillId="0" borderId="0" xfId="0" applyFont="1" applyFill="1" applyBorder="1"/>
    <xf numFmtId="0" fontId="10" fillId="10" borderId="0" xfId="0" applyFont="1" applyFill="1"/>
    <xf numFmtId="0" fontId="5" fillId="10" borderId="0" xfId="0" applyFont="1" applyFill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5" fillId="10" borderId="1" xfId="0" applyFont="1" applyFill="1" applyBorder="1"/>
    <xf numFmtId="1" fontId="5" fillId="10" borderId="1" xfId="0" applyNumberFormat="1" applyFont="1" applyFill="1" applyBorder="1" applyAlignment="1">
      <alignment horizontal="center"/>
    </xf>
    <xf numFmtId="0" fontId="10" fillId="10" borderId="1" xfId="0" applyFont="1" applyFill="1" applyBorder="1"/>
    <xf numFmtId="0" fontId="4" fillId="10" borderId="1" xfId="0" applyFont="1" applyFill="1" applyBorder="1" applyAlignment="1">
      <alignment horizontal="center"/>
    </xf>
    <xf numFmtId="168" fontId="7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wrapText="1"/>
    </xf>
    <xf numFmtId="168" fontId="10" fillId="1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167" fontId="4" fillId="0" borderId="0" xfId="2" applyNumberFormat="1" applyFont="1" applyFill="1" applyBorder="1" applyAlignment="1" applyProtection="1"/>
    <xf numFmtId="167" fontId="7" fillId="0" borderId="0" xfId="2" applyNumberFormat="1" applyFont="1" applyFill="1" applyBorder="1" applyAlignment="1" applyProtection="1"/>
    <xf numFmtId="168" fontId="40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168" fontId="4" fillId="0" borderId="0" xfId="0" applyNumberFormat="1" applyFont="1" applyFill="1" applyAlignment="1">
      <alignment vertical="center" wrapText="1"/>
    </xf>
    <xf numFmtId="168" fontId="41" fillId="0" borderId="0" xfId="0" applyNumberFormat="1" applyFont="1" applyFill="1" applyAlignment="1">
      <alignment vertical="center" wrapText="1"/>
    </xf>
    <xf numFmtId="168" fontId="4" fillId="0" borderId="0" xfId="0" applyNumberFormat="1" applyFont="1" applyFill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right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168" fontId="4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4" xfId="11" applyFont="1" applyFill="1" applyBorder="1" applyAlignment="1" applyProtection="1">
      <alignment vertical="center" wrapText="1"/>
    </xf>
    <xf numFmtId="168" fontId="4" fillId="0" borderId="4" xfId="0" applyNumberFormat="1" applyFont="1" applyFill="1" applyBorder="1" applyAlignment="1" applyProtection="1">
      <alignment vertical="center" wrapText="1"/>
      <protection locked="0"/>
    </xf>
    <xf numFmtId="0" fontId="7" fillId="0" borderId="5" xfId="11" applyFont="1" applyFill="1" applyBorder="1" applyAlignment="1" applyProtection="1">
      <alignment vertical="center" wrapText="1"/>
    </xf>
    <xf numFmtId="49" fontId="7" fillId="0" borderId="1" xfId="11" applyNumberFormat="1" applyFont="1" applyFill="1" applyBorder="1" applyAlignment="1" applyProtection="1">
      <alignment horizontal="center" vertical="center" wrapText="1"/>
    </xf>
    <xf numFmtId="168" fontId="4" fillId="10" borderId="1" xfId="0" applyNumberFormat="1" applyFont="1" applyFill="1" applyBorder="1" applyAlignment="1" applyProtection="1">
      <alignment vertical="center" wrapText="1"/>
    </xf>
    <xf numFmtId="168" fontId="4" fillId="10" borderId="1" xfId="0" applyNumberFormat="1" applyFont="1" applyFill="1" applyBorder="1" applyAlignment="1" applyProtection="1">
      <alignment vertical="center" wrapText="1"/>
      <protection locked="0"/>
    </xf>
    <xf numFmtId="168" fontId="7" fillId="1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8" fontId="7" fillId="0" borderId="0" xfId="0" applyNumberFormat="1" applyFont="1" applyFill="1" applyBorder="1" applyAlignment="1" applyProtection="1">
      <alignment vertical="center" wrapText="1"/>
    </xf>
    <xf numFmtId="168" fontId="4" fillId="0" borderId="2" xfId="0" applyNumberFormat="1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168" fontId="4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1" applyFont="1" applyFill="1" applyBorder="1" applyAlignment="1" applyProtection="1">
      <alignment horizontal="left" vertical="center" wrapText="1"/>
    </xf>
    <xf numFmtId="0" fontId="4" fillId="0" borderId="5" xfId="11" applyFont="1" applyFill="1" applyBorder="1" applyAlignment="1" applyProtection="1">
      <alignment horizontal="left" vertical="center" wrapText="1"/>
    </xf>
    <xf numFmtId="168" fontId="8" fillId="0" borderId="1" xfId="0" applyNumberFormat="1" applyFont="1" applyFill="1" applyBorder="1" applyAlignment="1" applyProtection="1">
      <alignment vertical="center" wrapText="1"/>
      <protection locked="0"/>
    </xf>
    <xf numFmtId="168" fontId="8" fillId="0" borderId="1" xfId="0" applyNumberFormat="1" applyFont="1" applyFill="1" applyBorder="1" applyAlignment="1" applyProtection="1">
      <alignment vertical="center" wrapText="1"/>
    </xf>
    <xf numFmtId="9" fontId="14" fillId="0" borderId="1" xfId="12" applyFont="1" applyBorder="1" applyProtection="1"/>
    <xf numFmtId="0" fontId="8" fillId="0" borderId="1" xfId="11" applyFont="1" applyFill="1" applyBorder="1" applyAlignment="1" applyProtection="1">
      <alignment horizontal="left" vertical="center" wrapText="1"/>
    </xf>
    <xf numFmtId="0" fontId="4" fillId="0" borderId="1" xfId="11" applyFont="1" applyFill="1" applyBorder="1" applyAlignment="1" applyProtection="1">
      <alignment horizontal="left"/>
    </xf>
    <xf numFmtId="168" fontId="8" fillId="0" borderId="0" xfId="0" applyNumberFormat="1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0" fillId="0" borderId="1" xfId="11" applyFont="1" applyFill="1" applyBorder="1" applyAlignment="1" applyProtection="1">
      <alignment horizontal="left" vertical="center" wrapText="1"/>
    </xf>
    <xf numFmtId="168" fontId="30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8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169" fontId="7" fillId="0" borderId="1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168" fontId="29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9" fontId="5" fillId="0" borderId="1" xfId="12" applyFont="1" applyBorder="1" applyAlignment="1" applyProtection="1">
      <alignment horizontal="center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wrapText="1"/>
    </xf>
    <xf numFmtId="9" fontId="5" fillId="0" borderId="1" xfId="12" applyFont="1" applyBorder="1" applyAlignment="1" applyProtection="1">
      <alignment horizontal="right" vertical="center"/>
    </xf>
    <xf numFmtId="168" fontId="4" fillId="10" borderId="0" xfId="0" applyNumberFormat="1" applyFont="1" applyFill="1" applyAlignment="1" applyProtection="1">
      <alignment vertical="center" wrapText="1"/>
    </xf>
    <xf numFmtId="168" fontId="4" fillId="10" borderId="0" xfId="0" applyNumberFormat="1" applyFont="1" applyFill="1" applyAlignment="1" applyProtection="1">
      <alignment vertical="center" wrapText="1"/>
      <protection locked="0"/>
    </xf>
    <xf numFmtId="0" fontId="4" fillId="10" borderId="0" xfId="0" applyFont="1" applyFill="1" applyAlignment="1" applyProtection="1">
      <alignment horizontal="right" vertical="top"/>
      <protection locked="0"/>
    </xf>
    <xf numFmtId="0" fontId="7" fillId="10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49" fontId="7" fillId="10" borderId="1" xfId="0" applyNumberFormat="1" applyFont="1" applyFill="1" applyBorder="1" applyAlignment="1" applyProtection="1">
      <alignment horizontal="right" vertical="center"/>
      <protection locked="0"/>
    </xf>
    <xf numFmtId="0" fontId="7" fillId="10" borderId="16" xfId="0" applyFont="1" applyFill="1" applyBorder="1" applyAlignment="1" applyProtection="1">
      <alignment vertical="center"/>
    </xf>
    <xf numFmtId="49" fontId="7" fillId="10" borderId="17" xfId="0" applyNumberFormat="1" applyFont="1" applyFill="1" applyBorder="1" applyAlignment="1" applyProtection="1">
      <alignment horizontal="right" vertical="center"/>
      <protection locked="0"/>
    </xf>
    <xf numFmtId="0" fontId="7" fillId="10" borderId="0" xfId="0" applyFont="1" applyFill="1" applyAlignment="1" applyProtection="1">
      <alignment vertical="center"/>
    </xf>
    <xf numFmtId="0" fontId="30" fillId="10" borderId="0" xfId="0" applyFont="1" applyFill="1" applyAlignment="1" applyProtection="1">
      <alignment horizontal="right"/>
    </xf>
    <xf numFmtId="0" fontId="7" fillId="10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168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9" fontId="5" fillId="0" borderId="1" xfId="12" applyFont="1" applyBorder="1" applyProtection="1">
      <protection locked="0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3" fontId="10" fillId="0" borderId="0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10" fillId="0" borderId="1" xfId="0" applyNumberFormat="1" applyFont="1" applyFill="1" applyBorder="1"/>
    <xf numFmtId="0" fontId="4" fillId="0" borderId="1" xfId="0" applyFont="1" applyFill="1" applyBorder="1"/>
    <xf numFmtId="3" fontId="10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0" fontId="4" fillId="0" borderId="18" xfId="0" applyFont="1" applyFill="1" applyBorder="1"/>
    <xf numFmtId="0" fontId="36" fillId="0" borderId="0" xfId="0" applyFont="1"/>
    <xf numFmtId="3" fontId="4" fillId="0" borderId="0" xfId="0" applyNumberFormat="1" applyFont="1"/>
    <xf numFmtId="176" fontId="7" fillId="12" borderId="1" xfId="1" applyNumberFormat="1" applyFont="1" applyFill="1" applyBorder="1" applyProtection="1"/>
    <xf numFmtId="176" fontId="7" fillId="12" borderId="1" xfId="0" applyNumberFormat="1" applyFont="1" applyFill="1" applyBorder="1"/>
    <xf numFmtId="0" fontId="4" fillId="12" borderId="1" xfId="0" applyFont="1" applyFill="1" applyBorder="1"/>
    <xf numFmtId="176" fontId="4" fillId="12" borderId="1" xfId="1" applyNumberFormat="1" applyFont="1" applyFill="1" applyBorder="1" applyProtection="1"/>
    <xf numFmtId="9" fontId="4" fillId="12" borderId="1" xfId="0" applyNumberFormat="1" applyFont="1" applyFill="1" applyBorder="1"/>
    <xf numFmtId="176" fontId="4" fillId="12" borderId="1" xfId="0" applyNumberFormat="1" applyFont="1" applyFill="1" applyBorder="1"/>
    <xf numFmtId="176" fontId="4" fillId="12" borderId="0" xfId="1" applyNumberFormat="1" applyFont="1" applyFill="1" applyBorder="1" applyAlignment="1" applyProtection="1"/>
    <xf numFmtId="166" fontId="30" fillId="12" borderId="0" xfId="4" applyNumberFormat="1" applyFont="1" applyFill="1" applyBorder="1" applyAlignment="1" applyProtection="1"/>
    <xf numFmtId="1" fontId="4" fillId="13" borderId="0" xfId="0" applyNumberFormat="1" applyFont="1" applyFill="1"/>
    <xf numFmtId="0" fontId="7" fillId="13" borderId="0" xfId="0" applyFont="1" applyFill="1"/>
    <xf numFmtId="0" fontId="37" fillId="13" borderId="0" xfId="0" applyFont="1" applyFill="1"/>
    <xf numFmtId="0" fontId="4" fillId="12" borderId="0" xfId="0" applyFont="1" applyFill="1"/>
    <xf numFmtId="0" fontId="4" fillId="13" borderId="1" xfId="0" applyFont="1" applyFill="1" applyBorder="1" applyAlignment="1">
      <alignment horizontal="center" vertical="center" wrapText="1"/>
    </xf>
    <xf numFmtId="166" fontId="7" fillId="12" borderId="1" xfId="4" applyNumberFormat="1" applyFont="1" applyFill="1" applyBorder="1" applyAlignment="1" applyProtection="1"/>
    <xf numFmtId="176" fontId="36" fillId="12" borderId="1" xfId="0" applyNumberFormat="1" applyFont="1" applyFill="1" applyBorder="1"/>
    <xf numFmtId="176" fontId="49" fillId="12" borderId="1" xfId="1" applyNumberFormat="1" applyFont="1" applyFill="1" applyBorder="1" applyProtection="1"/>
    <xf numFmtId="166" fontId="36" fillId="12" borderId="1" xfId="4" applyNumberFormat="1" applyFont="1" applyFill="1" applyBorder="1" applyAlignment="1" applyProtection="1"/>
    <xf numFmtId="0" fontId="37" fillId="14" borderId="0" xfId="0" applyFont="1" applyFill="1"/>
    <xf numFmtId="166" fontId="7" fillId="12" borderId="1" xfId="0" applyNumberFormat="1" applyFont="1" applyFill="1" applyBorder="1"/>
    <xf numFmtId="0" fontId="4" fillId="13" borderId="0" xfId="0" applyNumberFormat="1" applyFont="1" applyFill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1" fillId="0" borderId="0" xfId="0" applyFont="1"/>
    <xf numFmtId="0" fontId="5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0" fillId="0" borderId="0" xfId="0" applyFont="1"/>
    <xf numFmtId="0" fontId="40" fillId="0" borderId="0" xfId="0" applyFont="1"/>
    <xf numFmtId="0" fontId="51" fillId="0" borderId="0" xfId="0" applyFont="1"/>
    <xf numFmtId="0" fontId="52" fillId="0" borderId="0" xfId="0" applyFont="1"/>
    <xf numFmtId="0" fontId="51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51" fillId="0" borderId="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vertical="center" wrapText="1"/>
    </xf>
    <xf numFmtId="168" fontId="40" fillId="0" borderId="5" xfId="0" applyNumberFormat="1" applyFont="1" applyBorder="1" applyAlignment="1" applyProtection="1">
      <alignment vertical="center"/>
      <protection locked="0"/>
    </xf>
    <xf numFmtId="168" fontId="51" fillId="0" borderId="5" xfId="0" applyNumberFormat="1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168" fontId="40" fillId="0" borderId="1" xfId="0" applyNumberFormat="1" applyFont="1" applyBorder="1" applyAlignment="1" applyProtection="1">
      <alignment vertical="center"/>
      <protection locked="0"/>
    </xf>
    <xf numFmtId="168" fontId="51" fillId="0" borderId="1" xfId="0" applyNumberFormat="1" applyFont="1" applyBorder="1" applyAlignment="1">
      <alignment vertical="center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vertical="center" wrapText="1"/>
    </xf>
    <xf numFmtId="168" fontId="40" fillId="0" borderId="2" xfId="0" applyNumberFormat="1" applyFont="1" applyBorder="1" applyAlignment="1" applyProtection="1">
      <alignment vertical="center"/>
      <protection locked="0"/>
    </xf>
    <xf numFmtId="168" fontId="51" fillId="0" borderId="2" xfId="0" applyNumberFormat="1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 wrapText="1"/>
    </xf>
    <xf numFmtId="0" fontId="40" fillId="0" borderId="25" xfId="0" applyFont="1" applyBorder="1"/>
    <xf numFmtId="0" fontId="52" fillId="0" borderId="25" xfId="0" applyFont="1" applyBorder="1" applyAlignment="1">
      <alignment horizontal="center"/>
    </xf>
    <xf numFmtId="0" fontId="53" fillId="0" borderId="0" xfId="0" applyFont="1"/>
    <xf numFmtId="0" fontId="4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8" borderId="0" xfId="0" applyFont="1" applyFill="1"/>
    <xf numFmtId="0" fontId="4" fillId="8" borderId="0" xfId="0" applyFont="1" applyFill="1"/>
    <xf numFmtId="3" fontId="4" fillId="8" borderId="0" xfId="0" applyNumberFormat="1" applyFont="1" applyFill="1"/>
    <xf numFmtId="3" fontId="7" fillId="8" borderId="0" xfId="0" applyNumberFormat="1" applyFont="1" applyFill="1"/>
    <xf numFmtId="0" fontId="0" fillId="8" borderId="0" xfId="0" applyFill="1"/>
    <xf numFmtId="3" fontId="7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0" fontId="14" fillId="0" borderId="0" xfId="0" applyFont="1" applyAlignment="1">
      <alignment horizontal="center" vertical="center"/>
    </xf>
    <xf numFmtId="0" fontId="16" fillId="0" borderId="0" xfId="13" applyFont="1" applyAlignment="1">
      <alignment vertical="center" wrapText="1"/>
    </xf>
    <xf numFmtId="0" fontId="54" fillId="0" borderId="0" xfId="13" applyAlignment="1">
      <alignment vertical="center" wrapText="1"/>
    </xf>
    <xf numFmtId="0" fontId="14" fillId="0" borderId="0" xfId="0" applyFont="1"/>
    <xf numFmtId="0" fontId="50" fillId="0" borderId="0" xfId="13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" xfId="0" applyFont="1" applyBorder="1"/>
    <xf numFmtId="37" fontId="14" fillId="0" borderId="1" xfId="0" applyNumberFormat="1" applyFont="1" applyBorder="1"/>
    <xf numFmtId="0" fontId="4" fillId="0" borderId="0" xfId="13" applyFont="1" applyAlignment="1">
      <alignment horizontal="center" vertical="center" wrapText="1"/>
    </xf>
    <xf numFmtId="0" fontId="4" fillId="0" borderId="0" xfId="13" applyFont="1" applyAlignment="1">
      <alignment vertical="center" wrapText="1"/>
    </xf>
    <xf numFmtId="0" fontId="4" fillId="0" borderId="0" xfId="0" applyFont="1"/>
    <xf numFmtId="178" fontId="7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/>
    <xf numFmtId="178" fontId="7" fillId="0" borderId="1" xfId="0" applyNumberFormat="1" applyFont="1" applyBorder="1"/>
    <xf numFmtId="49" fontId="4" fillId="0" borderId="24" xfId="0" applyNumberFormat="1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" xfId="0" applyFont="1" applyBorder="1"/>
    <xf numFmtId="3" fontId="7" fillId="0" borderId="1" xfId="0" applyNumberFormat="1" applyFont="1" applyBorder="1"/>
    <xf numFmtId="0" fontId="4" fillId="0" borderId="18" xfId="0" applyFont="1" applyBorder="1"/>
    <xf numFmtId="3" fontId="4" fillId="0" borderId="18" xfId="0" applyNumberFormat="1" applyFont="1" applyBorder="1"/>
    <xf numFmtId="0" fontId="7" fillId="0" borderId="6" xfId="0" applyFont="1" applyBorder="1"/>
    <xf numFmtId="0" fontId="4" fillId="0" borderId="6" xfId="0" applyFont="1" applyBorder="1"/>
    <xf numFmtId="0" fontId="4" fillId="0" borderId="16" xfId="0" applyFont="1" applyBorder="1"/>
    <xf numFmtId="167" fontId="4" fillId="0" borderId="1" xfId="2" applyNumberFormat="1" applyFont="1" applyFill="1" applyBorder="1" applyAlignment="1" applyProtection="1"/>
    <xf numFmtId="167" fontId="7" fillId="0" borderId="1" xfId="2" applyNumberFormat="1" applyFont="1" applyFill="1" applyBorder="1" applyAlignment="1" applyProtection="1"/>
    <xf numFmtId="167" fontId="16" fillId="0" borderId="1" xfId="2" applyNumberFormat="1" applyFont="1" applyFill="1" applyBorder="1" applyAlignment="1" applyProtection="1">
      <alignment vertical="center" wrapText="1"/>
      <protection locked="0"/>
    </xf>
    <xf numFmtId="0" fontId="55" fillId="13" borderId="0" xfId="0" applyFont="1" applyFill="1"/>
    <xf numFmtId="0" fontId="4" fillId="13" borderId="0" xfId="0" applyFont="1" applyFill="1"/>
    <xf numFmtId="3" fontId="4" fillId="13" borderId="0" xfId="0" applyNumberFormat="1" applyFont="1" applyFill="1"/>
    <xf numFmtId="9" fontId="22" fillId="11" borderId="1" xfId="0" applyNumberFormat="1" applyFont="1" applyFill="1" applyBorder="1" applyAlignment="1" applyProtection="1">
      <alignment vertical="center" wrapText="1"/>
      <protection locked="0"/>
    </xf>
    <xf numFmtId="168" fontId="10" fillId="0" borderId="0" xfId="0" applyNumberFormat="1" applyFont="1"/>
    <xf numFmtId="0" fontId="16" fillId="0" borderId="0" xfId="0" quotePrefix="1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7" fillId="0" borderId="0" xfId="0" applyNumberFormat="1" applyFont="1" applyFill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6" fontId="10" fillId="0" borderId="1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6" fillId="0" borderId="0" xfId="11" applyFont="1"/>
    <xf numFmtId="0" fontId="29" fillId="0" borderId="0" xfId="11" applyFont="1"/>
    <xf numFmtId="0" fontId="22" fillId="0" borderId="1" xfId="13" applyFont="1" applyBorder="1" applyAlignment="1">
      <alignment horizontal="center" vertical="center" wrapText="1"/>
    </xf>
    <xf numFmtId="0" fontId="22" fillId="0" borderId="0" xfId="13" applyFont="1" applyAlignment="1">
      <alignment horizontal="center" vertical="center" wrapText="1"/>
    </xf>
    <xf numFmtId="0" fontId="16" fillId="0" borderId="1" xfId="13" applyFont="1" applyBorder="1" applyAlignment="1" applyProtection="1">
      <alignment vertical="center" wrapText="1"/>
      <protection locked="0"/>
    </xf>
    <xf numFmtId="168" fontId="16" fillId="0" borderId="1" xfId="13" applyNumberFormat="1" applyFont="1" applyBorder="1" applyAlignment="1" applyProtection="1">
      <alignment horizontal="right" vertical="center" wrapText="1" indent="1"/>
      <protection locked="0"/>
    </xf>
    <xf numFmtId="0" fontId="16" fillId="0" borderId="1" xfId="0" applyFont="1" applyBorder="1" applyAlignment="1">
      <alignment wrapText="1"/>
    </xf>
    <xf numFmtId="168" fontId="22" fillId="0" borderId="2" xfId="13" applyNumberFormat="1" applyFont="1" applyBorder="1" applyAlignment="1">
      <alignment horizontal="center" vertical="center" wrapText="1"/>
    </xf>
    <xf numFmtId="168" fontId="22" fillId="0" borderId="2" xfId="13" applyNumberFormat="1" applyFont="1" applyBorder="1" applyAlignment="1">
      <alignment vertical="center" wrapText="1"/>
    </xf>
    <xf numFmtId="168" fontId="22" fillId="0" borderId="2" xfId="13" applyNumberFormat="1" applyFont="1" applyBorder="1" applyAlignment="1">
      <alignment horizontal="right" vertical="center" wrapText="1"/>
    </xf>
    <xf numFmtId="0" fontId="16" fillId="0" borderId="18" xfId="11" applyFont="1" applyBorder="1"/>
    <xf numFmtId="0" fontId="18" fillId="0" borderId="0" xfId="11" applyFont="1"/>
    <xf numFmtId="3" fontId="16" fillId="0" borderId="1" xfId="13" applyNumberFormat="1" applyFont="1" applyBorder="1" applyAlignment="1" applyProtection="1">
      <alignment horizontal="right" vertical="center" wrapText="1" indent="1"/>
      <protection locked="0"/>
    </xf>
    <xf numFmtId="0" fontId="12" fillId="0" borderId="0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/>
    <xf numFmtId="168" fontId="7" fillId="0" borderId="0" xfId="11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/>
    </xf>
    <xf numFmtId="0" fontId="7" fillId="0" borderId="20" xfId="11" applyFont="1" applyFill="1" applyBorder="1" applyAlignment="1">
      <alignment horizontal="center" vertical="center" wrapText="1"/>
    </xf>
    <xf numFmtId="0" fontId="7" fillId="0" borderId="21" xfId="11" applyFont="1" applyFill="1" applyBorder="1" applyAlignment="1">
      <alignment horizontal="center" vertical="center" wrapText="1"/>
    </xf>
    <xf numFmtId="0" fontId="7" fillId="0" borderId="15" xfId="11" applyFont="1" applyFill="1" applyBorder="1" applyAlignment="1">
      <alignment horizontal="center" vertical="center" wrapText="1"/>
    </xf>
    <xf numFmtId="0" fontId="7" fillId="0" borderId="22" xfId="11" applyFont="1" applyFill="1" applyBorder="1" applyAlignment="1">
      <alignment horizontal="center" vertical="center" wrapText="1"/>
    </xf>
    <xf numFmtId="0" fontId="16" fillId="0" borderId="18" xfId="11" applyFont="1" applyBorder="1" applyAlignment="1">
      <alignment horizontal="left" vertical="center" wrapText="1"/>
    </xf>
    <xf numFmtId="0" fontId="22" fillId="0" borderId="1" xfId="13" applyFont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20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40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3" xfId="0" applyFont="1" applyBorder="1"/>
    <xf numFmtId="0" fontId="7" fillId="0" borderId="3" xfId="0" applyFont="1" applyBorder="1"/>
    <xf numFmtId="49" fontId="4" fillId="0" borderId="3" xfId="0" applyNumberFormat="1" applyFont="1" applyBorder="1"/>
    <xf numFmtId="49" fontId="7" fillId="0" borderId="3" xfId="0" applyNumberFormat="1" applyFont="1" applyBorder="1"/>
    <xf numFmtId="0" fontId="4" fillId="0" borderId="23" xfId="0" applyFont="1" applyBorder="1"/>
    <xf numFmtId="0" fontId="7" fillId="0" borderId="0" xfId="0" applyFont="1"/>
    <xf numFmtId="0" fontId="7" fillId="0" borderId="27" xfId="0" applyFont="1" applyBorder="1" applyAlignment="1">
      <alignment horizontal="center" vertical="center"/>
    </xf>
    <xf numFmtId="0" fontId="4" fillId="0" borderId="1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1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8" xfId="0" applyFont="1" applyBorder="1"/>
  </cellXfs>
  <cellStyles count="14">
    <cellStyle name="Excel Built-in Explanatory Text" xfId="1" xr:uid="{00000000-0005-0000-0000-000000000000}"/>
    <cellStyle name="Ezres" xfId="2" builtinId="3"/>
    <cellStyle name="Ezres 2" xfId="3" xr:uid="{00000000-0005-0000-0000-000002000000}"/>
    <cellStyle name="Ezres_Munka1" xfId="4" xr:uid="{00000000-0005-0000-0000-000003000000}"/>
    <cellStyle name="Jelölőszín (1)" xfId="5" xr:uid="{00000000-0005-0000-0000-000004000000}"/>
    <cellStyle name="Jelölőszín (2)" xfId="6" xr:uid="{00000000-0005-0000-0000-000005000000}"/>
    <cellStyle name="Jelölőszín (3)" xfId="7" xr:uid="{00000000-0005-0000-0000-000006000000}"/>
    <cellStyle name="Jelölőszín (4)" xfId="8" xr:uid="{00000000-0005-0000-0000-000007000000}"/>
    <cellStyle name="Jelölőszín (5)" xfId="9" xr:uid="{00000000-0005-0000-0000-000008000000}"/>
    <cellStyle name="Jelölőszín (6)" xfId="10" xr:uid="{00000000-0005-0000-0000-000009000000}"/>
    <cellStyle name="Normál" xfId="0" builtinId="0"/>
    <cellStyle name="Normál_KVIREND" xfId="13" xr:uid="{2145864F-034B-4957-81ED-D864E3DAB802}"/>
    <cellStyle name="Normál_KVRENMUNKA" xfId="11" xr:uid="{00000000-0005-0000-0000-00000B000000}"/>
    <cellStyle name="Százalék" xfId="1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t/Documents/2014.II.rm.%20&#233;s%20besz&#225;mol&#243;/2014.II.rm%20&#233;s%20besz&#225;mol&#243;/KT%20el&#337;terjeszt&#233;s%20rendeletm&#243;dos&#237;t&#225;s%20&#233;s%20besz&#225;mol&#243;/2014.%20&#233;vi%20II.rm.%20&#233;s%20besz&#225;mol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melléklet"/>
      <sheetName val="A 2 melléklet"/>
      <sheetName val="1_sz_melléklet"/>
      <sheetName val="1_asz_melléklet"/>
      <sheetName val="1_B_MELLÉKLET"/>
      <sheetName val="2. sz. melléklet"/>
      <sheetName val="3. sz. melléklet"/>
      <sheetName val="4_sz_melléklete"/>
      <sheetName val="6.sz.melléket"/>
      <sheetName val="7. sz. melléklet"/>
      <sheetName val="8. sz.melléklet"/>
      <sheetName val="9. sz.melléklet Önkormányzat"/>
      <sheetName val="10. sz. melléklet Hivatal"/>
      <sheetName val="11. sz. melléklet Hétszínvirág"/>
      <sheetName val="12. sz. melléklet Bóbita"/>
      <sheetName val="13. sz.mell. Családs.és Bölcsőd"/>
      <sheetName val="14. sz. mellékletMűvelődési ház"/>
      <sheetName val="15. sz. melléklet Könyvtár"/>
      <sheetName val="16.sz. melléklet IGESZ"/>
      <sheetName val="17.sz. melléklet"/>
      <sheetName val="18.sz. melléklet"/>
      <sheetName val="19. sz.  melléklet"/>
      <sheetName val="20. sz. munkalap"/>
      <sheetName val="21. sz. munkalap"/>
      <sheetName val="22. sz. munkalap"/>
      <sheetName val="23.sz. melléklet"/>
    </sheetNames>
    <sheetDataSet>
      <sheetData sheetId="0" refreshError="1"/>
      <sheetData sheetId="1" refreshError="1"/>
      <sheetData sheetId="2" refreshError="1">
        <row r="51">
          <cell r="B51" t="str">
            <v>Személyi  juttatások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zoomScale="65" zoomScaleNormal="65" workbookViewId="0">
      <selection activeCell="E62" sqref="E62"/>
    </sheetView>
  </sheetViews>
  <sheetFormatPr defaultRowHeight="13.2" x14ac:dyDescent="0.25"/>
  <cols>
    <col min="1" max="1" width="9.109375" style="1" customWidth="1"/>
    <col min="2" max="2" width="121.6640625" style="1" customWidth="1"/>
    <col min="3" max="3" width="37.5546875" style="1" customWidth="1"/>
    <col min="4" max="4" width="25.5546875" style="1" customWidth="1"/>
    <col min="5" max="5" width="24.109375" style="1" customWidth="1"/>
    <col min="6" max="6" width="19.33203125" style="1" customWidth="1"/>
    <col min="7" max="8" width="11" style="1" customWidth="1"/>
    <col min="9" max="9" width="10" style="1" customWidth="1"/>
    <col min="10" max="28" width="9.109375" style="1" customWidth="1"/>
  </cols>
  <sheetData>
    <row r="1" spans="1:5" ht="51.75" customHeight="1" x14ac:dyDescent="0.35">
      <c r="A1" s="2"/>
      <c r="B1" s="3" t="s">
        <v>447</v>
      </c>
      <c r="C1" s="3"/>
      <c r="D1" s="4"/>
    </row>
    <row r="2" spans="1:5" ht="18" x14ac:dyDescent="0.35">
      <c r="A2" s="2"/>
      <c r="B2" s="5" t="s">
        <v>0</v>
      </c>
      <c r="C2" s="6" t="s">
        <v>1</v>
      </c>
      <c r="D2" s="7" t="s">
        <v>448</v>
      </c>
    </row>
    <row r="3" spans="1:5" ht="18" x14ac:dyDescent="0.35">
      <c r="A3" s="2"/>
      <c r="B3" s="5" t="s">
        <v>2</v>
      </c>
      <c r="D3" s="8">
        <v>33091</v>
      </c>
    </row>
    <row r="4" spans="1:5" ht="18" x14ac:dyDescent="0.35">
      <c r="A4" s="2"/>
      <c r="B4" s="5"/>
      <c r="C4" s="9"/>
      <c r="D4" s="10"/>
    </row>
    <row r="5" spans="1:5" ht="22.5" customHeight="1" x14ac:dyDescent="0.35">
      <c r="A5" s="2"/>
      <c r="B5" s="11" t="s">
        <v>3</v>
      </c>
      <c r="C5" s="12"/>
      <c r="D5" s="4"/>
      <c r="E5" s="13"/>
    </row>
    <row r="6" spans="1:5" ht="22.5" customHeight="1" x14ac:dyDescent="0.35">
      <c r="A6" s="2"/>
      <c r="B6" s="152"/>
      <c r="C6" s="12"/>
      <c r="D6" s="361"/>
      <c r="E6" s="13"/>
    </row>
    <row r="7" spans="1:5" ht="22.5" customHeight="1" x14ac:dyDescent="0.35">
      <c r="A7" s="2"/>
      <c r="B7" s="152" t="s">
        <v>60</v>
      </c>
      <c r="C7" s="14"/>
      <c r="D7" s="4">
        <v>171</v>
      </c>
      <c r="E7" s="13"/>
    </row>
    <row r="8" spans="1:5" ht="22.5" customHeight="1" x14ac:dyDescent="0.35">
      <c r="A8" s="2"/>
      <c r="B8" s="152" t="s">
        <v>61</v>
      </c>
      <c r="C8" s="14"/>
      <c r="D8" s="4">
        <v>204</v>
      </c>
      <c r="E8" s="13"/>
    </row>
    <row r="9" spans="1:5" ht="22.5" customHeight="1" x14ac:dyDescent="0.35">
      <c r="A9" s="2"/>
      <c r="B9" s="152" t="s">
        <v>63</v>
      </c>
      <c r="C9" s="14"/>
      <c r="D9" s="4">
        <v>112</v>
      </c>
      <c r="E9" s="13"/>
    </row>
    <row r="10" spans="1:5" ht="22.5" customHeight="1" x14ac:dyDescent="0.35">
      <c r="A10" s="492"/>
      <c r="B10" s="309" t="s">
        <v>238</v>
      </c>
      <c r="C10" s="493"/>
      <c r="D10" s="36">
        <v>2433</v>
      </c>
      <c r="E10" s="13"/>
    </row>
    <row r="11" spans="1:5" ht="22.5" customHeight="1" x14ac:dyDescent="0.35">
      <c r="A11" s="492"/>
      <c r="B11" s="309" t="s">
        <v>462</v>
      </c>
      <c r="C11" s="499"/>
      <c r="D11" s="4">
        <v>3550</v>
      </c>
      <c r="E11" s="13"/>
    </row>
    <row r="12" spans="1:5" ht="22.5" customHeight="1" x14ac:dyDescent="0.35">
      <c r="A12" s="495"/>
      <c r="B12" s="152" t="s">
        <v>69</v>
      </c>
      <c r="C12" s="496"/>
      <c r="D12" s="4">
        <v>1415</v>
      </c>
      <c r="E12" s="13"/>
    </row>
    <row r="13" spans="1:5" ht="22.5" customHeight="1" x14ac:dyDescent="0.35">
      <c r="A13" s="495"/>
      <c r="B13" s="152" t="s">
        <v>68</v>
      </c>
      <c r="C13" s="496"/>
      <c r="D13" s="4">
        <v>6091</v>
      </c>
      <c r="E13" s="13"/>
    </row>
    <row r="14" spans="1:5" ht="22.5" customHeight="1" x14ac:dyDescent="0.35">
      <c r="A14" s="2"/>
      <c r="B14" s="14" t="s">
        <v>449</v>
      </c>
      <c r="C14" s="15"/>
      <c r="D14" s="505">
        <v>219</v>
      </c>
      <c r="E14" s="13"/>
    </row>
    <row r="15" spans="1:5" ht="22.5" customHeight="1" x14ac:dyDescent="0.35">
      <c r="A15" s="2"/>
      <c r="B15" s="14" t="s">
        <v>450</v>
      </c>
      <c r="C15" s="15"/>
      <c r="D15" s="505">
        <v>220</v>
      </c>
      <c r="E15" s="13"/>
    </row>
    <row r="16" spans="1:5" ht="22.5" customHeight="1" x14ac:dyDescent="0.35">
      <c r="A16" s="2"/>
      <c r="B16" s="14" t="s">
        <v>451</v>
      </c>
      <c r="D16" s="505">
        <v>3036</v>
      </c>
      <c r="E16" s="13">
        <f>SUM(D7:D16)</f>
        <v>17451</v>
      </c>
    </row>
    <row r="17" spans="1:7" ht="18" x14ac:dyDescent="0.35">
      <c r="A17" s="2"/>
      <c r="B17" s="16" t="s">
        <v>4</v>
      </c>
      <c r="C17" s="14"/>
      <c r="D17" s="4"/>
    </row>
    <row r="18" spans="1:7" ht="18" x14ac:dyDescent="0.35">
      <c r="A18" s="2"/>
      <c r="B18" s="17" t="s">
        <v>452</v>
      </c>
      <c r="C18" s="14"/>
      <c r="D18" s="4">
        <v>-138</v>
      </c>
    </row>
    <row r="19" spans="1:7" ht="18" x14ac:dyDescent="0.35">
      <c r="A19" s="2"/>
      <c r="B19" s="16" t="s">
        <v>461</v>
      </c>
    </row>
    <row r="20" spans="1:7" ht="18" x14ac:dyDescent="0.35">
      <c r="A20" s="2"/>
      <c r="B20" s="498" t="s">
        <v>476</v>
      </c>
      <c r="C20" s="14"/>
      <c r="D20" s="4">
        <v>9586</v>
      </c>
    </row>
    <row r="21" spans="1:7" ht="18" x14ac:dyDescent="0.35">
      <c r="A21" s="2"/>
      <c r="B21" s="14"/>
      <c r="C21" s="14"/>
      <c r="D21" s="4"/>
    </row>
    <row r="22" spans="1:7" ht="18" x14ac:dyDescent="0.35">
      <c r="A22" s="2"/>
      <c r="B22" s="18" t="s">
        <v>5</v>
      </c>
      <c r="C22" s="14"/>
      <c r="D22" s="4"/>
    </row>
    <row r="23" spans="1:7" ht="18" x14ac:dyDescent="0.35">
      <c r="A23" s="2"/>
      <c r="B23" s="14" t="s">
        <v>460</v>
      </c>
      <c r="C23" s="14"/>
      <c r="D23" s="4">
        <v>-80</v>
      </c>
    </row>
    <row r="24" spans="1:7" ht="18" x14ac:dyDescent="0.35">
      <c r="A24" s="2"/>
      <c r="B24" s="14" t="s">
        <v>475</v>
      </c>
      <c r="C24" s="14"/>
      <c r="D24" s="4">
        <v>-9586</v>
      </c>
      <c r="E24" s="13">
        <f>SUM(D21:D21)</f>
        <v>0</v>
      </c>
    </row>
    <row r="25" spans="1:7" ht="18" x14ac:dyDescent="0.35">
      <c r="A25" s="2"/>
      <c r="B25" s="16" t="s">
        <v>6</v>
      </c>
      <c r="C25" s="14"/>
      <c r="D25" s="36"/>
    </row>
    <row r="26" spans="1:7" ht="18" x14ac:dyDescent="0.35">
      <c r="A26" s="2"/>
      <c r="B26" s="17" t="s">
        <v>453</v>
      </c>
      <c r="C26" s="14"/>
      <c r="D26" s="4">
        <v>-24</v>
      </c>
    </row>
    <row r="27" spans="1:7" ht="18" x14ac:dyDescent="0.35">
      <c r="A27" s="2"/>
      <c r="B27" s="14" t="s">
        <v>322</v>
      </c>
      <c r="C27" s="14"/>
      <c r="D27" s="19">
        <v>80</v>
      </c>
    </row>
    <row r="28" spans="1:7" ht="18" x14ac:dyDescent="0.35">
      <c r="A28" s="2"/>
      <c r="B28" s="17"/>
      <c r="C28" s="14"/>
      <c r="D28" s="4"/>
    </row>
    <row r="29" spans="1:7" ht="18" x14ac:dyDescent="0.35">
      <c r="A29" s="2"/>
      <c r="B29" s="20" t="s">
        <v>7</v>
      </c>
      <c r="C29" s="14"/>
      <c r="D29" s="4">
        <f>-('9.  melléklet Hivatal'!E42+'10. melléklet Isaszegi Héts'!E42+'11.  melléklet Isaszegi Bóbi'!E41+'12. mell. Isaszegi Humánszol'!E42+'13.  mellékletMűvelődési ház'!E42+'14. melléklet Könyvtár'!E42+'15.melléklet IVÜSZ'!E42+'12. mell. Isaszegi Humánszol'!E130+'16. melléklet Bölcsőde'!E42)</f>
        <v>-19215</v>
      </c>
      <c r="E29" s="21">
        <f>SUM(D6:D30)</f>
        <v>-1926</v>
      </c>
    </row>
    <row r="30" spans="1:7" ht="18" x14ac:dyDescent="0.35">
      <c r="A30" s="2"/>
      <c r="B30" s="17" t="s">
        <v>8</v>
      </c>
      <c r="C30" s="14"/>
      <c r="D30" s="19"/>
    </row>
    <row r="31" spans="1:7" ht="35.85" customHeight="1" x14ac:dyDescent="0.35">
      <c r="A31" s="2"/>
      <c r="B31" s="22" t="s">
        <v>9</v>
      </c>
      <c r="C31" s="23"/>
      <c r="D31" s="24">
        <f>SUM(D3:D30)</f>
        <v>31165</v>
      </c>
      <c r="E31" s="13"/>
      <c r="F31" s="13"/>
      <c r="G31" s="13"/>
    </row>
    <row r="32" spans="1:7" ht="18" x14ac:dyDescent="0.35">
      <c r="A32" s="2"/>
      <c r="B32" s="17"/>
      <c r="C32" s="9"/>
      <c r="F32" s="13"/>
    </row>
    <row r="33" spans="1:6" ht="18" x14ac:dyDescent="0.35">
      <c r="A33" s="2"/>
      <c r="B33" s="2"/>
      <c r="C33" s="9"/>
      <c r="D33" s="10"/>
      <c r="F33" s="13"/>
    </row>
    <row r="34" spans="1:6" ht="20.399999999999999" x14ac:dyDescent="0.35">
      <c r="A34" s="2"/>
      <c r="B34" s="22" t="s">
        <v>10</v>
      </c>
      <c r="C34" s="23"/>
      <c r="D34" s="25">
        <v>39791</v>
      </c>
      <c r="F34" s="13"/>
    </row>
    <row r="35" spans="1:6" ht="18" x14ac:dyDescent="0.35">
      <c r="A35" s="2"/>
      <c r="B35" s="14" t="s">
        <v>11</v>
      </c>
      <c r="D35" s="506">
        <f>-'4_.melléklet'!E5</f>
        <v>-7822</v>
      </c>
      <c r="F35" s="13"/>
    </row>
    <row r="36" spans="1:6" ht="18" x14ac:dyDescent="0.35">
      <c r="A36" s="2"/>
      <c r="B36" s="26" t="s">
        <v>12</v>
      </c>
      <c r="C36" s="15"/>
      <c r="D36" s="4">
        <f>-'4_.melléklet'!E8</f>
        <v>-60</v>
      </c>
      <c r="F36" s="13"/>
    </row>
    <row r="37" spans="1:6" ht="18" x14ac:dyDescent="0.35">
      <c r="A37" s="2"/>
      <c r="B37" s="26" t="s">
        <v>326</v>
      </c>
      <c r="C37" s="14"/>
      <c r="D37" s="4">
        <f>-'4_.melléklet'!E11</f>
        <v>-923</v>
      </c>
      <c r="F37" s="13"/>
    </row>
    <row r="38" spans="1:6" ht="18" x14ac:dyDescent="0.35">
      <c r="A38" s="2"/>
      <c r="B38" s="27" t="s">
        <v>203</v>
      </c>
      <c r="C38" s="14"/>
      <c r="D38" s="4">
        <f>-'4_.melléklet'!E27</f>
        <v>-291</v>
      </c>
      <c r="F38" s="13"/>
    </row>
    <row r="39" spans="1:6" ht="18" x14ac:dyDescent="0.35">
      <c r="A39" s="2"/>
      <c r="B39" s="398" t="s">
        <v>204</v>
      </c>
      <c r="C39" s="14"/>
      <c r="D39" s="506">
        <f>-'4_.melléklet'!E30</f>
        <v>-1545</v>
      </c>
      <c r="F39" s="13"/>
    </row>
    <row r="40" spans="1:6" ht="18" x14ac:dyDescent="0.35">
      <c r="A40" s="2"/>
      <c r="B40" s="27" t="s">
        <v>16</v>
      </c>
      <c r="C40" s="14"/>
      <c r="D40" s="506">
        <f>-'4_.melléklet'!E25</f>
        <v>-121</v>
      </c>
      <c r="F40" s="13"/>
    </row>
    <row r="41" spans="1:6" ht="18" x14ac:dyDescent="0.35">
      <c r="A41" s="2"/>
      <c r="B41" s="27" t="s">
        <v>17</v>
      </c>
      <c r="C41" s="14"/>
      <c r="D41" s="4">
        <f>-'4_.melléklet'!E26</f>
        <v>-26</v>
      </c>
      <c r="F41" s="13"/>
    </row>
    <row r="42" spans="1:6" ht="18" x14ac:dyDescent="0.35">
      <c r="A42" s="2"/>
      <c r="B42" s="27" t="s">
        <v>18</v>
      </c>
      <c r="C42" s="14"/>
      <c r="D42" s="4">
        <f>-'4_.melléklet'!E28</f>
        <v>-182</v>
      </c>
      <c r="F42" s="13"/>
    </row>
    <row r="43" spans="1:6" ht="18" x14ac:dyDescent="0.35">
      <c r="A43" s="2"/>
      <c r="B43" s="27" t="s">
        <v>19</v>
      </c>
      <c r="C43" s="14"/>
      <c r="D43" s="4">
        <f>-'4_.melléklet'!E29</f>
        <v>-488</v>
      </c>
      <c r="F43" s="13"/>
    </row>
    <row r="44" spans="1:6" ht="18" x14ac:dyDescent="0.35">
      <c r="A44" s="2"/>
      <c r="B44" s="27" t="s">
        <v>20</v>
      </c>
      <c r="C44" s="15"/>
      <c r="D44" s="4">
        <f>-'4_.melléklet'!E31</f>
        <v>-1202</v>
      </c>
      <c r="F44" s="13"/>
    </row>
    <row r="45" spans="1:6" ht="18" x14ac:dyDescent="0.35">
      <c r="A45" s="2"/>
      <c r="B45" s="27" t="s">
        <v>328</v>
      </c>
      <c r="C45" s="14"/>
      <c r="D45" s="4">
        <f>-'4_.melléklet'!E40</f>
        <v>-386</v>
      </c>
      <c r="F45" s="13"/>
    </row>
    <row r="46" spans="1:6" ht="18" x14ac:dyDescent="0.35">
      <c r="A46" s="497"/>
      <c r="B46" s="40" t="s">
        <v>196</v>
      </c>
      <c r="C46" s="498"/>
      <c r="D46" s="4">
        <v>-2452</v>
      </c>
      <c r="F46" s="13"/>
    </row>
    <row r="47" spans="1:6" ht="18" x14ac:dyDescent="0.35">
      <c r="A47" s="2"/>
      <c r="B47" s="27" t="s">
        <v>327</v>
      </c>
      <c r="C47" s="14"/>
      <c r="D47" s="4">
        <f>-'4_.melléklet'!E41</f>
        <v>-28</v>
      </c>
      <c r="F47" s="13"/>
    </row>
    <row r="48" spans="1:6" ht="57.6" customHeight="1" x14ac:dyDescent="0.35">
      <c r="A48" s="2"/>
      <c r="B48" s="390" t="s">
        <v>464</v>
      </c>
      <c r="C48" s="14"/>
      <c r="D48" s="4">
        <f>-'4_.melléklet'!E42</f>
        <v>-633</v>
      </c>
      <c r="F48" s="13"/>
    </row>
    <row r="49" spans="1:9" ht="18" x14ac:dyDescent="0.35">
      <c r="A49" s="2"/>
      <c r="B49" s="27" t="s">
        <v>24</v>
      </c>
      <c r="C49" s="14"/>
      <c r="D49" s="4">
        <f>-'4_.melléklet'!E37</f>
        <v>-230</v>
      </c>
      <c r="F49" s="13"/>
    </row>
    <row r="50" spans="1:9" ht="18" x14ac:dyDescent="0.35">
      <c r="A50" s="2"/>
      <c r="B50" s="27" t="s">
        <v>25</v>
      </c>
      <c r="C50" s="14"/>
      <c r="D50" s="4">
        <f>-'4_.melléklet'!E39</f>
        <v>-74</v>
      </c>
      <c r="F50" s="13"/>
    </row>
    <row r="51" spans="1:9" ht="18" x14ac:dyDescent="0.35">
      <c r="A51" s="2"/>
      <c r="B51" s="38" t="s">
        <v>102</v>
      </c>
      <c r="C51" s="493"/>
      <c r="D51" s="4">
        <v>-30830</v>
      </c>
      <c r="E51" s="13">
        <f>SUM(D35:D50)</f>
        <v>-16463</v>
      </c>
      <c r="F51" s="13"/>
    </row>
    <row r="52" spans="1:9" ht="18" x14ac:dyDescent="0.35">
      <c r="A52" s="2"/>
      <c r="B52" s="38" t="s">
        <v>474</v>
      </c>
      <c r="C52" s="14"/>
      <c r="D52" s="4">
        <v>7920</v>
      </c>
      <c r="F52" s="13"/>
    </row>
    <row r="53" spans="1:9" ht="18" x14ac:dyDescent="0.35">
      <c r="A53" s="2"/>
      <c r="B53" s="17" t="s">
        <v>8</v>
      </c>
      <c r="C53" s="14"/>
      <c r="D53" s="10"/>
      <c r="E53" s="13"/>
      <c r="F53" s="13"/>
    </row>
    <row r="54" spans="1:9" ht="20.399999999999999" x14ac:dyDescent="0.35">
      <c r="A54" s="2"/>
      <c r="B54" s="22" t="s">
        <v>28</v>
      </c>
      <c r="C54" s="23"/>
      <c r="D54" s="28">
        <f>SUM(D34:D53)</f>
        <v>418</v>
      </c>
      <c r="F54" s="21">
        <f>D54-D34</f>
        <v>-39373</v>
      </c>
    </row>
    <row r="55" spans="1:9" ht="22.2" x14ac:dyDescent="0.35">
      <c r="A55" s="2"/>
      <c r="B55" s="29" t="s">
        <v>29</v>
      </c>
      <c r="C55" s="22"/>
      <c r="D55" s="28">
        <f>D31+D54</f>
        <v>31583</v>
      </c>
      <c r="E55" s="13"/>
      <c r="F55" s="13"/>
      <c r="G55" s="13"/>
      <c r="H55" s="13"/>
      <c r="I55" s="13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37" firstPageNumber="0" orientation="portrait" horizontalDpi="300" verticalDpi="300" r:id="rId1"/>
  <headerFooter alignWithMargins="0">
    <oddHeader xml:space="preserve">&amp;RA melléklet a    /2021.()  önkormányzati rendelethez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2"/>
  <sheetViews>
    <sheetView zoomScale="65" zoomScaleNormal="65" zoomScaleSheetLayoutView="50" workbookViewId="0">
      <selection activeCell="F10" sqref="F10"/>
    </sheetView>
  </sheetViews>
  <sheetFormatPr defaultColWidth="9" defaultRowHeight="18" x14ac:dyDescent="0.35"/>
  <cols>
    <col min="1" max="1" width="16.6640625" style="260" customWidth="1"/>
    <col min="2" max="2" width="32.33203125" style="260" customWidth="1"/>
    <col min="3" max="4" width="18.44140625" style="260" customWidth="1"/>
    <col min="5" max="5" width="20.6640625" style="260" customWidth="1"/>
    <col min="6" max="6" width="18.44140625" style="260" customWidth="1"/>
    <col min="7" max="7" width="22.44140625" style="260" customWidth="1"/>
    <col min="8" max="28" width="9" style="260"/>
    <col min="29" max="16384" width="9" style="261"/>
  </cols>
  <sheetData>
    <row r="1" spans="1:7" x14ac:dyDescent="0.35">
      <c r="A1" s="536" t="s">
        <v>213</v>
      </c>
      <c r="B1" s="536"/>
      <c r="C1" s="536"/>
      <c r="D1" s="536"/>
      <c r="E1" s="536"/>
      <c r="F1" s="536"/>
      <c r="G1" s="536"/>
    </row>
    <row r="2" spans="1:7" x14ac:dyDescent="0.35">
      <c r="A2" s="262"/>
      <c r="B2" s="262"/>
      <c r="C2" s="263"/>
      <c r="D2" s="263"/>
      <c r="E2" s="262"/>
      <c r="F2" s="262"/>
      <c r="G2" s="262"/>
    </row>
    <row r="3" spans="1:7" x14ac:dyDescent="0.35">
      <c r="A3" s="262"/>
      <c r="B3" s="262"/>
      <c r="C3" s="262"/>
      <c r="D3" s="262"/>
      <c r="E3" s="262"/>
      <c r="F3" s="262"/>
      <c r="G3" s="262"/>
    </row>
    <row r="4" spans="1:7" x14ac:dyDescent="0.35">
      <c r="A4" s="262"/>
      <c r="B4" s="262"/>
      <c r="C4" s="262"/>
      <c r="D4" s="262"/>
      <c r="E4" s="262"/>
      <c r="F4" s="262"/>
      <c r="G4" s="262"/>
    </row>
    <row r="6" spans="1:7" x14ac:dyDescent="0.35">
      <c r="A6" s="260" t="s">
        <v>214</v>
      </c>
    </row>
    <row r="7" spans="1:7" ht="54" x14ac:dyDescent="0.35">
      <c r="A7" s="264" t="s">
        <v>47</v>
      </c>
      <c r="B7" s="264" t="s">
        <v>215</v>
      </c>
      <c r="C7" s="265" t="s">
        <v>211</v>
      </c>
      <c r="D7" s="265" t="s">
        <v>188</v>
      </c>
      <c r="E7" s="265" t="s">
        <v>53</v>
      </c>
      <c r="F7" s="265" t="s">
        <v>54</v>
      </c>
      <c r="G7" s="265" t="s">
        <v>216</v>
      </c>
    </row>
    <row r="8" spans="1:7" ht="55.2" customHeight="1" x14ac:dyDescent="0.35">
      <c r="A8" s="266" t="s">
        <v>178</v>
      </c>
      <c r="B8" s="267" t="s">
        <v>217</v>
      </c>
      <c r="C8" s="268">
        <v>30000</v>
      </c>
      <c r="D8" s="268">
        <v>33091</v>
      </c>
      <c r="E8" s="268">
        <f>'8. melléklet Önkormányzat'!E59</f>
        <v>-1926</v>
      </c>
      <c r="F8" s="268">
        <f>SUM(D8:E8)</f>
        <v>31165</v>
      </c>
      <c r="G8" s="269" t="s">
        <v>218</v>
      </c>
    </row>
    <row r="9" spans="1:7" ht="24.15" customHeight="1" x14ac:dyDescent="0.35">
      <c r="A9" s="27"/>
      <c r="B9" s="27"/>
      <c r="C9" s="270"/>
      <c r="D9" s="270"/>
      <c r="E9" s="270"/>
      <c r="F9" s="268">
        <f>SUM(D9:E9)</f>
        <v>0</v>
      </c>
      <c r="G9" s="269"/>
    </row>
    <row r="10" spans="1:7" ht="26.25" customHeight="1" x14ac:dyDescent="0.35">
      <c r="A10" s="266" t="s">
        <v>180</v>
      </c>
      <c r="B10" s="267" t="s">
        <v>10</v>
      </c>
      <c r="C10" s="271">
        <v>30000</v>
      </c>
      <c r="D10" s="271">
        <v>39791</v>
      </c>
      <c r="E10" s="271">
        <f>'A melléklet'!F54</f>
        <v>-39373</v>
      </c>
      <c r="F10" s="268">
        <f>SUM(D10:E10)</f>
        <v>418</v>
      </c>
      <c r="G10" s="269" t="s">
        <v>218</v>
      </c>
    </row>
    <row r="11" spans="1:7" x14ac:dyDescent="0.35">
      <c r="A11" s="266"/>
      <c r="B11" s="272"/>
      <c r="C11" s="273"/>
      <c r="D11" s="273"/>
      <c r="E11" s="273"/>
      <c r="F11" s="268">
        <f>SUM(D11:E11)</f>
        <v>0</v>
      </c>
      <c r="G11" s="269"/>
    </row>
    <row r="12" spans="1:7" ht="28.35" customHeight="1" x14ac:dyDescent="0.35">
      <c r="A12" s="269"/>
      <c r="B12" s="267" t="s">
        <v>219</v>
      </c>
      <c r="C12" s="268">
        <f>SUM(C8,C10)</f>
        <v>60000</v>
      </c>
      <c r="D12" s="268">
        <f>SUM(D8,D10)</f>
        <v>72882</v>
      </c>
      <c r="E12" s="268">
        <f>SUM(E8,E10)</f>
        <v>-41299</v>
      </c>
      <c r="F12" s="268">
        <f>SUM(D12:E12)</f>
        <v>31583</v>
      </c>
      <c r="G12" s="269"/>
    </row>
  </sheetData>
  <sheetProtection selectLockedCells="1" selectUnlockedCells="1"/>
  <mergeCells count="1">
    <mergeCell ref="A1:G1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89" firstPageNumber="0" orientation="landscape" horizontalDpi="300" verticalDpi="300" r:id="rId1"/>
  <headerFooter alignWithMargins="0">
    <oddHeader xml:space="preserve">&amp;R 6.melléklet a    /2021.(.) 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7"/>
  <sheetViews>
    <sheetView zoomScale="65" zoomScaleNormal="65" zoomScaleSheetLayoutView="50" workbookViewId="0">
      <selection activeCell="D2" sqref="D2"/>
    </sheetView>
  </sheetViews>
  <sheetFormatPr defaultColWidth="9" defaultRowHeight="19.649999999999999" customHeight="1" x14ac:dyDescent="0.35"/>
  <cols>
    <col min="1" max="1" width="32.109375" style="32" customWidth="1"/>
    <col min="2" max="2" width="18.44140625" style="32" customWidth="1"/>
    <col min="3" max="3" width="17" style="32" customWidth="1"/>
    <col min="4" max="5" width="18.44140625" style="32" customWidth="1"/>
    <col min="6" max="28" width="9" style="32"/>
    <col min="29" max="16384" width="9" style="144"/>
  </cols>
  <sheetData>
    <row r="1" spans="1:12" ht="36" customHeight="1" x14ac:dyDescent="0.35">
      <c r="A1" s="537" t="s">
        <v>220</v>
      </c>
      <c r="B1" s="537"/>
      <c r="C1" s="537"/>
      <c r="D1" s="537"/>
      <c r="E1" s="537"/>
      <c r="F1" s="537"/>
      <c r="G1" s="537"/>
      <c r="H1" s="537"/>
      <c r="I1" s="537"/>
      <c r="J1" s="274"/>
      <c r="K1" s="274"/>
      <c r="L1" s="274"/>
    </row>
    <row r="2" spans="1:12" ht="12.6" customHeight="1" x14ac:dyDescent="0.35">
      <c r="A2" s="274"/>
      <c r="B2" s="274"/>
      <c r="C2" s="275"/>
      <c r="D2" s="275"/>
      <c r="E2" s="274"/>
      <c r="F2" s="274"/>
      <c r="G2" s="274"/>
      <c r="H2" s="274"/>
      <c r="I2" s="274"/>
    </row>
    <row r="3" spans="1:12" ht="57.15" customHeight="1" x14ac:dyDescent="0.35">
      <c r="A3" s="538"/>
      <c r="B3" s="538"/>
      <c r="C3" s="538"/>
      <c r="D3" s="538"/>
      <c r="E3" s="538"/>
      <c r="F3" s="538"/>
      <c r="G3" s="538"/>
      <c r="H3" s="538"/>
      <c r="I3" s="538"/>
    </row>
    <row r="4" spans="1:12" ht="19.649999999999999" customHeight="1" x14ac:dyDescent="0.35">
      <c r="A4" s="274" t="s">
        <v>221</v>
      </c>
      <c r="B4" s="274"/>
      <c r="C4" s="274"/>
      <c r="D4" s="274"/>
      <c r="E4" s="274"/>
      <c r="F4" s="274"/>
      <c r="G4" s="274"/>
      <c r="H4" s="274"/>
      <c r="I4" s="274"/>
    </row>
    <row r="5" spans="1:12" ht="19.649999999999999" customHeight="1" x14ac:dyDescent="0.35">
      <c r="A5" s="274" t="s">
        <v>222</v>
      </c>
      <c r="B5" s="274"/>
      <c r="C5" s="274"/>
      <c r="D5" s="274"/>
      <c r="E5" s="274"/>
      <c r="F5" s="274"/>
      <c r="G5" s="274"/>
      <c r="H5" s="274"/>
      <c r="I5" s="274"/>
    </row>
    <row r="6" spans="1:12" ht="19.649999999999999" customHeight="1" x14ac:dyDescent="0.35">
      <c r="A6" s="274" t="s">
        <v>223</v>
      </c>
      <c r="B6" s="274"/>
      <c r="C6" s="274"/>
      <c r="D6" s="274"/>
      <c r="E6" s="274"/>
      <c r="F6" s="274"/>
      <c r="G6" s="274"/>
      <c r="H6" s="274"/>
      <c r="I6" s="274"/>
    </row>
    <row r="7" spans="1:12" ht="19.649999999999999" customHeight="1" x14ac:dyDescent="0.35">
      <c r="A7" s="274" t="s">
        <v>224</v>
      </c>
      <c r="B7" s="274"/>
      <c r="C7" s="274"/>
      <c r="D7" s="274"/>
      <c r="E7" s="274"/>
      <c r="F7" s="274"/>
      <c r="G7" s="274"/>
      <c r="H7" s="274"/>
      <c r="I7" s="274"/>
    </row>
    <row r="8" spans="1:12" ht="19.649999999999999" customHeight="1" x14ac:dyDescent="0.35">
      <c r="A8" s="274"/>
      <c r="B8" s="274"/>
      <c r="C8" s="274"/>
      <c r="D8" s="274"/>
      <c r="E8" s="274"/>
      <c r="F8" s="274"/>
      <c r="G8" s="274"/>
      <c r="H8" s="274"/>
      <c r="I8" s="274"/>
    </row>
    <row r="9" spans="1:12" ht="19.649999999999999" customHeight="1" x14ac:dyDescent="0.35">
      <c r="A9" s="274"/>
      <c r="B9" s="274"/>
      <c r="C9" s="274"/>
      <c r="D9" s="274"/>
      <c r="E9" s="274"/>
      <c r="F9" s="274"/>
      <c r="G9" s="274"/>
      <c r="H9" s="274"/>
      <c r="I9" s="274"/>
    </row>
    <row r="10" spans="1:12" ht="19.649999999999999" customHeight="1" x14ac:dyDescent="0.35">
      <c r="A10" s="539" t="s">
        <v>225</v>
      </c>
      <c r="B10" s="539"/>
      <c r="C10" s="539"/>
      <c r="D10" s="274"/>
      <c r="E10" s="274"/>
      <c r="F10" s="274"/>
      <c r="G10" s="274"/>
      <c r="H10" s="274"/>
      <c r="I10" s="274"/>
    </row>
    <row r="11" spans="1:12" ht="19.649999999999999" customHeight="1" x14ac:dyDescent="0.35">
      <c r="A11" s="274" t="s">
        <v>226</v>
      </c>
      <c r="B11" s="274"/>
      <c r="C11" s="274"/>
      <c r="D11" s="274"/>
      <c r="E11" s="274"/>
      <c r="F11" s="274"/>
      <c r="G11" s="274"/>
      <c r="H11" s="274"/>
      <c r="I11" s="274"/>
    </row>
    <row r="12" spans="1:12" ht="19.649999999999999" customHeight="1" x14ac:dyDescent="0.35">
      <c r="A12" s="274"/>
      <c r="B12" s="274"/>
      <c r="C12" s="274"/>
      <c r="D12" s="274"/>
      <c r="E12" s="274"/>
      <c r="F12" s="274"/>
      <c r="G12" s="274"/>
      <c r="H12" s="274"/>
      <c r="I12" s="274"/>
    </row>
    <row r="13" spans="1:12" ht="19.649999999999999" customHeight="1" x14ac:dyDescent="0.35">
      <c r="A13" s="276" t="s">
        <v>227</v>
      </c>
      <c r="B13" s="274"/>
      <c r="C13" s="274"/>
      <c r="D13" s="274"/>
      <c r="E13" s="274"/>
      <c r="F13" s="274"/>
      <c r="G13" s="274"/>
      <c r="H13" s="274"/>
      <c r="I13" s="274"/>
    </row>
    <row r="14" spans="1:12" ht="19.649999999999999" customHeight="1" x14ac:dyDescent="0.35">
      <c r="A14" s="274"/>
      <c r="B14" s="276">
        <v>2020</v>
      </c>
      <c r="C14" s="276">
        <v>2021</v>
      </c>
      <c r="D14" s="276">
        <v>2022</v>
      </c>
      <c r="E14" s="276" t="s">
        <v>228</v>
      </c>
      <c r="F14" s="274"/>
      <c r="G14" s="274"/>
      <c r="H14" s="274"/>
      <c r="I14" s="274"/>
    </row>
    <row r="15" spans="1:12" ht="19.649999999999999" customHeight="1" x14ac:dyDescent="0.35">
      <c r="A15" s="274" t="s">
        <v>229</v>
      </c>
      <c r="B15" s="277"/>
      <c r="C15" s="277">
        <v>0</v>
      </c>
      <c r="D15" s="277"/>
      <c r="E15" s="278">
        <f>SUM(B15:D15)</f>
        <v>0</v>
      </c>
      <c r="F15" s="274"/>
      <c r="G15" s="274"/>
      <c r="H15" s="274"/>
      <c r="I15" s="274"/>
    </row>
    <row r="16" spans="1:12" ht="19.649999999999999" customHeight="1" x14ac:dyDescent="0.35">
      <c r="A16" s="274"/>
      <c r="B16" s="274"/>
      <c r="C16" s="279">
        <v>0</v>
      </c>
      <c r="D16" s="279">
        <v>0</v>
      </c>
      <c r="E16" s="278">
        <f>SUM(B16:D16)</f>
        <v>0</v>
      </c>
      <c r="F16" s="274"/>
      <c r="G16" s="274"/>
      <c r="H16" s="274"/>
      <c r="I16" s="274"/>
    </row>
    <row r="17" spans="1:5" ht="19.649999999999999" customHeight="1" x14ac:dyDescent="0.35">
      <c r="A17" s="143" t="s">
        <v>230</v>
      </c>
      <c r="B17" s="277"/>
      <c r="C17" s="277"/>
      <c r="D17" s="277"/>
      <c r="E17" s="278">
        <f>SUM(B17:D17)</f>
        <v>0</v>
      </c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93" firstPageNumber="0" orientation="landscape" horizontalDpi="300" verticalDpi="300" r:id="rId1"/>
  <headerFooter alignWithMargins="0">
    <oddHeader xml:space="preserve">&amp;R7. melléklet a    /2021.(.) 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97"/>
  <sheetViews>
    <sheetView zoomScale="60" zoomScaleNormal="60" zoomScaleSheetLayoutView="70" workbookViewId="0">
      <selection activeCell="H39" sqref="H39"/>
    </sheetView>
  </sheetViews>
  <sheetFormatPr defaultColWidth="9.109375" defaultRowHeight="18" x14ac:dyDescent="0.25"/>
  <cols>
    <col min="1" max="1" width="11.44140625" style="280" customWidth="1"/>
    <col min="2" max="2" width="71.6640625" style="280" customWidth="1"/>
    <col min="3" max="3" width="21.44140625" style="280" customWidth="1"/>
    <col min="4" max="4" width="20.109375" style="280" customWidth="1"/>
    <col min="5" max="5" width="19.5546875" style="280" customWidth="1"/>
    <col min="6" max="6" width="20.109375" style="280" customWidth="1"/>
    <col min="7" max="7" width="14.6640625" style="280" customWidth="1"/>
    <col min="8" max="8" width="21.5546875" style="280" customWidth="1"/>
    <col min="9" max="9" width="19" style="280" customWidth="1"/>
    <col min="10" max="28" width="9.109375" style="280"/>
    <col min="29" max="16384" width="9.109375" style="281"/>
  </cols>
  <sheetData>
    <row r="1" spans="1:28" s="283" customFormat="1" ht="21" customHeight="1" x14ac:dyDescent="0.35">
      <c r="A1" s="32"/>
      <c r="B1" s="32"/>
      <c r="C1" s="32"/>
      <c r="D1" s="32"/>
      <c r="E1" s="32"/>
      <c r="F1" s="32"/>
      <c r="G1" s="3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288" customFormat="1" ht="25.5" customHeight="1" x14ac:dyDescent="0.25">
      <c r="A2" s="284"/>
      <c r="B2" s="284"/>
      <c r="C2" s="285" t="s">
        <v>465</v>
      </c>
      <c r="D2" s="286"/>
      <c r="E2" s="282"/>
      <c r="F2" s="282"/>
      <c r="G2" s="282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288" customFormat="1" ht="17.399999999999999" x14ac:dyDescent="0.25">
      <c r="A3" s="289"/>
      <c r="B3" s="290" t="s">
        <v>3</v>
      </c>
      <c r="C3" s="291" t="s">
        <v>231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288" customFormat="1" ht="15.9" customHeight="1" x14ac:dyDescent="0.25">
      <c r="A4" s="292"/>
      <c r="B4" s="290" t="s">
        <v>232</v>
      </c>
      <c r="C4" s="293" t="s">
        <v>233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x14ac:dyDescent="0.35">
      <c r="A5" s="294"/>
      <c r="B5" s="294"/>
      <c r="C5" s="295" t="s">
        <v>165</v>
      </c>
      <c r="D5" s="287"/>
      <c r="E5" s="287"/>
      <c r="F5" s="287"/>
      <c r="G5" s="287"/>
    </row>
    <row r="6" spans="1:28" s="298" customFormat="1" ht="28.95" customHeight="1" x14ac:dyDescent="0.25">
      <c r="A6" s="289"/>
      <c r="B6" s="296" t="s">
        <v>234</v>
      </c>
      <c r="C6" s="296" t="s">
        <v>235</v>
      </c>
      <c r="D6" s="297"/>
      <c r="E6" s="297"/>
      <c r="F6" s="297"/>
      <c r="G6" s="280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298" customFormat="1" ht="15.9" customHeight="1" x14ac:dyDescent="0.25">
      <c r="A7" s="289"/>
      <c r="B7" s="289"/>
      <c r="C7" s="289"/>
      <c r="D7" s="522" t="s">
        <v>50</v>
      </c>
      <c r="E7" s="522"/>
      <c r="F7" s="522"/>
      <c r="G7" s="522"/>
      <c r="H7" s="522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298" customFormat="1" ht="46.8" x14ac:dyDescent="0.25">
      <c r="A8" s="299"/>
      <c r="B8" s="299" t="s">
        <v>236</v>
      </c>
      <c r="C8" s="300" t="s">
        <v>237</v>
      </c>
      <c r="D8" s="301" t="s">
        <v>188</v>
      </c>
      <c r="E8" s="301" t="s">
        <v>53</v>
      </c>
      <c r="F8" s="301" t="s">
        <v>188</v>
      </c>
      <c r="G8" s="58" t="s">
        <v>323</v>
      </c>
      <c r="H8" s="302" t="s">
        <v>55</v>
      </c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</row>
    <row r="9" spans="1:28" s="304" customFormat="1" ht="27.75" customHeight="1" x14ac:dyDescent="0.3">
      <c r="A9" s="289" t="s">
        <v>56</v>
      </c>
      <c r="B9" s="163" t="s">
        <v>57</v>
      </c>
      <c r="C9" s="160">
        <f>SUM(C10:C15)</f>
        <v>632038</v>
      </c>
      <c r="D9" s="160">
        <f>SUM(D10:D15)</f>
        <v>660078</v>
      </c>
      <c r="E9" s="160">
        <f>SUM(E10:E15)</f>
        <v>3962</v>
      </c>
      <c r="F9" s="160">
        <f>SUM(F10:F15)</f>
        <v>664040</v>
      </c>
      <c r="G9" s="160">
        <f>SUM(G10:G15)</f>
        <v>664040</v>
      </c>
      <c r="H9" s="68">
        <f>G9/F9</f>
        <v>1</v>
      </c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05" customFormat="1" x14ac:dyDescent="0.3">
      <c r="A10" s="151"/>
      <c r="B10" s="152" t="s">
        <v>58</v>
      </c>
      <c r="C10" s="153">
        <v>242818</v>
      </c>
      <c r="D10" s="153">
        <v>244371</v>
      </c>
      <c r="E10" s="153">
        <f>G10-D10</f>
        <v>219</v>
      </c>
      <c r="F10" s="153">
        <f>D10+E10</f>
        <v>244590</v>
      </c>
      <c r="G10" s="153">
        <v>244590</v>
      </c>
      <c r="H10" s="68">
        <f>G10/F10</f>
        <v>1</v>
      </c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</row>
    <row r="11" spans="1:28" s="305" customFormat="1" ht="36" x14ac:dyDescent="0.3">
      <c r="A11" s="128"/>
      <c r="B11" s="152" t="s">
        <v>59</v>
      </c>
      <c r="C11" s="306">
        <v>200916</v>
      </c>
      <c r="D11" s="306">
        <v>220981</v>
      </c>
      <c r="E11" s="153">
        <f t="shared" ref="E11:E15" si="0">G11-D11</f>
        <v>0</v>
      </c>
      <c r="F11" s="153">
        <f t="shared" ref="F11:F44" si="1">D11+E11</f>
        <v>220981</v>
      </c>
      <c r="G11" s="153">
        <v>220981</v>
      </c>
      <c r="H11" s="68">
        <f>G11/F11</f>
        <v>1</v>
      </c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</row>
    <row r="12" spans="1:28" s="305" customFormat="1" ht="36" x14ac:dyDescent="0.3">
      <c r="A12" s="128"/>
      <c r="B12" s="152" t="s">
        <v>60</v>
      </c>
      <c r="C12" s="306">
        <v>173806</v>
      </c>
      <c r="D12" s="306">
        <v>172499</v>
      </c>
      <c r="E12" s="153">
        <f t="shared" si="0"/>
        <v>3207</v>
      </c>
      <c r="F12" s="153">
        <f t="shared" si="1"/>
        <v>175706</v>
      </c>
      <c r="G12" s="153">
        <f>97559+78147</f>
        <v>175706</v>
      </c>
      <c r="H12" s="68">
        <f>G12/F12</f>
        <v>1</v>
      </c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</row>
    <row r="13" spans="1:28" s="305" customFormat="1" ht="35.700000000000003" customHeight="1" x14ac:dyDescent="0.3">
      <c r="A13" s="128"/>
      <c r="B13" s="152" t="s">
        <v>61</v>
      </c>
      <c r="C13" s="306">
        <v>14498</v>
      </c>
      <c r="D13" s="306">
        <v>22227</v>
      </c>
      <c r="E13" s="153">
        <f t="shared" si="0"/>
        <v>424</v>
      </c>
      <c r="F13" s="153">
        <f t="shared" si="1"/>
        <v>22651</v>
      </c>
      <c r="G13" s="153">
        <v>22651</v>
      </c>
      <c r="H13" s="68">
        <f>G13/F13</f>
        <v>1</v>
      </c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</row>
    <row r="14" spans="1:28" s="305" customFormat="1" ht="50.7" customHeight="1" x14ac:dyDescent="0.3">
      <c r="A14" s="128"/>
      <c r="B14" s="152" t="s">
        <v>62</v>
      </c>
      <c r="C14" s="306"/>
      <c r="D14" s="153"/>
      <c r="E14" s="153">
        <f>G14-D14</f>
        <v>0</v>
      </c>
      <c r="F14" s="153">
        <f t="shared" si="1"/>
        <v>0</v>
      </c>
      <c r="G14" s="160"/>
      <c r="H14" s="68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</row>
    <row r="15" spans="1:28" s="305" customFormat="1" x14ac:dyDescent="0.3">
      <c r="A15" s="128"/>
      <c r="B15" s="152" t="s">
        <v>63</v>
      </c>
      <c r="C15" s="306">
        <v>0</v>
      </c>
      <c r="D15" s="306">
        <v>0</v>
      </c>
      <c r="E15" s="153">
        <f t="shared" si="0"/>
        <v>112</v>
      </c>
      <c r="F15" s="153">
        <f t="shared" si="1"/>
        <v>112</v>
      </c>
      <c r="G15" s="153">
        <v>112</v>
      </c>
      <c r="H15" s="68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</row>
    <row r="16" spans="1:28" s="304" customFormat="1" x14ac:dyDescent="0.3">
      <c r="A16" s="128" t="s">
        <v>64</v>
      </c>
      <c r="B16" s="163" t="s">
        <v>65</v>
      </c>
      <c r="C16" s="308">
        <f>C17+C18+C19+C20</f>
        <v>55450</v>
      </c>
      <c r="D16" s="308">
        <f>D17+D18+D19+D20</f>
        <v>64971</v>
      </c>
      <c r="E16" s="308">
        <f>E17+E18+E19+E20</f>
        <v>7506</v>
      </c>
      <c r="F16" s="160">
        <f t="shared" si="1"/>
        <v>72477</v>
      </c>
      <c r="G16" s="308">
        <f>G17+G18+G19+G20</f>
        <v>71874</v>
      </c>
      <c r="H16" s="68">
        <f>G16/F16</f>
        <v>0.99168011921023225</v>
      </c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</row>
    <row r="17" spans="1:28" s="304" customFormat="1" ht="36" x14ac:dyDescent="0.3">
      <c r="A17" s="151"/>
      <c r="B17" s="152" t="s">
        <v>135</v>
      </c>
      <c r="C17" s="153">
        <v>2160</v>
      </c>
      <c r="D17" s="153">
        <v>2160</v>
      </c>
      <c r="E17" s="153"/>
      <c r="F17" s="153">
        <f t="shared" si="1"/>
        <v>2160</v>
      </c>
      <c r="G17" s="153">
        <v>1620</v>
      </c>
      <c r="H17" s="68">
        <f>G17/F17</f>
        <v>0.75</v>
      </c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s="304" customFormat="1" x14ac:dyDescent="0.3">
      <c r="A18" s="128"/>
      <c r="B18" s="152" t="s">
        <v>136</v>
      </c>
      <c r="C18" s="306">
        <v>0</v>
      </c>
      <c r="D18" s="153">
        <v>213</v>
      </c>
      <c r="E18" s="153"/>
      <c r="F18" s="153">
        <f t="shared" si="1"/>
        <v>213</v>
      </c>
      <c r="G18" s="153">
        <v>150</v>
      </c>
      <c r="H18" s="68">
        <f>G18/F18</f>
        <v>0.70422535211267601</v>
      </c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</row>
    <row r="19" spans="1:28" s="304" customFormat="1" ht="36" x14ac:dyDescent="0.3">
      <c r="A19" s="128"/>
      <c r="B19" s="152" t="s">
        <v>68</v>
      </c>
      <c r="C19" s="306">
        <v>51575</v>
      </c>
      <c r="D19" s="153">
        <v>60883</v>
      </c>
      <c r="E19" s="153">
        <v>6091</v>
      </c>
      <c r="F19" s="153">
        <f t="shared" si="1"/>
        <v>66974</v>
      </c>
      <c r="G19" s="153">
        <v>66974</v>
      </c>
      <c r="H19" s="68">
        <f>G19/F19</f>
        <v>1</v>
      </c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</row>
    <row r="20" spans="1:28" s="304" customFormat="1" ht="36" x14ac:dyDescent="0.3">
      <c r="A20" s="128"/>
      <c r="B20" s="152" t="s">
        <v>69</v>
      </c>
      <c r="C20" s="306">
        <v>1715</v>
      </c>
      <c r="D20" s="153">
        <v>1715</v>
      </c>
      <c r="E20" s="153">
        <v>1415</v>
      </c>
      <c r="F20" s="153">
        <f t="shared" si="1"/>
        <v>3130</v>
      </c>
      <c r="G20" s="153">
        <v>3130</v>
      </c>
      <c r="H20" s="68">
        <f>G20/F20</f>
        <v>1</v>
      </c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</row>
    <row r="21" spans="1:28" s="304" customFormat="1" x14ac:dyDescent="0.3">
      <c r="A21" s="128" t="s">
        <v>70</v>
      </c>
      <c r="B21" s="161" t="s">
        <v>71</v>
      </c>
      <c r="C21" s="308">
        <f>C22</f>
        <v>0</v>
      </c>
      <c r="D21" s="308">
        <f>D22</f>
        <v>0</v>
      </c>
      <c r="E21" s="308">
        <f>E22</f>
        <v>2433</v>
      </c>
      <c r="F21" s="160">
        <f t="shared" si="1"/>
        <v>2433</v>
      </c>
      <c r="G21" s="160">
        <f>G22</f>
        <v>2433</v>
      </c>
      <c r="H21" s="68">
        <f t="shared" ref="H21:H22" si="2">G21/F21</f>
        <v>1</v>
      </c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</row>
    <row r="22" spans="1:28" s="304" customFormat="1" x14ac:dyDescent="0.3">
      <c r="A22" s="128"/>
      <c r="B22" s="309" t="s">
        <v>238</v>
      </c>
      <c r="C22" s="310"/>
      <c r="D22" s="135"/>
      <c r="E22" s="306">
        <v>2433</v>
      </c>
      <c r="F22" s="153">
        <f t="shared" si="1"/>
        <v>2433</v>
      </c>
      <c r="G22" s="153">
        <v>2433</v>
      </c>
      <c r="H22" s="68">
        <f t="shared" si="2"/>
        <v>1</v>
      </c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</row>
    <row r="23" spans="1:28" s="305" customFormat="1" ht="38.700000000000003" customHeight="1" x14ac:dyDescent="0.3">
      <c r="A23" s="155" t="s">
        <v>73</v>
      </c>
      <c r="B23" s="161" t="s">
        <v>74</v>
      </c>
      <c r="C23" s="308">
        <f>SUM(C24:C27)</f>
        <v>354300</v>
      </c>
      <c r="D23" s="308">
        <f>D24+D25+D26+D27</f>
        <v>317300</v>
      </c>
      <c r="E23" s="308">
        <f>E24+E25+E26+E27</f>
        <v>7920</v>
      </c>
      <c r="F23" s="160">
        <f t="shared" si="1"/>
        <v>325220</v>
      </c>
      <c r="G23" s="308">
        <f>G24+G25+G26+G27</f>
        <v>368361</v>
      </c>
      <c r="H23" s="68">
        <f>G23/F23</f>
        <v>1.132651743435213</v>
      </c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</row>
    <row r="24" spans="1:28" s="305" customFormat="1" ht="36" x14ac:dyDescent="0.3">
      <c r="A24" s="128"/>
      <c r="B24" s="38" t="s">
        <v>75</v>
      </c>
      <c r="C24" s="306">
        <v>307300</v>
      </c>
      <c r="D24" s="306">
        <v>307300</v>
      </c>
      <c r="E24" s="306">
        <v>7920</v>
      </c>
      <c r="F24" s="153">
        <f t="shared" si="1"/>
        <v>315220</v>
      </c>
      <c r="G24" s="153">
        <v>357437</v>
      </c>
      <c r="H24" s="68">
        <f>G24/F24</f>
        <v>1.1339286847281265</v>
      </c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</row>
    <row r="25" spans="1:28" s="305" customFormat="1" x14ac:dyDescent="0.3">
      <c r="A25" s="129"/>
      <c r="B25" s="38" t="s">
        <v>76</v>
      </c>
      <c r="C25" s="306">
        <v>42000</v>
      </c>
      <c r="D25" s="306"/>
      <c r="E25" s="307"/>
      <c r="F25" s="153">
        <f t="shared" si="1"/>
        <v>0</v>
      </c>
      <c r="G25" s="153">
        <v>0</v>
      </c>
      <c r="H25" s="68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</row>
    <row r="26" spans="1:28" s="304" customFormat="1" x14ac:dyDescent="0.3">
      <c r="A26" s="128"/>
      <c r="B26" s="38" t="s">
        <v>77</v>
      </c>
      <c r="C26" s="306">
        <v>3000</v>
      </c>
      <c r="D26" s="306">
        <v>8000</v>
      </c>
      <c r="E26" s="108"/>
      <c r="F26" s="153">
        <f t="shared" si="1"/>
        <v>8000</v>
      </c>
      <c r="G26" s="153">
        <v>9716</v>
      </c>
      <c r="H26" s="68">
        <f>G26/F26</f>
        <v>1.2144999999999999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s="305" customFormat="1" ht="86.7" customHeight="1" x14ac:dyDescent="0.3">
      <c r="A27" s="151"/>
      <c r="B27" s="38" t="s">
        <v>78</v>
      </c>
      <c r="C27" s="153">
        <v>2000</v>
      </c>
      <c r="D27" s="306">
        <v>2000</v>
      </c>
      <c r="E27" s="307"/>
      <c r="F27" s="153">
        <f t="shared" si="1"/>
        <v>2000</v>
      </c>
      <c r="G27" s="153">
        <v>1208</v>
      </c>
      <c r="H27" s="68">
        <f>G27/F27</f>
        <v>0.60399999999999998</v>
      </c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s="305" customFormat="1" ht="28.35" customHeight="1" x14ac:dyDescent="0.3">
      <c r="A28" s="155" t="s">
        <v>79</v>
      </c>
      <c r="B28" s="311" t="s">
        <v>80</v>
      </c>
      <c r="C28" s="308">
        <f>C29+C30+C31+C32+C33</f>
        <v>95825</v>
      </c>
      <c r="D28" s="308">
        <f>D29+D30+D31+D32+D33</f>
        <v>87731</v>
      </c>
      <c r="E28" s="308"/>
      <c r="F28" s="160">
        <f t="shared" si="1"/>
        <v>87731</v>
      </c>
      <c r="G28" s="308">
        <f>G29+G30+G31+G32+G33</f>
        <v>71787</v>
      </c>
      <c r="H28" s="68">
        <f>G28/F28</f>
        <v>0.81826264376332192</v>
      </c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</row>
    <row r="29" spans="1:28" s="305" customFormat="1" ht="54" x14ac:dyDescent="0.3">
      <c r="A29" s="128"/>
      <c r="B29" s="152" t="s">
        <v>137</v>
      </c>
      <c r="C29" s="306">
        <v>95825</v>
      </c>
      <c r="D29" s="306">
        <v>87731</v>
      </c>
      <c r="E29" s="306"/>
      <c r="F29" s="153">
        <f t="shared" si="1"/>
        <v>87731</v>
      </c>
      <c r="G29" s="153">
        <v>71787</v>
      </c>
      <c r="H29" s="68">
        <f>G29/F29</f>
        <v>0.81826264376332192</v>
      </c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</row>
    <row r="30" spans="1:28" s="305" customFormat="1" ht="20.7" customHeight="1" x14ac:dyDescent="0.3">
      <c r="A30" s="128"/>
      <c r="B30" s="152" t="s">
        <v>82</v>
      </c>
      <c r="C30" s="306"/>
      <c r="D30" s="306"/>
      <c r="E30" s="306"/>
      <c r="F30" s="153">
        <f t="shared" si="1"/>
        <v>0</v>
      </c>
      <c r="G30" s="160"/>
      <c r="H30" s="68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</row>
    <row r="31" spans="1:28" s="305" customFormat="1" ht="18" customHeight="1" x14ac:dyDescent="0.3">
      <c r="A31" s="128"/>
      <c r="B31" s="152" t="s">
        <v>83</v>
      </c>
      <c r="C31" s="306"/>
      <c r="D31" s="306"/>
      <c r="E31" s="306"/>
      <c r="F31" s="153">
        <f t="shared" si="1"/>
        <v>0</v>
      </c>
      <c r="G31" s="160"/>
      <c r="H31" s="68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</row>
    <row r="32" spans="1:28" s="305" customFormat="1" ht="15.45" customHeight="1" x14ac:dyDescent="0.3">
      <c r="A32" s="128"/>
      <c r="B32" s="152" t="s">
        <v>84</v>
      </c>
      <c r="C32" s="306"/>
      <c r="D32" s="306"/>
      <c r="E32" s="306"/>
      <c r="F32" s="153">
        <f t="shared" si="1"/>
        <v>0</v>
      </c>
      <c r="G32" s="160"/>
      <c r="H32" s="68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</row>
    <row r="33" spans="1:28" s="305" customFormat="1" x14ac:dyDescent="0.3">
      <c r="A33" s="128"/>
      <c r="B33" s="152" t="s">
        <v>85</v>
      </c>
      <c r="C33" s="306"/>
      <c r="D33" s="306"/>
      <c r="E33" s="306"/>
      <c r="F33" s="153">
        <f t="shared" si="1"/>
        <v>0</v>
      </c>
      <c r="G33" s="160"/>
      <c r="H33" s="68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</row>
    <row r="34" spans="1:28" s="305" customFormat="1" x14ac:dyDescent="0.3">
      <c r="A34" s="155" t="s">
        <v>86</v>
      </c>
      <c r="B34" s="161" t="s">
        <v>87</v>
      </c>
      <c r="C34" s="308">
        <f>C35+C36</f>
        <v>0</v>
      </c>
      <c r="D34" s="308">
        <f>D35+D36</f>
        <v>2946</v>
      </c>
      <c r="E34" s="308">
        <f>E35+E36</f>
        <v>0</v>
      </c>
      <c r="F34" s="160">
        <f t="shared" si="1"/>
        <v>2946</v>
      </c>
      <c r="G34" s="160">
        <f>G35+G36</f>
        <v>2400</v>
      </c>
      <c r="H34" s="68">
        <f>G34/F34</f>
        <v>0.81466395112016299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s="305" customFormat="1" x14ac:dyDescent="0.3">
      <c r="A35" s="129"/>
      <c r="B35" s="152" t="s">
        <v>88</v>
      </c>
      <c r="C35" s="306"/>
      <c r="D35" s="306">
        <v>2946</v>
      </c>
      <c r="E35" s="306"/>
      <c r="F35" s="153">
        <f t="shared" si="1"/>
        <v>2946</v>
      </c>
      <c r="G35" s="153">
        <v>2400</v>
      </c>
      <c r="H35" s="68">
        <f>G35/F35</f>
        <v>0.81466395112016299</v>
      </c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s="305" customFormat="1" x14ac:dyDescent="0.3">
      <c r="A36" s="130"/>
      <c r="B36" s="152"/>
      <c r="C36" s="306"/>
      <c r="D36" s="306"/>
      <c r="E36" s="306"/>
      <c r="F36" s="153">
        <f t="shared" si="1"/>
        <v>0</v>
      </c>
      <c r="G36" s="160"/>
      <c r="H36" s="68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</row>
    <row r="37" spans="1:28" s="305" customFormat="1" ht="18" customHeight="1" x14ac:dyDescent="0.3">
      <c r="A37" s="312" t="s">
        <v>89</v>
      </c>
      <c r="B37" s="161" t="s">
        <v>90</v>
      </c>
      <c r="C37" s="306">
        <f>C38</f>
        <v>0</v>
      </c>
      <c r="D37" s="308">
        <v>4699</v>
      </c>
      <c r="E37" s="308"/>
      <c r="F37" s="160">
        <f t="shared" si="1"/>
        <v>4699</v>
      </c>
      <c r="G37" s="160">
        <v>4699</v>
      </c>
      <c r="H37" s="68">
        <f t="shared" ref="H37:H47" si="3">G37/F37</f>
        <v>1</v>
      </c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</row>
    <row r="38" spans="1:28" s="305" customFormat="1" ht="22.35" customHeight="1" x14ac:dyDescent="0.3">
      <c r="A38" s="132"/>
      <c r="B38" s="152" t="s">
        <v>239</v>
      </c>
      <c r="C38" s="306"/>
      <c r="D38" s="306">
        <v>4699</v>
      </c>
      <c r="E38" s="306"/>
      <c r="F38" s="153">
        <f t="shared" si="1"/>
        <v>4699</v>
      </c>
      <c r="G38" s="153">
        <v>4699</v>
      </c>
      <c r="H38" s="68">
        <f t="shared" si="3"/>
        <v>1</v>
      </c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</row>
    <row r="39" spans="1:28" s="305" customFormat="1" ht="26.7" customHeight="1" x14ac:dyDescent="0.3">
      <c r="A39" s="312" t="s">
        <v>92</v>
      </c>
      <c r="B39" s="161" t="s">
        <v>93</v>
      </c>
      <c r="C39" s="308">
        <f>C40+C41</f>
        <v>145522</v>
      </c>
      <c r="D39" s="308">
        <f>D40+D41</f>
        <v>147550</v>
      </c>
      <c r="E39" s="308">
        <f>E40+E41</f>
        <v>0</v>
      </c>
      <c r="F39" s="160">
        <f t="shared" si="1"/>
        <v>147550</v>
      </c>
      <c r="G39" s="308">
        <f>G40+G41</f>
        <v>71059</v>
      </c>
      <c r="H39" s="68">
        <f t="shared" si="3"/>
        <v>0.48159268044730602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</row>
    <row r="40" spans="1:28" s="305" customFormat="1" ht="54" x14ac:dyDescent="0.3">
      <c r="A40" s="132"/>
      <c r="B40" s="38" t="s">
        <v>240</v>
      </c>
      <c r="C40" s="306">
        <v>1700</v>
      </c>
      <c r="D40" s="306">
        <v>1700</v>
      </c>
      <c r="E40" s="306"/>
      <c r="F40" s="153">
        <f t="shared" si="1"/>
        <v>1700</v>
      </c>
      <c r="G40" s="153">
        <v>1012</v>
      </c>
      <c r="H40" s="68">
        <f t="shared" si="3"/>
        <v>0.59529411764705886</v>
      </c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</row>
    <row r="41" spans="1:28" s="305" customFormat="1" ht="36" x14ac:dyDescent="0.3">
      <c r="A41" s="132"/>
      <c r="B41" s="38" t="s">
        <v>241</v>
      </c>
      <c r="C41" s="306">
        <v>143822</v>
      </c>
      <c r="D41" s="306">
        <v>145850</v>
      </c>
      <c r="E41" s="306"/>
      <c r="F41" s="153">
        <f t="shared" si="1"/>
        <v>145850</v>
      </c>
      <c r="G41" s="153">
        <f>72480-2433</f>
        <v>70047</v>
      </c>
      <c r="H41" s="68">
        <f t="shared" si="3"/>
        <v>0.4802673980116558</v>
      </c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</row>
    <row r="42" spans="1:28" s="305" customFormat="1" ht="41.7" customHeight="1" x14ac:dyDescent="0.3">
      <c r="A42" s="132"/>
      <c r="B42" s="161" t="s">
        <v>96</v>
      </c>
      <c r="C42" s="308">
        <f>C9+C16+C21+C23+C28+C34+C37+C39</f>
        <v>1283135</v>
      </c>
      <c r="D42" s="308">
        <f>D9+D16+D21+D23+D28+D34+D37+D39</f>
        <v>1285275</v>
      </c>
      <c r="E42" s="308">
        <f>E9+E16+E21+E23+E28+E34+E37+E39</f>
        <v>21821</v>
      </c>
      <c r="F42" s="160">
        <f t="shared" si="1"/>
        <v>1307096</v>
      </c>
      <c r="G42" s="308">
        <f>G9+G16+G21+G23+G28+G34+G37+G39</f>
        <v>1256653</v>
      </c>
      <c r="H42" s="68">
        <f t="shared" si="3"/>
        <v>0.9614083433810523</v>
      </c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</row>
    <row r="43" spans="1:28" s="305" customFormat="1" x14ac:dyDescent="0.3">
      <c r="A43" s="312" t="s">
        <v>97</v>
      </c>
      <c r="B43" s="161" t="s">
        <v>242</v>
      </c>
      <c r="C43" s="313">
        <v>77024</v>
      </c>
      <c r="D43" s="153">
        <v>139804</v>
      </c>
      <c r="E43" s="306">
        <v>3550</v>
      </c>
      <c r="F43" s="153">
        <f t="shared" si="1"/>
        <v>143354</v>
      </c>
      <c r="G43" s="153">
        <f>10000+52780+27793</f>
        <v>90573</v>
      </c>
      <c r="H43" s="68">
        <f t="shared" si="3"/>
        <v>0.63181355246452842</v>
      </c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</row>
    <row r="44" spans="1:28" s="305" customFormat="1" ht="34.799999999999997" x14ac:dyDescent="0.3">
      <c r="A44" s="312" t="s">
        <v>99</v>
      </c>
      <c r="B44" s="161" t="s">
        <v>100</v>
      </c>
      <c r="C44" s="314">
        <v>58942</v>
      </c>
      <c r="D44" s="306">
        <v>54610</v>
      </c>
      <c r="E44" s="306"/>
      <c r="F44" s="153">
        <f t="shared" si="1"/>
        <v>54610</v>
      </c>
      <c r="G44" s="153">
        <v>54610</v>
      </c>
      <c r="H44" s="68">
        <f t="shared" si="3"/>
        <v>1</v>
      </c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</row>
    <row r="45" spans="1:28" s="305" customFormat="1" ht="34.799999999999997" x14ac:dyDescent="0.3">
      <c r="A45" s="312" t="s">
        <v>101</v>
      </c>
      <c r="B45" s="161" t="s">
        <v>102</v>
      </c>
      <c r="C45" s="314">
        <v>148107</v>
      </c>
      <c r="D45" s="306">
        <v>138454</v>
      </c>
      <c r="E45" s="306">
        <v>-30830</v>
      </c>
      <c r="F45" s="153">
        <v>107623</v>
      </c>
      <c r="G45" s="153">
        <v>107623</v>
      </c>
      <c r="H45" s="68">
        <f t="shared" si="3"/>
        <v>1</v>
      </c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</row>
    <row r="46" spans="1:28" s="305" customFormat="1" x14ac:dyDescent="0.3">
      <c r="A46" s="132"/>
      <c r="B46" s="161" t="s">
        <v>103</v>
      </c>
      <c r="C46" s="308">
        <f>C43+C44+C45</f>
        <v>284073</v>
      </c>
      <c r="D46" s="308">
        <f>D43+D44+D45</f>
        <v>332868</v>
      </c>
      <c r="E46" s="308">
        <f>E43+E44+E45</f>
        <v>-27280</v>
      </c>
      <c r="F46" s="160">
        <f>F43+F44+F45</f>
        <v>305587</v>
      </c>
      <c r="G46" s="308">
        <f>G43+G44+G45</f>
        <v>252806</v>
      </c>
      <c r="H46" s="68">
        <f t="shared" si="3"/>
        <v>0.8272799562808627</v>
      </c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</row>
    <row r="47" spans="1:28" s="305" customFormat="1" ht="27.6" customHeight="1" x14ac:dyDescent="0.3">
      <c r="A47" s="132"/>
      <c r="B47" s="163" t="s">
        <v>106</v>
      </c>
      <c r="C47" s="308">
        <f>C42+C46</f>
        <v>1567208</v>
      </c>
      <c r="D47" s="315">
        <f>D42+D46</f>
        <v>1618143</v>
      </c>
      <c r="E47" s="308">
        <f>E42+E46</f>
        <v>-5459</v>
      </c>
      <c r="F47" s="160">
        <f>F9+F16+F21+F23+F28+F34+F37+F39+F46</f>
        <v>1612683</v>
      </c>
      <c r="G47" s="308">
        <f>G42+G46</f>
        <v>1509459</v>
      </c>
      <c r="H47" s="68">
        <f t="shared" si="3"/>
        <v>0.93599238039961974</v>
      </c>
      <c r="I47" s="282">
        <f>G10+G35+G25+G11+G12+G13+G18+G19+G20+G24+G26+G27+G29+G38+G40+G41+G43+G44+G45+G17+G15+G22</f>
        <v>1509459</v>
      </c>
      <c r="J47" s="282">
        <f>I47-G47</f>
        <v>0</v>
      </c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</row>
    <row r="48" spans="1:28" x14ac:dyDescent="0.25">
      <c r="A48" s="316"/>
      <c r="B48" s="317"/>
      <c r="C48" s="318"/>
      <c r="D48" s="1"/>
      <c r="E48" s="1"/>
      <c r="F48" s="319"/>
      <c r="G48" s="297"/>
    </row>
    <row r="49" spans="1:28" s="298" customFormat="1" ht="19.649999999999999" customHeight="1" x14ac:dyDescent="0.25">
      <c r="A49" s="141"/>
      <c r="B49" s="141"/>
      <c r="C49" s="522" t="s">
        <v>50</v>
      </c>
      <c r="D49" s="522"/>
      <c r="E49" s="522"/>
      <c r="F49" s="522"/>
      <c r="G49" s="522"/>
      <c r="H49" s="522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s="304" customFormat="1" ht="46.8" x14ac:dyDescent="0.25">
      <c r="A50" s="320"/>
      <c r="B50" s="320" t="s">
        <v>243</v>
      </c>
      <c r="C50" s="321" t="s">
        <v>244</v>
      </c>
      <c r="D50" s="301" t="s">
        <v>188</v>
      </c>
      <c r="E50" s="301" t="s">
        <v>53</v>
      </c>
      <c r="F50" s="301" t="s">
        <v>54</v>
      </c>
      <c r="G50" s="58" t="s">
        <v>323</v>
      </c>
      <c r="H50" s="302" t="s">
        <v>55</v>
      </c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</row>
    <row r="51" spans="1:28" x14ac:dyDescent="0.3">
      <c r="A51" s="130" t="s">
        <v>56</v>
      </c>
      <c r="B51" s="322" t="s">
        <v>108</v>
      </c>
      <c r="C51" s="160">
        <f>C52+C53+C54+C57+C58</f>
        <v>513755</v>
      </c>
      <c r="D51" s="160">
        <f>D52+D53+D54+D57+D58</f>
        <v>514853</v>
      </c>
      <c r="E51" s="160">
        <f>E52+E53+E54+E57+E58</f>
        <v>-1844</v>
      </c>
      <c r="F51" s="160">
        <f>F52+F53+F54+F57+F58</f>
        <v>513009</v>
      </c>
      <c r="G51" s="160">
        <f>G52+G53+G54+G57+G58</f>
        <v>391562</v>
      </c>
      <c r="H51" s="68">
        <f>G51/F51</f>
        <v>0.76326536181626448</v>
      </c>
    </row>
    <row r="52" spans="1:28" x14ac:dyDescent="0.3">
      <c r="A52" s="137"/>
      <c r="B52" s="323" t="s">
        <v>109</v>
      </c>
      <c r="C52" s="306">
        <v>103450</v>
      </c>
      <c r="D52" s="306">
        <v>100134</v>
      </c>
      <c r="E52" s="306">
        <f>138</f>
        <v>138</v>
      </c>
      <c r="F52" s="153">
        <f t="shared" ref="F52:F62" si="4">D52+E52</f>
        <v>100272</v>
      </c>
      <c r="G52" s="153">
        <v>95852</v>
      </c>
      <c r="H52" s="68">
        <f>G52/F52</f>
        <v>0.95591989787777243</v>
      </c>
    </row>
    <row r="53" spans="1:28" ht="45.9" customHeight="1" x14ac:dyDescent="0.3">
      <c r="A53" s="132"/>
      <c r="B53" s="174" t="s">
        <v>110</v>
      </c>
      <c r="C53" s="306">
        <v>18035</v>
      </c>
      <c r="D53" s="306">
        <v>16527</v>
      </c>
      <c r="E53" s="306">
        <f>24</f>
        <v>24</v>
      </c>
      <c r="F53" s="153">
        <f t="shared" si="4"/>
        <v>16551</v>
      </c>
      <c r="G53" s="153">
        <v>15696</v>
      </c>
      <c r="H53" s="68">
        <f>G53/F53</f>
        <v>0.94834148994018486</v>
      </c>
    </row>
    <row r="54" spans="1:28" ht="22.35" customHeight="1" x14ac:dyDescent="0.3">
      <c r="A54" s="132"/>
      <c r="B54" s="174" t="s">
        <v>111</v>
      </c>
      <c r="C54" s="306">
        <v>316530</v>
      </c>
      <c r="D54" s="306">
        <v>319112</v>
      </c>
      <c r="E54" s="306">
        <f>-80+9586</f>
        <v>9506</v>
      </c>
      <c r="F54" s="153">
        <f t="shared" si="4"/>
        <v>328618</v>
      </c>
      <c r="G54" s="153">
        <v>263454</v>
      </c>
      <c r="H54" s="68">
        <f>G54/F54</f>
        <v>0.80170288906876674</v>
      </c>
    </row>
    <row r="55" spans="1:28" ht="36" x14ac:dyDescent="0.35">
      <c r="A55" s="132"/>
      <c r="B55" s="174" t="s">
        <v>112</v>
      </c>
      <c r="C55" s="324"/>
      <c r="D55" s="324"/>
      <c r="E55" s="324"/>
      <c r="F55" s="325">
        <f t="shared" si="4"/>
        <v>0</v>
      </c>
      <c r="G55" s="325"/>
      <c r="H55" s="326"/>
    </row>
    <row r="56" spans="1:28" x14ac:dyDescent="0.35">
      <c r="A56" s="132"/>
      <c r="B56" s="327" t="s">
        <v>113</v>
      </c>
      <c r="C56" s="324"/>
      <c r="D56" s="324"/>
      <c r="E56" s="324"/>
      <c r="F56" s="325">
        <f t="shared" si="4"/>
        <v>0</v>
      </c>
      <c r="G56" s="325"/>
      <c r="H56" s="326"/>
    </row>
    <row r="57" spans="1:28" x14ac:dyDescent="0.3">
      <c r="A57" s="132"/>
      <c r="B57" s="174" t="s">
        <v>114</v>
      </c>
      <c r="C57" s="306">
        <v>28020</v>
      </c>
      <c r="D57" s="306">
        <v>27239</v>
      </c>
      <c r="E57" s="306">
        <v>-9586</v>
      </c>
      <c r="F57" s="153">
        <f t="shared" si="4"/>
        <v>17653</v>
      </c>
      <c r="G57" s="153">
        <v>8206</v>
      </c>
      <c r="H57" s="68">
        <f>G57/F57</f>
        <v>0.46485016711040616</v>
      </c>
    </row>
    <row r="58" spans="1:28" x14ac:dyDescent="0.3">
      <c r="A58" s="132"/>
      <c r="B58" s="174" t="s">
        <v>115</v>
      </c>
      <c r="C58" s="306">
        <f>C59+C61</f>
        <v>47720</v>
      </c>
      <c r="D58" s="306">
        <v>51841</v>
      </c>
      <c r="E58" s="306">
        <f>E59+E61</f>
        <v>-1926</v>
      </c>
      <c r="F58" s="153">
        <f t="shared" si="4"/>
        <v>49915</v>
      </c>
      <c r="G58" s="306">
        <v>8354</v>
      </c>
      <c r="H58" s="68">
        <f>G58/F58</f>
        <v>0.16736451968346189</v>
      </c>
    </row>
    <row r="59" spans="1:28" x14ac:dyDescent="0.3">
      <c r="A59" s="132"/>
      <c r="B59" s="174" t="s">
        <v>116</v>
      </c>
      <c r="C59" s="306">
        <v>30000</v>
      </c>
      <c r="D59" s="306">
        <v>33091</v>
      </c>
      <c r="E59" s="306">
        <f>'A melléklet'!E29</f>
        <v>-1926</v>
      </c>
      <c r="F59" s="153">
        <f t="shared" si="4"/>
        <v>31165</v>
      </c>
      <c r="G59" s="153">
        <v>0</v>
      </c>
      <c r="H59" s="68">
        <f>G59/F59</f>
        <v>0</v>
      </c>
    </row>
    <row r="60" spans="1:28" x14ac:dyDescent="0.3">
      <c r="A60" s="132"/>
      <c r="B60" s="174" t="s">
        <v>117</v>
      </c>
      <c r="C60" s="1"/>
      <c r="D60" s="306"/>
      <c r="E60" s="306"/>
      <c r="F60" s="153">
        <f t="shared" si="4"/>
        <v>0</v>
      </c>
      <c r="G60" s="153"/>
      <c r="H60" s="68"/>
    </row>
    <row r="61" spans="1:28" x14ac:dyDescent="0.3">
      <c r="A61" s="132"/>
      <c r="B61" s="174" t="s">
        <v>118</v>
      </c>
      <c r="C61" s="306">
        <v>17720</v>
      </c>
      <c r="D61" s="306">
        <v>17720</v>
      </c>
      <c r="E61" s="306"/>
      <c r="F61" s="153">
        <f t="shared" si="4"/>
        <v>17720</v>
      </c>
      <c r="G61" s="153">
        <v>7028</v>
      </c>
      <c r="H61" s="68">
        <f>G61/F61</f>
        <v>0.39661399548532733</v>
      </c>
    </row>
    <row r="62" spans="1:28" ht="12" customHeight="1" x14ac:dyDescent="0.35">
      <c r="A62" s="132"/>
      <c r="B62" s="328"/>
      <c r="C62" s="306"/>
      <c r="D62" s="108"/>
      <c r="E62" s="108"/>
      <c r="F62" s="153">
        <f t="shared" si="4"/>
        <v>0</v>
      </c>
      <c r="G62" s="153"/>
      <c r="H62" s="68"/>
    </row>
    <row r="63" spans="1:28" s="304" customFormat="1" x14ac:dyDescent="0.3">
      <c r="A63" s="130" t="s">
        <v>64</v>
      </c>
      <c r="B63" s="322" t="s">
        <v>119</v>
      </c>
      <c r="C63" s="160">
        <f>C64+C67+C68+C71</f>
        <v>349540</v>
      </c>
      <c r="D63" s="160">
        <f>D64+D67+D68+D71</f>
        <v>339389</v>
      </c>
      <c r="E63" s="160">
        <f>E64+E67+E68+E71</f>
        <v>-22910</v>
      </c>
      <c r="F63" s="160">
        <f>F64+F67+F68+F71</f>
        <v>316478</v>
      </c>
      <c r="G63" s="160">
        <f>G64+G67+G68+G71</f>
        <v>63707</v>
      </c>
      <c r="H63" s="68">
        <f>G63/F63</f>
        <v>0.20129993238076579</v>
      </c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</row>
    <row r="64" spans="1:28" s="304" customFormat="1" ht="29.1" customHeight="1" x14ac:dyDescent="0.3">
      <c r="A64" s="137"/>
      <c r="B64" s="173" t="s">
        <v>120</v>
      </c>
      <c r="C64" s="306">
        <v>318694</v>
      </c>
      <c r="D64" s="306">
        <v>290579</v>
      </c>
      <c r="E64" s="306">
        <f>'4_.melléklet'!E46</f>
        <v>2465</v>
      </c>
      <c r="F64" s="153">
        <f t="shared" ref="F64:F72" si="5">D64+E64</f>
        <v>293044</v>
      </c>
      <c r="G64" s="153">
        <v>43754</v>
      </c>
      <c r="H64" s="68">
        <f>G64/F64</f>
        <v>0.1493086362457515</v>
      </c>
      <c r="I64" s="303"/>
      <c r="J64" s="329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</row>
    <row r="65" spans="1:28" s="304" customFormat="1" ht="36" x14ac:dyDescent="0.3">
      <c r="A65" s="137"/>
      <c r="B65" s="174" t="s">
        <v>245</v>
      </c>
      <c r="C65" s="306">
        <v>0</v>
      </c>
      <c r="D65" s="306"/>
      <c r="E65" s="306">
        <f>'4_.melléklet'!E23</f>
        <v>0</v>
      </c>
      <c r="F65" s="153">
        <f t="shared" si="5"/>
        <v>0</v>
      </c>
      <c r="G65" s="153"/>
      <c r="H65" s="68"/>
      <c r="I65" s="303"/>
      <c r="J65" s="329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</row>
    <row r="66" spans="1:28" ht="36" x14ac:dyDescent="0.3">
      <c r="A66" s="137"/>
      <c r="B66" s="174" t="s">
        <v>246</v>
      </c>
      <c r="C66" s="306"/>
      <c r="D66" s="307"/>
      <c r="E66" s="307"/>
      <c r="F66" s="153">
        <f t="shared" si="5"/>
        <v>0</v>
      </c>
      <c r="G66" s="153"/>
      <c r="H66" s="68"/>
      <c r="J66" s="329">
        <f>G66-I66</f>
        <v>0</v>
      </c>
    </row>
    <row r="67" spans="1:28" x14ac:dyDescent="0.3">
      <c r="A67" s="132"/>
      <c r="B67" s="174" t="s">
        <v>123</v>
      </c>
      <c r="C67" s="306">
        <v>846</v>
      </c>
      <c r="D67" s="306">
        <v>9019</v>
      </c>
      <c r="E67" s="306">
        <f>'4_.melléklet'!E15</f>
        <v>13998</v>
      </c>
      <c r="F67" s="153">
        <f>'4_.melléklet'!F15</f>
        <v>23016</v>
      </c>
      <c r="G67" s="153">
        <v>19953</v>
      </c>
      <c r="H67" s="68">
        <f>G67/F67</f>
        <v>0.86691866527632955</v>
      </c>
      <c r="J67" s="329"/>
    </row>
    <row r="68" spans="1:28" s="304" customFormat="1" x14ac:dyDescent="0.3">
      <c r="A68" s="132"/>
      <c r="B68" s="174" t="s">
        <v>148</v>
      </c>
      <c r="C68" s="306"/>
      <c r="D68" s="153"/>
      <c r="E68" s="135"/>
      <c r="F68" s="153">
        <f t="shared" si="5"/>
        <v>0</v>
      </c>
      <c r="G68" s="153"/>
      <c r="H68" s="68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</row>
    <row r="69" spans="1:28" ht="36" x14ac:dyDescent="0.3">
      <c r="A69" s="132"/>
      <c r="B69" s="174" t="s">
        <v>125</v>
      </c>
      <c r="C69" s="306"/>
      <c r="D69" s="135"/>
      <c r="E69" s="135"/>
      <c r="F69" s="153">
        <f t="shared" si="5"/>
        <v>0</v>
      </c>
      <c r="G69" s="153"/>
      <c r="H69" s="68"/>
      <c r="J69" s="330"/>
    </row>
    <row r="70" spans="1:28" ht="36" x14ac:dyDescent="0.3">
      <c r="A70" s="132"/>
      <c r="B70" s="174" t="s">
        <v>126</v>
      </c>
      <c r="C70" s="306"/>
      <c r="D70" s="135"/>
      <c r="E70" s="135"/>
      <c r="F70" s="153">
        <f t="shared" si="5"/>
        <v>0</v>
      </c>
      <c r="G70" s="153"/>
      <c r="H70" s="68"/>
      <c r="J70" s="330"/>
    </row>
    <row r="71" spans="1:28" x14ac:dyDescent="0.3">
      <c r="A71" s="132"/>
      <c r="B71" s="174" t="s">
        <v>10</v>
      </c>
      <c r="C71" s="306">
        <v>30000</v>
      </c>
      <c r="D71" s="280">
        <v>39791</v>
      </c>
      <c r="E71" s="306">
        <f>'A melléklet'!F54</f>
        <v>-39373</v>
      </c>
      <c r="F71" s="153">
        <f t="shared" si="5"/>
        <v>418</v>
      </c>
      <c r="G71" s="153"/>
      <c r="H71" s="68">
        <f>G71/F71</f>
        <v>0</v>
      </c>
    </row>
    <row r="72" spans="1:28" s="304" customFormat="1" ht="12" customHeight="1" x14ac:dyDescent="0.3">
      <c r="A72" s="280"/>
      <c r="B72" s="331"/>
      <c r="C72" s="135"/>
      <c r="D72" s="306"/>
      <c r="E72" s="135"/>
      <c r="F72" s="153">
        <f t="shared" si="5"/>
        <v>0</v>
      </c>
      <c r="G72" s="153"/>
      <c r="H72" s="68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</row>
    <row r="73" spans="1:28" s="304" customFormat="1" x14ac:dyDescent="0.3">
      <c r="A73" s="130"/>
      <c r="B73" s="332" t="s">
        <v>127</v>
      </c>
      <c r="C73" s="160">
        <f>C51+C63</f>
        <v>863295</v>
      </c>
      <c r="D73" s="160">
        <f>D51+D63</f>
        <v>854242</v>
      </c>
      <c r="E73" s="160">
        <f>E51+E63</f>
        <v>-24754</v>
      </c>
      <c r="F73" s="160">
        <f>F51+F63</f>
        <v>829487</v>
      </c>
      <c r="G73" s="160">
        <f>G51+G63</f>
        <v>455269</v>
      </c>
      <c r="H73" s="68">
        <f>G73/F73</f>
        <v>0.54885610021615772</v>
      </c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</row>
    <row r="74" spans="1:28" s="304" customFormat="1" ht="12" customHeight="1" x14ac:dyDescent="0.3">
      <c r="A74" s="130"/>
      <c r="B74" s="332"/>
      <c r="C74" s="333"/>
      <c r="D74" s="135"/>
      <c r="E74" s="135"/>
      <c r="F74" s="153">
        <f>D74+E74</f>
        <v>0</v>
      </c>
      <c r="G74" s="153"/>
      <c r="H74" s="68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</row>
    <row r="75" spans="1:28" s="304" customFormat="1" x14ac:dyDescent="0.3">
      <c r="A75" s="130" t="s">
        <v>70</v>
      </c>
      <c r="B75" s="322" t="s">
        <v>128</v>
      </c>
      <c r="C75" s="160">
        <f>C76+C77</f>
        <v>703913</v>
      </c>
      <c r="D75" s="160">
        <f>D76+D77</f>
        <v>763901</v>
      </c>
      <c r="E75" s="160">
        <f>E76+E77</f>
        <v>19295</v>
      </c>
      <c r="F75" s="160">
        <f>F76+F77</f>
        <v>783196</v>
      </c>
      <c r="G75" s="160">
        <f>G76+G77</f>
        <v>707809</v>
      </c>
      <c r="H75" s="68">
        <f t="shared" ref="H75:H81" si="6">G75/F75</f>
        <v>0.90374440114607324</v>
      </c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</row>
    <row r="76" spans="1:28" s="304" customFormat="1" x14ac:dyDescent="0.3">
      <c r="A76" s="137"/>
      <c r="B76" s="323" t="s">
        <v>247</v>
      </c>
      <c r="C76" s="153">
        <v>25332</v>
      </c>
      <c r="D76" s="153">
        <v>78112</v>
      </c>
      <c r="E76" s="153">
        <v>80</v>
      </c>
      <c r="F76" s="153">
        <f>D76+E76</f>
        <v>78192</v>
      </c>
      <c r="G76" s="153">
        <v>77959</v>
      </c>
      <c r="H76" s="68">
        <f t="shared" si="6"/>
        <v>0.99702015551463063</v>
      </c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</row>
    <row r="77" spans="1:28" x14ac:dyDescent="0.3">
      <c r="A77" s="132"/>
      <c r="B77" s="323" t="s">
        <v>105</v>
      </c>
      <c r="C77" s="306">
        <v>678581</v>
      </c>
      <c r="D77" s="306">
        <v>685789</v>
      </c>
      <c r="E77" s="306">
        <f>'9.  melléklet Hivatal'!E42+'10. melléklet Isaszegi Héts'!E42+'11.  melléklet Isaszegi Bóbi'!E41+'12. mell. Isaszegi Humánszol'!E42+'12. mell. Isaszegi Humánszol'!E130+'13.  mellékletMűvelődési ház'!E42+'14. melléklet Könyvtár'!E42+'15.melléklet IVÜSZ'!E42+'16. melléklet Bölcsőde'!E42</f>
        <v>19215</v>
      </c>
      <c r="F77" s="153">
        <f>D77+E77</f>
        <v>705004</v>
      </c>
      <c r="G77" s="153">
        <v>629850</v>
      </c>
      <c r="H77" s="68">
        <f t="shared" si="6"/>
        <v>0.89339918638759497</v>
      </c>
    </row>
    <row r="78" spans="1:28" ht="20.100000000000001" customHeight="1" x14ac:dyDescent="0.3">
      <c r="A78" s="140"/>
      <c r="B78" s="179" t="s">
        <v>248</v>
      </c>
      <c r="C78" s="160">
        <f>C51+C63+C75</f>
        <v>1567208</v>
      </c>
      <c r="D78" s="160">
        <f>D51+D63+D75</f>
        <v>1618143</v>
      </c>
      <c r="E78" s="160">
        <f>E51+E63+E75</f>
        <v>-5459</v>
      </c>
      <c r="F78" s="160">
        <f>F51+F63+F75</f>
        <v>1612683</v>
      </c>
      <c r="G78" s="160">
        <f>G51+G63+G75</f>
        <v>1163078</v>
      </c>
      <c r="H78" s="68">
        <f t="shared" si="6"/>
        <v>0.72120683358105719</v>
      </c>
    </row>
    <row r="79" spans="1:28" ht="17.25" customHeight="1" x14ac:dyDescent="0.3">
      <c r="A79" s="141"/>
      <c r="B79" s="334" t="s">
        <v>249</v>
      </c>
      <c r="C79" s="306">
        <f>C78-C77</f>
        <v>888627</v>
      </c>
      <c r="D79" s="306">
        <f>D78-D77</f>
        <v>932354</v>
      </c>
      <c r="E79" s="306">
        <f>E78-E77</f>
        <v>-24674</v>
      </c>
      <c r="F79" s="153">
        <f>D79+E79</f>
        <v>907680</v>
      </c>
      <c r="G79" s="153">
        <f>G78-G77</f>
        <v>533228</v>
      </c>
      <c r="H79" s="68">
        <f t="shared" si="6"/>
        <v>0.58746254186497449</v>
      </c>
    </row>
    <row r="80" spans="1:28" x14ac:dyDescent="0.3">
      <c r="A80" s="142"/>
      <c r="B80" s="335" t="s">
        <v>132</v>
      </c>
      <c r="C80" s="336">
        <v>14</v>
      </c>
      <c r="D80" s="336">
        <v>14</v>
      </c>
      <c r="E80" s="336"/>
      <c r="F80" s="336">
        <v>14</v>
      </c>
      <c r="G80" s="336">
        <v>14</v>
      </c>
      <c r="H80" s="68">
        <f t="shared" si="6"/>
        <v>1</v>
      </c>
    </row>
    <row r="81" spans="1:8" x14ac:dyDescent="0.3">
      <c r="A81" s="142"/>
      <c r="B81" s="335" t="s">
        <v>133</v>
      </c>
      <c r="C81" s="336">
        <v>6</v>
      </c>
      <c r="D81" s="336">
        <v>6</v>
      </c>
      <c r="E81" s="336"/>
      <c r="F81" s="336">
        <v>6</v>
      </c>
      <c r="G81" s="336">
        <v>6</v>
      </c>
      <c r="H81" s="68">
        <f t="shared" si="6"/>
        <v>1</v>
      </c>
    </row>
    <row r="82" spans="1:8" x14ac:dyDescent="0.25">
      <c r="B82" s="331"/>
      <c r="C82" s="280">
        <f>C47-C78</f>
        <v>0</v>
      </c>
      <c r="D82" s="282">
        <f>D47-D78</f>
        <v>0</v>
      </c>
      <c r="E82" s="280">
        <f>E47-E78</f>
        <v>0</v>
      </c>
      <c r="F82" s="280">
        <f>F47-F78</f>
        <v>0</v>
      </c>
      <c r="G82" s="297"/>
    </row>
    <row r="83" spans="1:8" x14ac:dyDescent="0.25">
      <c r="B83" s="337" t="s">
        <v>250</v>
      </c>
      <c r="C83" s="280" t="s">
        <v>46</v>
      </c>
    </row>
    <row r="84" spans="1:8" x14ac:dyDescent="0.25">
      <c r="A84" s="280" t="s">
        <v>251</v>
      </c>
      <c r="B84" s="337"/>
    </row>
    <row r="85" spans="1:8" x14ac:dyDescent="0.25">
      <c r="A85" s="280">
        <v>2</v>
      </c>
      <c r="B85" s="337" t="s">
        <v>252</v>
      </c>
      <c r="C85" s="338">
        <f>2*113043/1000</f>
        <v>226.08600000000001</v>
      </c>
    </row>
    <row r="86" spans="1:8" x14ac:dyDescent="0.25">
      <c r="B86" s="337" t="s">
        <v>253</v>
      </c>
      <c r="C86" s="338">
        <f>C85*0.15</f>
        <v>33.9129</v>
      </c>
    </row>
    <row r="87" spans="1:8" x14ac:dyDescent="0.25">
      <c r="A87" s="339" t="s">
        <v>254</v>
      </c>
      <c r="B87" s="337" t="s">
        <v>255</v>
      </c>
      <c r="C87" s="338">
        <f>2*201652/1000</f>
        <v>403.30399999999997</v>
      </c>
    </row>
    <row r="88" spans="1:8" x14ac:dyDescent="0.25">
      <c r="A88" s="339"/>
      <c r="B88" s="337" t="s">
        <v>256</v>
      </c>
      <c r="C88" s="338">
        <f>C87*0.15</f>
        <v>60.495599999999996</v>
      </c>
    </row>
    <row r="89" spans="1:8" x14ac:dyDescent="0.25">
      <c r="A89" s="340">
        <v>5</v>
      </c>
      <c r="B89" s="337" t="s">
        <v>257</v>
      </c>
      <c r="C89" s="338">
        <f>4*113043/1000</f>
        <v>452.17200000000003</v>
      </c>
    </row>
    <row r="90" spans="1:8" x14ac:dyDescent="0.25">
      <c r="B90" s="337" t="s">
        <v>253</v>
      </c>
      <c r="C90" s="338">
        <f>C89*0.15</f>
        <v>67.825800000000001</v>
      </c>
    </row>
    <row r="91" spans="1:8" x14ac:dyDescent="0.25">
      <c r="A91" s="340" t="s">
        <v>258</v>
      </c>
      <c r="B91" s="337" t="s">
        <v>259</v>
      </c>
      <c r="C91" s="280">
        <f>3*72000/1000</f>
        <v>216</v>
      </c>
    </row>
    <row r="92" spans="1:8" x14ac:dyDescent="0.25">
      <c r="B92" s="337" t="s">
        <v>260</v>
      </c>
      <c r="C92" s="338">
        <f>C91*0.305</f>
        <v>65.88</v>
      </c>
    </row>
    <row r="93" spans="1:8" x14ac:dyDescent="0.25">
      <c r="A93" s="341">
        <v>13</v>
      </c>
      <c r="B93" s="342" t="s">
        <v>261</v>
      </c>
      <c r="C93" s="343">
        <f>SUM(C85:C92)</f>
        <v>1525.6763000000001</v>
      </c>
    </row>
    <row r="94" spans="1:8" x14ac:dyDescent="0.25">
      <c r="B94" s="337"/>
    </row>
    <row r="95" spans="1:8" ht="36" x14ac:dyDescent="0.25">
      <c r="B95" s="337" t="s">
        <v>262</v>
      </c>
      <c r="C95" s="338">
        <f>C87+C89+C91+C85</f>
        <v>1297.5620000000001</v>
      </c>
    </row>
    <row r="96" spans="1:8" ht="36" x14ac:dyDescent="0.25">
      <c r="B96" s="337" t="s">
        <v>263</v>
      </c>
      <c r="C96" s="338">
        <f>C88+C90+C92+C86</f>
        <v>228.11429999999999</v>
      </c>
    </row>
    <row r="97" spans="2:3" x14ac:dyDescent="0.25">
      <c r="B97" s="344" t="s">
        <v>261</v>
      </c>
      <c r="C97" s="343">
        <f>SUM(C95:C96)</f>
        <v>1525.6763000000001</v>
      </c>
    </row>
  </sheetData>
  <sheetProtection selectLockedCells="1" selectUnlockedCells="1"/>
  <mergeCells count="2">
    <mergeCell ref="D7:H7"/>
    <mergeCell ref="C49:H49"/>
  </mergeCells>
  <pageMargins left="0.74791666666666667" right="0.74791666666666667" top="0.98402777777777772" bottom="0.98402777777777772" header="0.51180555555555551" footer="0.51180555555555551"/>
  <pageSetup paperSize="9" scale="38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89"/>
  <sheetViews>
    <sheetView topLeftCell="A31" zoomScale="50" zoomScaleNormal="50" zoomScaleSheetLayoutView="80" workbookViewId="0">
      <selection activeCell="C89" sqref="C89"/>
    </sheetView>
  </sheetViews>
  <sheetFormatPr defaultColWidth="9.109375" defaultRowHeight="18" x14ac:dyDescent="0.25"/>
  <cols>
    <col min="1" max="1" width="10.6640625" style="280" customWidth="1"/>
    <col min="2" max="2" width="61.6640625" style="280" customWidth="1"/>
    <col min="3" max="3" width="21.44140625" style="280" customWidth="1"/>
    <col min="4" max="4" width="20.6640625" style="280" customWidth="1"/>
    <col min="5" max="5" width="15.44140625" style="280" customWidth="1"/>
    <col min="6" max="6" width="13.6640625" style="280" customWidth="1"/>
    <col min="7" max="7" width="13" style="280" customWidth="1"/>
    <col min="8" max="8" width="23.33203125" style="280" customWidth="1"/>
    <col min="9" max="16384" width="9.109375" style="280"/>
  </cols>
  <sheetData>
    <row r="1" spans="1:8" s="282" customFormat="1" ht="21" customHeight="1" x14ac:dyDescent="0.25">
      <c r="A1" s="284"/>
      <c r="B1" s="345"/>
      <c r="C1" s="346" t="s">
        <v>466</v>
      </c>
    </row>
    <row r="2" spans="1:8" s="287" customFormat="1" ht="25.5" customHeight="1" x14ac:dyDescent="0.25">
      <c r="A2" s="289"/>
      <c r="B2" s="290" t="s">
        <v>264</v>
      </c>
      <c r="C2" s="347" t="s">
        <v>265</v>
      </c>
      <c r="D2" s="348"/>
      <c r="E2" s="303"/>
      <c r="F2" s="303"/>
      <c r="G2" s="303"/>
    </row>
    <row r="3" spans="1:8" s="287" customFormat="1" x14ac:dyDescent="0.25">
      <c r="A3" s="292"/>
      <c r="B3" s="290" t="s">
        <v>266</v>
      </c>
      <c r="C3" s="349"/>
      <c r="D3" s="303"/>
      <c r="E3" s="303"/>
      <c r="F3" s="303"/>
      <c r="G3" s="303"/>
    </row>
    <row r="4" spans="1:8" s="287" customFormat="1" ht="15.9" customHeight="1" x14ac:dyDescent="0.35">
      <c r="A4" s="294"/>
      <c r="B4" s="294"/>
      <c r="C4" s="295" t="s">
        <v>165</v>
      </c>
      <c r="D4" s="303"/>
      <c r="E4" s="303"/>
      <c r="F4" s="303"/>
      <c r="G4" s="303"/>
    </row>
    <row r="5" spans="1:8" ht="34.799999999999997" x14ac:dyDescent="0.25">
      <c r="A5" s="289"/>
      <c r="B5" s="296" t="s">
        <v>234</v>
      </c>
      <c r="C5" s="296" t="s">
        <v>235</v>
      </c>
      <c r="D5" s="303"/>
      <c r="E5" s="303"/>
      <c r="F5" s="303"/>
      <c r="G5" s="303"/>
    </row>
    <row r="6" spans="1:8" s="297" customFormat="1" ht="19.649999999999999" customHeight="1" x14ac:dyDescent="0.25">
      <c r="A6" s="289"/>
      <c r="B6" s="289"/>
      <c r="C6" s="289"/>
      <c r="D6" s="522" t="s">
        <v>50</v>
      </c>
      <c r="E6" s="522"/>
      <c r="F6" s="522"/>
      <c r="G6" s="522"/>
      <c r="H6" s="522"/>
    </row>
    <row r="7" spans="1:8" s="297" customFormat="1" ht="70.650000000000006" customHeight="1" x14ac:dyDescent="0.25">
      <c r="A7" s="299"/>
      <c r="B7" s="299" t="s">
        <v>236</v>
      </c>
      <c r="C7" s="321" t="s">
        <v>49</v>
      </c>
      <c r="D7" s="301" t="s">
        <v>188</v>
      </c>
      <c r="E7" s="301" t="s">
        <v>53</v>
      </c>
      <c r="F7" s="301" t="s">
        <v>54</v>
      </c>
      <c r="G7" s="58" t="s">
        <v>323</v>
      </c>
      <c r="H7" s="302" t="s">
        <v>55</v>
      </c>
    </row>
    <row r="8" spans="1:8" s="303" customFormat="1" x14ac:dyDescent="0.25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</row>
    <row r="9" spans="1:8" s="303" customFormat="1" x14ac:dyDescent="0.25">
      <c r="A9" s="151"/>
      <c r="B9" s="152" t="s">
        <v>58</v>
      </c>
      <c r="C9" s="160"/>
      <c r="D9" s="135"/>
      <c r="E9" s="135"/>
      <c r="F9" s="135"/>
      <c r="G9" s="108"/>
      <c r="H9" s="135"/>
    </row>
    <row r="10" spans="1:8" s="303" customFormat="1" ht="36" x14ac:dyDescent="0.25">
      <c r="A10" s="128"/>
      <c r="B10" s="152" t="s">
        <v>59</v>
      </c>
      <c r="C10" s="306"/>
      <c r="D10" s="108"/>
      <c r="E10" s="108"/>
      <c r="F10" s="108"/>
      <c r="G10" s="108"/>
      <c r="H10" s="135"/>
    </row>
    <row r="11" spans="1:8" s="303" customFormat="1" ht="36" x14ac:dyDescent="0.25">
      <c r="A11" s="128"/>
      <c r="B11" s="152" t="s">
        <v>60</v>
      </c>
      <c r="C11" s="306"/>
      <c r="D11" s="307"/>
      <c r="E11" s="307"/>
      <c r="F11" s="307"/>
      <c r="G11" s="108"/>
      <c r="H11" s="135"/>
    </row>
    <row r="12" spans="1:8" s="303" customFormat="1" ht="36" x14ac:dyDescent="0.25">
      <c r="A12" s="128"/>
      <c r="B12" s="152" t="s">
        <v>61</v>
      </c>
      <c r="C12" s="306"/>
      <c r="D12" s="135"/>
      <c r="E12" s="135"/>
      <c r="F12" s="135"/>
      <c r="G12" s="108"/>
      <c r="H12" s="135"/>
    </row>
    <row r="13" spans="1:8" s="303" customFormat="1" x14ac:dyDescent="0.25">
      <c r="A13" s="128"/>
      <c r="B13" s="152" t="s">
        <v>134</v>
      </c>
      <c r="C13" s="306"/>
      <c r="D13" s="135"/>
      <c r="E13" s="135"/>
      <c r="F13" s="135"/>
      <c r="G13" s="108"/>
      <c r="H13" s="135"/>
    </row>
    <row r="14" spans="1:8" s="303" customFormat="1" x14ac:dyDescent="0.25">
      <c r="A14" s="128"/>
      <c r="B14" s="152" t="s">
        <v>63</v>
      </c>
      <c r="C14" s="306"/>
      <c r="D14" s="307"/>
      <c r="E14" s="307"/>
      <c r="F14" s="307"/>
      <c r="G14" s="108"/>
      <c r="H14" s="135"/>
    </row>
    <row r="15" spans="1:8" ht="34.799999999999997" x14ac:dyDescent="0.25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8">
        <f>E16+E17+E18+E19</f>
        <v>0</v>
      </c>
      <c r="F15" s="308">
        <f>F16+F17+F18+F19</f>
        <v>0</v>
      </c>
      <c r="G15" s="308"/>
      <c r="H15" s="307"/>
    </row>
    <row r="16" spans="1:8" ht="36" x14ac:dyDescent="0.25">
      <c r="A16" s="151"/>
      <c r="B16" s="152" t="s">
        <v>135</v>
      </c>
      <c r="C16" s="160"/>
      <c r="D16" s="307"/>
      <c r="E16" s="307"/>
      <c r="F16" s="307"/>
      <c r="G16" s="108"/>
      <c r="H16" s="307"/>
    </row>
    <row r="17" spans="1:8" s="303" customFormat="1" ht="36" x14ac:dyDescent="0.25">
      <c r="A17" s="128"/>
      <c r="B17" s="152" t="s">
        <v>136</v>
      </c>
      <c r="C17" s="306"/>
      <c r="D17" s="307"/>
      <c r="E17" s="306"/>
      <c r="F17" s="306"/>
      <c r="G17" s="306"/>
      <c r="H17" s="307"/>
    </row>
    <row r="18" spans="1:8" ht="36" x14ac:dyDescent="0.25">
      <c r="A18" s="128"/>
      <c r="B18" s="152" t="s">
        <v>158</v>
      </c>
      <c r="C18" s="306"/>
      <c r="D18" s="135"/>
      <c r="E18" s="135"/>
      <c r="F18" s="135"/>
      <c r="G18" s="108"/>
      <c r="H18" s="307"/>
    </row>
    <row r="19" spans="1:8" ht="30.75" customHeight="1" x14ac:dyDescent="0.25">
      <c r="A19" s="128"/>
      <c r="B19" s="152" t="s">
        <v>69</v>
      </c>
      <c r="C19" s="306"/>
      <c r="D19" s="135"/>
      <c r="E19" s="135"/>
      <c r="F19" s="135"/>
      <c r="G19" s="108"/>
      <c r="H19" s="307"/>
    </row>
    <row r="20" spans="1:8" ht="34.799999999999997" x14ac:dyDescent="0.25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8" ht="36" x14ac:dyDescent="0.25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8" x14ac:dyDescent="0.25">
      <c r="A22" s="155" t="s">
        <v>73</v>
      </c>
      <c r="B22" s="161" t="s">
        <v>74</v>
      </c>
      <c r="C22" s="308">
        <f>C23+C24+C25+C26</f>
        <v>0</v>
      </c>
      <c r="D22" s="306">
        <f>D23+D24+D25+D26</f>
        <v>0</v>
      </c>
      <c r="E22" s="306">
        <f>E23+E24+E25+E26</f>
        <v>0</v>
      </c>
      <c r="F22" s="308"/>
      <c r="G22" s="108">
        <f>SUM(G23:G26)</f>
        <v>82</v>
      </c>
      <c r="H22" s="135"/>
    </row>
    <row r="23" spans="1:8" s="303" customFormat="1" ht="36" x14ac:dyDescent="0.25">
      <c r="A23" s="128"/>
      <c r="B23" s="38" t="s">
        <v>75</v>
      </c>
      <c r="C23" s="306"/>
      <c r="D23" s="307"/>
      <c r="E23" s="307"/>
      <c r="F23" s="307"/>
      <c r="G23" s="108"/>
      <c r="H23" s="135"/>
    </row>
    <row r="24" spans="1:8" s="303" customFormat="1" x14ac:dyDescent="0.25">
      <c r="A24" s="129"/>
      <c r="B24" s="38" t="s">
        <v>76</v>
      </c>
      <c r="C24" s="306"/>
      <c r="D24" s="135"/>
      <c r="E24" s="135"/>
      <c r="F24" s="135"/>
      <c r="G24" s="108"/>
      <c r="H24" s="135"/>
    </row>
    <row r="25" spans="1:8" s="303" customFormat="1" ht="20.100000000000001" customHeight="1" x14ac:dyDescent="0.25">
      <c r="A25" s="128"/>
      <c r="B25" s="38" t="s">
        <v>77</v>
      </c>
      <c r="C25" s="308"/>
      <c r="D25" s="135"/>
      <c r="E25" s="135"/>
      <c r="F25" s="135"/>
      <c r="G25" s="108"/>
      <c r="H25" s="307"/>
    </row>
    <row r="26" spans="1:8" s="303" customFormat="1" ht="72" x14ac:dyDescent="0.25">
      <c r="A26" s="151"/>
      <c r="B26" s="38" t="s">
        <v>78</v>
      </c>
      <c r="C26" s="153"/>
      <c r="D26" s="307"/>
      <c r="E26" s="307"/>
      <c r="F26" s="307"/>
      <c r="G26" s="108">
        <v>82</v>
      </c>
      <c r="H26" s="135"/>
    </row>
    <row r="27" spans="1:8" x14ac:dyDescent="0.3">
      <c r="A27" s="155" t="s">
        <v>79</v>
      </c>
      <c r="B27" s="311" t="s">
        <v>80</v>
      </c>
      <c r="C27" s="308">
        <f>C28+C29+C30+C31+C32</f>
        <v>720</v>
      </c>
      <c r="D27" s="308">
        <f>D28+D29+D30+D31+D32</f>
        <v>720</v>
      </c>
      <c r="E27" s="308">
        <f>E28+E29+E30+E31+E32</f>
        <v>0</v>
      </c>
      <c r="F27" s="308">
        <f>F28+F29+F30+F31+F32</f>
        <v>720</v>
      </c>
      <c r="G27" s="308">
        <f>G28+G29+G30+G31+G32</f>
        <v>1178</v>
      </c>
      <c r="H27" s="68">
        <f>G27/F27</f>
        <v>1.6361111111111111</v>
      </c>
    </row>
    <row r="28" spans="1:8" ht="54" x14ac:dyDescent="0.3">
      <c r="A28" s="128"/>
      <c r="B28" s="152" t="s">
        <v>137</v>
      </c>
      <c r="C28" s="306">
        <v>720</v>
      </c>
      <c r="D28" s="306">
        <v>720</v>
      </c>
      <c r="E28" s="307"/>
      <c r="F28" s="306">
        <f t="shared" ref="F28:F46" si="0">D28+E28</f>
        <v>720</v>
      </c>
      <c r="G28" s="306">
        <v>1178</v>
      </c>
      <c r="H28" s="68">
        <f>G28/F28</f>
        <v>1.6361111111111111</v>
      </c>
    </row>
    <row r="29" spans="1:8" ht="15" customHeight="1" x14ac:dyDescent="0.3">
      <c r="A29" s="128"/>
      <c r="B29" s="152" t="s">
        <v>82</v>
      </c>
      <c r="C29" s="306"/>
      <c r="D29" s="307"/>
      <c r="E29" s="307"/>
      <c r="F29" s="306">
        <f t="shared" si="0"/>
        <v>0</v>
      </c>
      <c r="G29" s="108"/>
      <c r="H29" s="68"/>
    </row>
    <row r="30" spans="1:8" x14ac:dyDescent="0.3">
      <c r="A30" s="128"/>
      <c r="B30" s="152" t="s">
        <v>83</v>
      </c>
      <c r="C30" s="306"/>
      <c r="D30" s="135"/>
      <c r="E30" s="135"/>
      <c r="F30" s="306">
        <f t="shared" si="0"/>
        <v>0</v>
      </c>
      <c r="G30" s="108"/>
      <c r="H30" s="68"/>
    </row>
    <row r="31" spans="1:8" s="297" customFormat="1" x14ac:dyDescent="0.3">
      <c r="A31" s="128"/>
      <c r="B31" s="152" t="s">
        <v>84</v>
      </c>
      <c r="C31" s="306"/>
      <c r="D31" s="135"/>
      <c r="E31" s="135"/>
      <c r="F31" s="306">
        <f t="shared" si="0"/>
        <v>0</v>
      </c>
      <c r="G31" s="108"/>
      <c r="H31" s="68"/>
    </row>
    <row r="32" spans="1:8" s="303" customFormat="1" x14ac:dyDescent="0.3">
      <c r="A32" s="128"/>
      <c r="B32" s="152" t="s">
        <v>85</v>
      </c>
      <c r="C32" s="306"/>
      <c r="D32" s="135"/>
      <c r="E32" s="135"/>
      <c r="F32" s="306">
        <f t="shared" si="0"/>
        <v>0</v>
      </c>
      <c r="G32" s="108"/>
      <c r="H32" s="68"/>
    </row>
    <row r="33" spans="1:8" x14ac:dyDescent="0.3">
      <c r="A33" s="155" t="s">
        <v>86</v>
      </c>
      <c r="B33" s="161" t="s">
        <v>87</v>
      </c>
      <c r="C33" s="306">
        <f>C34+C35</f>
        <v>0</v>
      </c>
      <c r="D33" s="135"/>
      <c r="E33" s="135"/>
      <c r="F33" s="306">
        <f t="shared" si="0"/>
        <v>0</v>
      </c>
      <c r="G33" s="108"/>
      <c r="H33" s="68"/>
    </row>
    <row r="34" spans="1:8" x14ac:dyDescent="0.3">
      <c r="A34" s="129"/>
      <c r="B34" s="152" t="s">
        <v>88</v>
      </c>
      <c r="C34" s="306"/>
      <c r="D34" s="108"/>
      <c r="E34" s="108"/>
      <c r="F34" s="306">
        <f t="shared" si="0"/>
        <v>0</v>
      </c>
      <c r="G34" s="108"/>
      <c r="H34" s="68"/>
    </row>
    <row r="35" spans="1:8" x14ac:dyDescent="0.3">
      <c r="A35" s="130"/>
      <c r="B35" s="152" t="s">
        <v>268</v>
      </c>
      <c r="C35" s="160"/>
      <c r="D35" s="307"/>
      <c r="E35" s="307"/>
      <c r="F35" s="306">
        <f t="shared" si="0"/>
        <v>0</v>
      </c>
      <c r="G35" s="108"/>
      <c r="H35" s="68"/>
    </row>
    <row r="36" spans="1:8" x14ac:dyDescent="0.3">
      <c r="A36" s="312" t="s">
        <v>89</v>
      </c>
      <c r="B36" s="161" t="s">
        <v>90</v>
      </c>
      <c r="C36" s="153">
        <f>C37</f>
        <v>0</v>
      </c>
      <c r="D36" s="135"/>
      <c r="E36" s="135"/>
      <c r="F36" s="306">
        <f t="shared" si="0"/>
        <v>0</v>
      </c>
      <c r="G36" s="108"/>
      <c r="H36" s="68"/>
    </row>
    <row r="37" spans="1:8" x14ac:dyDescent="0.3">
      <c r="A37" s="132"/>
      <c r="B37" s="152" t="s">
        <v>239</v>
      </c>
      <c r="C37" s="306"/>
      <c r="D37" s="135"/>
      <c r="E37" s="135"/>
      <c r="F37" s="306">
        <f t="shared" si="0"/>
        <v>0</v>
      </c>
      <c r="G37" s="108"/>
      <c r="H37" s="68"/>
    </row>
    <row r="38" spans="1:8" x14ac:dyDescent="0.3">
      <c r="A38" s="312" t="s">
        <v>92</v>
      </c>
      <c r="B38" s="161" t="s">
        <v>93</v>
      </c>
      <c r="C38" s="306">
        <f>C39+C40</f>
        <v>0</v>
      </c>
      <c r="D38" s="307"/>
      <c r="E38" s="307"/>
      <c r="F38" s="306">
        <f t="shared" si="0"/>
        <v>0</v>
      </c>
      <c r="G38" s="108"/>
      <c r="H38" s="68"/>
    </row>
    <row r="39" spans="1:8" s="303" customFormat="1" ht="54" x14ac:dyDescent="0.3">
      <c r="A39" s="132"/>
      <c r="B39" s="38" t="s">
        <v>269</v>
      </c>
      <c r="C39" s="306"/>
      <c r="D39" s="307"/>
      <c r="E39" s="307"/>
      <c r="F39" s="306">
        <f t="shared" si="0"/>
        <v>0</v>
      </c>
      <c r="G39" s="108"/>
      <c r="H39" s="68"/>
    </row>
    <row r="40" spans="1:8" x14ac:dyDescent="0.3">
      <c r="A40" s="132"/>
      <c r="B40" s="38" t="s">
        <v>270</v>
      </c>
      <c r="C40" s="306"/>
      <c r="D40" s="307"/>
      <c r="E40" s="307"/>
      <c r="F40" s="306">
        <f t="shared" si="0"/>
        <v>0</v>
      </c>
      <c r="G40" s="108"/>
      <c r="H40" s="68"/>
    </row>
    <row r="41" spans="1:8" ht="39.75" customHeight="1" x14ac:dyDescent="0.3">
      <c r="A41" s="132"/>
      <c r="B41" s="161" t="s">
        <v>96</v>
      </c>
      <c r="C41" s="308">
        <f>C8+C15+C20+C22+C27+C33+C36+C38</f>
        <v>720</v>
      </c>
      <c r="D41" s="308">
        <f>D8+D15+D20+D22+D27+D33+D36+D38</f>
        <v>720</v>
      </c>
      <c r="E41" s="308">
        <f>E8+E15+E20+E22+E27+E33+E36+E38</f>
        <v>0</v>
      </c>
      <c r="F41" s="306">
        <f t="shared" si="0"/>
        <v>720</v>
      </c>
      <c r="G41" s="308">
        <f>G8+G15+G20+G22+G27+G33+G36+G38</f>
        <v>1260</v>
      </c>
      <c r="H41" s="68">
        <f>G41/F41</f>
        <v>1.75</v>
      </c>
    </row>
    <row r="42" spans="1:8" x14ac:dyDescent="0.3">
      <c r="A42" s="312" t="s">
        <v>97</v>
      </c>
      <c r="B42" s="161" t="s">
        <v>271</v>
      </c>
      <c r="C42" s="160">
        <v>187164</v>
      </c>
      <c r="D42" s="160">
        <v>187190</v>
      </c>
      <c r="E42" s="160">
        <f>E77-E41-E43</f>
        <v>-2</v>
      </c>
      <c r="F42" s="308">
        <f t="shared" si="0"/>
        <v>187188</v>
      </c>
      <c r="G42" s="160">
        <v>162429</v>
      </c>
      <c r="H42" s="68">
        <f>G42/F42</f>
        <v>0.86773190589140325</v>
      </c>
    </row>
    <row r="43" spans="1:8" ht="34.799999999999997" x14ac:dyDescent="0.3">
      <c r="A43" s="312" t="s">
        <v>99</v>
      </c>
      <c r="B43" s="161" t="s">
        <v>100</v>
      </c>
      <c r="C43" s="306"/>
      <c r="D43" s="135">
        <v>888</v>
      </c>
      <c r="E43" s="135">
        <v>2</v>
      </c>
      <c r="F43" s="306">
        <f t="shared" si="0"/>
        <v>890</v>
      </c>
      <c r="G43" s="306">
        <v>890</v>
      </c>
      <c r="H43" s="68">
        <f>G43/F43</f>
        <v>1</v>
      </c>
    </row>
    <row r="44" spans="1:8" ht="34.799999999999997" x14ac:dyDescent="0.3">
      <c r="A44" s="312" t="s">
        <v>101</v>
      </c>
      <c r="B44" s="161" t="s">
        <v>102</v>
      </c>
      <c r="C44" s="306"/>
      <c r="D44" s="135"/>
      <c r="E44" s="135"/>
      <c r="F44" s="306">
        <f t="shared" si="0"/>
        <v>0</v>
      </c>
      <c r="G44" s="108"/>
      <c r="H44" s="68"/>
    </row>
    <row r="45" spans="1:8" x14ac:dyDescent="0.3">
      <c r="A45" s="132"/>
      <c r="B45" s="161" t="s">
        <v>103</v>
      </c>
      <c r="C45" s="308">
        <f>C42+C43+C44</f>
        <v>187164</v>
      </c>
      <c r="D45" s="308">
        <f>D42+D43+D44</f>
        <v>188078</v>
      </c>
      <c r="E45" s="308">
        <f>E42+E43+E44</f>
        <v>0</v>
      </c>
      <c r="F45" s="308">
        <f t="shared" si="0"/>
        <v>188078</v>
      </c>
      <c r="G45" s="308">
        <f>G42+G43+G44</f>
        <v>163319</v>
      </c>
      <c r="H45" s="68">
        <f>G45/F45</f>
        <v>0.86835780899414072</v>
      </c>
    </row>
    <row r="46" spans="1:8" x14ac:dyDescent="0.3">
      <c r="A46" s="132"/>
      <c r="B46" s="163" t="s">
        <v>106</v>
      </c>
      <c r="C46" s="308">
        <f>C41+C45</f>
        <v>187884</v>
      </c>
      <c r="D46" s="308">
        <f>D41+D45</f>
        <v>188798</v>
      </c>
      <c r="E46" s="308">
        <f>E41+E45</f>
        <v>0</v>
      </c>
      <c r="F46" s="308">
        <f t="shared" si="0"/>
        <v>188798</v>
      </c>
      <c r="G46" s="308">
        <f>G41+G45</f>
        <v>164579</v>
      </c>
      <c r="H46" s="68">
        <f>G46/F46</f>
        <v>0.87172003940719711</v>
      </c>
    </row>
    <row r="47" spans="1:8" ht="14.25" customHeight="1" x14ac:dyDescent="0.25">
      <c r="A47" s="316"/>
      <c r="B47" s="317"/>
      <c r="C47" s="318"/>
      <c r="D47" s="303"/>
      <c r="E47" s="303"/>
      <c r="F47" s="303"/>
      <c r="G47" s="303"/>
    </row>
    <row r="48" spans="1:8" ht="17.399999999999999" customHeight="1" x14ac:dyDescent="0.25">
      <c r="A48" s="141"/>
      <c r="B48" s="141"/>
      <c r="C48" s="522" t="s">
        <v>50</v>
      </c>
      <c r="D48" s="522"/>
      <c r="E48" s="522"/>
      <c r="F48" s="522"/>
      <c r="G48" s="522"/>
      <c r="H48" s="522"/>
    </row>
    <row r="49" spans="1:8" ht="94.2" customHeight="1" x14ac:dyDescent="0.25">
      <c r="A49" s="320"/>
      <c r="B49" s="320" t="s">
        <v>243</v>
      </c>
      <c r="C49" s="321" t="s">
        <v>272</v>
      </c>
      <c r="D49" s="301" t="s">
        <v>188</v>
      </c>
      <c r="E49" s="301" t="s">
        <v>53</v>
      </c>
      <c r="F49" s="301" t="s">
        <v>54</v>
      </c>
      <c r="G49" s="58" t="s">
        <v>323</v>
      </c>
      <c r="H49" s="302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187884</v>
      </c>
      <c r="D50" s="160">
        <f>D51+D52+D53+D56+D57</f>
        <v>188798</v>
      </c>
      <c r="E50" s="160">
        <f>E51+E52+E53+E56+E57</f>
        <v>0</v>
      </c>
      <c r="F50" s="160">
        <f>F51+F52+F53+F56+F57</f>
        <v>188798</v>
      </c>
      <c r="G50" s="160">
        <f>G51+G52+G53+G56+G57</f>
        <v>162896</v>
      </c>
      <c r="H50" s="68">
        <f>G50/F50</f>
        <v>0.86280575006091165</v>
      </c>
    </row>
    <row r="51" spans="1:8" x14ac:dyDescent="0.3">
      <c r="A51" s="137"/>
      <c r="B51" s="323" t="s">
        <v>109</v>
      </c>
      <c r="C51" s="306">
        <v>138709</v>
      </c>
      <c r="D51" s="306">
        <v>139956</v>
      </c>
      <c r="E51" s="306"/>
      <c r="F51" s="153">
        <f t="shared" ref="F51:F79" si="1">+D51+E51</f>
        <v>139956</v>
      </c>
      <c r="G51" s="160">
        <v>124156</v>
      </c>
      <c r="H51" s="68">
        <f>G51/F51</f>
        <v>0.88710737660407557</v>
      </c>
    </row>
    <row r="52" spans="1:8" ht="36" x14ac:dyDescent="0.3">
      <c r="A52" s="132"/>
      <c r="B52" s="174" t="s">
        <v>110</v>
      </c>
      <c r="C52" s="306">
        <v>24330</v>
      </c>
      <c r="D52" s="306">
        <v>23403</v>
      </c>
      <c r="E52" s="306"/>
      <c r="F52" s="153">
        <f t="shared" si="1"/>
        <v>23403</v>
      </c>
      <c r="G52" s="160">
        <v>22963</v>
      </c>
      <c r="H52" s="68">
        <f>G52/F52</f>
        <v>0.98119899158227575</v>
      </c>
    </row>
    <row r="53" spans="1:8" x14ac:dyDescent="0.3">
      <c r="A53" s="132"/>
      <c r="B53" s="174" t="s">
        <v>111</v>
      </c>
      <c r="C53" s="306">
        <v>24845</v>
      </c>
      <c r="D53" s="306">
        <v>25439</v>
      </c>
      <c r="E53" s="135"/>
      <c r="F53" s="153">
        <f t="shared" si="1"/>
        <v>25439</v>
      </c>
      <c r="G53" s="160">
        <v>15777</v>
      </c>
      <c r="H53" s="68">
        <f>G53/F53</f>
        <v>0.62018947285663739</v>
      </c>
    </row>
    <row r="54" spans="1:8" ht="36" x14ac:dyDescent="0.3">
      <c r="A54" s="132"/>
      <c r="B54" s="174" t="s">
        <v>273</v>
      </c>
      <c r="C54" s="306"/>
      <c r="D54" s="135"/>
      <c r="E54" s="135"/>
      <c r="F54" s="153">
        <f t="shared" si="1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53">
        <f t="shared" si="1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306"/>
      <c r="E56" s="135"/>
      <c r="F56" s="153">
        <f t="shared" si="1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53">
        <f t="shared" si="1"/>
        <v>0</v>
      </c>
      <c r="G57" s="160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53">
        <f t="shared" si="1"/>
        <v>0</v>
      </c>
      <c r="G58" s="108"/>
      <c r="H58" s="68"/>
    </row>
    <row r="59" spans="1:8" ht="36" x14ac:dyDescent="0.3">
      <c r="A59" s="132"/>
      <c r="B59" s="174" t="s">
        <v>117</v>
      </c>
      <c r="C59" s="306"/>
      <c r="D59" s="135"/>
      <c r="E59" s="135"/>
      <c r="F59" s="153">
        <f t="shared" si="1"/>
        <v>0</v>
      </c>
      <c r="G59" s="108"/>
      <c r="H59" s="68"/>
    </row>
    <row r="60" spans="1:8" ht="36" x14ac:dyDescent="0.3">
      <c r="A60" s="132"/>
      <c r="B60" s="174" t="s">
        <v>118</v>
      </c>
      <c r="C60" s="306"/>
      <c r="D60" s="135"/>
      <c r="E60" s="135"/>
      <c r="F60" s="153">
        <f t="shared" si="1"/>
        <v>0</v>
      </c>
      <c r="G60" s="108"/>
      <c r="H60" s="68"/>
    </row>
    <row r="61" spans="1:8" x14ac:dyDescent="0.35">
      <c r="A61" s="132"/>
      <c r="B61" s="328"/>
      <c r="C61" s="306"/>
      <c r="D61" s="135"/>
      <c r="E61" s="135"/>
      <c r="F61" s="153">
        <f t="shared" si="1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35"/>
      <c r="E62" s="135"/>
      <c r="F62" s="153">
        <f t="shared" si="1"/>
        <v>0</v>
      </c>
      <c r="G62" s="108"/>
      <c r="H62" s="68"/>
    </row>
    <row r="63" spans="1:8" x14ac:dyDescent="0.3">
      <c r="A63" s="137"/>
      <c r="B63" s="173" t="s">
        <v>120</v>
      </c>
      <c r="C63" s="306"/>
      <c r="D63" s="135"/>
      <c r="E63" s="135"/>
      <c r="F63" s="153">
        <f t="shared" si="1"/>
        <v>0</v>
      </c>
      <c r="G63" s="108"/>
      <c r="H63" s="68"/>
    </row>
    <row r="64" spans="1:8" ht="36" x14ac:dyDescent="0.3">
      <c r="A64" s="137"/>
      <c r="B64" s="174" t="s">
        <v>245</v>
      </c>
      <c r="C64" s="306"/>
      <c r="D64" s="135"/>
      <c r="E64" s="135"/>
      <c r="F64" s="153">
        <f t="shared" si="1"/>
        <v>0</v>
      </c>
      <c r="G64" s="108"/>
      <c r="H64" s="68"/>
    </row>
    <row r="65" spans="1:8" ht="36" x14ac:dyDescent="0.3">
      <c r="A65" s="137"/>
      <c r="B65" s="174" t="s">
        <v>246</v>
      </c>
      <c r="C65" s="306"/>
      <c r="D65" s="135"/>
      <c r="E65" s="135"/>
      <c r="F65" s="153">
        <f t="shared" si="1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153">
        <f t="shared" si="1"/>
        <v>0</v>
      </c>
      <c r="G66" s="108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53">
        <f t="shared" si="1"/>
        <v>0</v>
      </c>
      <c r="G67" s="108"/>
      <c r="H67" s="68"/>
    </row>
    <row r="68" spans="1:8" ht="36" x14ac:dyDescent="0.3">
      <c r="A68" s="132"/>
      <c r="B68" s="174" t="s">
        <v>125</v>
      </c>
      <c r="C68" s="306"/>
      <c r="D68" s="135"/>
      <c r="E68" s="135"/>
      <c r="F68" s="153">
        <f t="shared" si="1"/>
        <v>0</v>
      </c>
      <c r="G68" s="108"/>
      <c r="H68" s="68"/>
    </row>
    <row r="69" spans="1:8" ht="36" x14ac:dyDescent="0.3">
      <c r="A69" s="132"/>
      <c r="B69" s="174" t="s">
        <v>126</v>
      </c>
      <c r="C69" s="306"/>
      <c r="D69" s="135"/>
      <c r="E69" s="135"/>
      <c r="F69" s="153">
        <f t="shared" si="1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53">
        <f t="shared" si="1"/>
        <v>0</v>
      </c>
      <c r="G70" s="108"/>
      <c r="H70" s="68"/>
    </row>
    <row r="71" spans="1:8" x14ac:dyDescent="0.35">
      <c r="A71" s="32"/>
      <c r="B71" s="183"/>
      <c r="C71" s="2"/>
      <c r="D71" s="135"/>
      <c r="E71" s="135"/>
      <c r="F71" s="153">
        <f t="shared" si="1"/>
        <v>0</v>
      </c>
      <c r="G71" s="108"/>
      <c r="H71" s="68"/>
    </row>
    <row r="72" spans="1:8" x14ac:dyDescent="0.3">
      <c r="A72" s="130"/>
      <c r="B72" s="332" t="s">
        <v>127</v>
      </c>
      <c r="C72" s="160">
        <f>C50+C62</f>
        <v>187884</v>
      </c>
      <c r="D72" s="160">
        <f>D50+D62</f>
        <v>188798</v>
      </c>
      <c r="E72" s="160">
        <f>E50+E62</f>
        <v>0</v>
      </c>
      <c r="F72" s="160">
        <f>+D72+E72</f>
        <v>188798</v>
      </c>
      <c r="G72" s="160">
        <f>G50+G62</f>
        <v>162896</v>
      </c>
      <c r="H72" s="68">
        <f>G72/F72</f>
        <v>0.86280575006091165</v>
      </c>
    </row>
    <row r="73" spans="1:8" x14ac:dyDescent="0.3">
      <c r="A73" s="130"/>
      <c r="B73" s="332"/>
      <c r="C73" s="333"/>
      <c r="D73" s="135"/>
      <c r="E73" s="135"/>
      <c r="F73" s="153">
        <f t="shared" si="1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35"/>
      <c r="E74" s="135"/>
      <c r="F74" s="153">
        <f t="shared" si="1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53">
        <f t="shared" si="1"/>
        <v>0</v>
      </c>
      <c r="G75" s="108"/>
      <c r="H75" s="68"/>
    </row>
    <row r="76" spans="1:8" ht="36" x14ac:dyDescent="0.3">
      <c r="A76" s="132"/>
      <c r="B76" s="323" t="s">
        <v>105</v>
      </c>
      <c r="C76" s="308"/>
      <c r="D76" s="135"/>
      <c r="E76" s="135"/>
      <c r="F76" s="153">
        <f t="shared" si="1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187884</v>
      </c>
      <c r="D77" s="160">
        <f>D50+D62+D74</f>
        <v>188798</v>
      </c>
      <c r="E77" s="160">
        <f>E50+E62+E74</f>
        <v>0</v>
      </c>
      <c r="F77" s="160">
        <f>+D77+E77</f>
        <v>188798</v>
      </c>
      <c r="G77" s="160">
        <f>G50+G62+G74</f>
        <v>162896</v>
      </c>
      <c r="H77" s="68">
        <f>G77/F77</f>
        <v>0.86280575006091165</v>
      </c>
    </row>
    <row r="78" spans="1:8" x14ac:dyDescent="0.3">
      <c r="A78" s="141"/>
      <c r="B78" s="334"/>
      <c r="C78" s="152"/>
      <c r="D78" s="135"/>
      <c r="E78" s="135"/>
      <c r="F78" s="153">
        <f t="shared" si="1"/>
        <v>0</v>
      </c>
      <c r="G78" s="108"/>
      <c r="H78" s="68"/>
    </row>
    <row r="79" spans="1:8" x14ac:dyDescent="0.3">
      <c r="A79" s="142"/>
      <c r="B79" s="335" t="s">
        <v>132</v>
      </c>
      <c r="C79" s="336">
        <v>31</v>
      </c>
      <c r="D79" s="336">
        <v>31</v>
      </c>
      <c r="E79" s="135"/>
      <c r="F79" s="350">
        <f t="shared" si="1"/>
        <v>31</v>
      </c>
      <c r="G79" s="108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135"/>
      <c r="F80" s="351">
        <v>0</v>
      </c>
      <c r="G80" s="108"/>
      <c r="H80" s="68"/>
    </row>
    <row r="84" spans="1:3" x14ac:dyDescent="0.25">
      <c r="B84" s="331" t="s">
        <v>250</v>
      </c>
      <c r="C84" s="280" t="s">
        <v>46</v>
      </c>
    </row>
    <row r="85" spans="1:3" x14ac:dyDescent="0.25">
      <c r="A85" s="280" t="s">
        <v>251</v>
      </c>
      <c r="B85" s="331"/>
    </row>
    <row r="86" spans="1:3" x14ac:dyDescent="0.25">
      <c r="A86" s="338">
        <v>31</v>
      </c>
      <c r="B86" s="331" t="s">
        <v>275</v>
      </c>
      <c r="C86" s="338">
        <f>31*201652/1000</f>
        <v>6251.2120000000004</v>
      </c>
    </row>
    <row r="87" spans="1:3" x14ac:dyDescent="0.25">
      <c r="A87" s="339"/>
      <c r="B87" s="331" t="s">
        <v>276</v>
      </c>
      <c r="C87" s="338">
        <f>C86*0.15</f>
        <v>937.68180000000007</v>
      </c>
    </row>
    <row r="89" spans="1:3" x14ac:dyDescent="0.25">
      <c r="B89" s="280" t="s">
        <v>228</v>
      </c>
      <c r="C89" s="343">
        <f>SUM(C86:C88)</f>
        <v>7188.8938000000007</v>
      </c>
    </row>
  </sheetData>
  <sheetProtection selectLockedCells="1" selectUnlockedCells="1"/>
  <mergeCells count="2">
    <mergeCell ref="D6:H6"/>
    <mergeCell ref="C48:H48"/>
  </mergeCells>
  <pageMargins left="0.75" right="0.75" top="1" bottom="1" header="0.51180555555555551" footer="0.51180555555555551"/>
  <pageSetup paperSize="9" scale="48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90"/>
  <sheetViews>
    <sheetView topLeftCell="A46" zoomScale="50" zoomScaleNormal="50" zoomScaleSheetLayoutView="80" workbookViewId="0">
      <selection activeCell="H42" sqref="H42"/>
    </sheetView>
  </sheetViews>
  <sheetFormatPr defaultColWidth="9.109375" defaultRowHeight="18" x14ac:dyDescent="0.25"/>
  <cols>
    <col min="1" max="1" width="10" style="280" customWidth="1"/>
    <col min="2" max="2" width="61.6640625" style="280" customWidth="1"/>
    <col min="3" max="3" width="21.44140625" style="280" customWidth="1"/>
    <col min="4" max="4" width="13.6640625" style="280" customWidth="1"/>
    <col min="5" max="5" width="21.33203125" style="280" customWidth="1"/>
    <col min="6" max="7" width="14.109375" style="280" customWidth="1"/>
    <col min="8" max="8" width="31.33203125" style="280" customWidth="1"/>
    <col min="9" max="28" width="9.109375" style="280"/>
    <col min="29" max="16384" width="9.109375" style="281"/>
  </cols>
  <sheetData>
    <row r="1" spans="1:28" s="352" customFormat="1" ht="21" customHeight="1" x14ac:dyDescent="0.25">
      <c r="A1" s="284"/>
      <c r="B1" s="345"/>
      <c r="C1" s="346" t="s">
        <v>467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5">
      <c r="A2" s="289"/>
      <c r="B2" s="290" t="s">
        <v>277</v>
      </c>
      <c r="C2" s="347" t="s">
        <v>278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ht="17.399999999999999" x14ac:dyDescent="0.25">
      <c r="A3" s="292"/>
      <c r="B3" s="290" t="s">
        <v>279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4.799999999999997" x14ac:dyDescent="0.25">
      <c r="A5" s="289"/>
      <c r="B5" s="296" t="s">
        <v>234</v>
      </c>
      <c r="C5" s="296" t="s">
        <v>235</v>
      </c>
    </row>
    <row r="6" spans="1:28" s="354" customFormat="1" ht="19.649999999999999" customHeight="1" x14ac:dyDescent="0.25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96.45" customHeight="1" x14ac:dyDescent="0.25">
      <c r="A7" s="299"/>
      <c r="B7" s="299" t="s">
        <v>236</v>
      </c>
      <c r="C7" s="321" t="s">
        <v>49</v>
      </c>
      <c r="D7" s="301" t="s">
        <v>188</v>
      </c>
      <c r="E7" s="301" t="s">
        <v>53</v>
      </c>
      <c r="F7" s="301" t="s">
        <v>54</v>
      </c>
      <c r="G7" s="58" t="s">
        <v>323</v>
      </c>
      <c r="H7" s="302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5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x14ac:dyDescent="0.25">
      <c r="A9" s="151"/>
      <c r="B9" s="152" t="s">
        <v>58</v>
      </c>
      <c r="C9" s="160"/>
      <c r="D9" s="307"/>
      <c r="E9" s="307"/>
      <c r="F9" s="307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6" x14ac:dyDescent="0.25">
      <c r="A10" s="128"/>
      <c r="B10" s="152" t="s">
        <v>59</v>
      </c>
      <c r="C10" s="306"/>
      <c r="D10" s="307"/>
      <c r="E10" s="307"/>
      <c r="F10" s="307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6" x14ac:dyDescent="0.25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6" x14ac:dyDescent="0.25">
      <c r="A12" s="128"/>
      <c r="B12" s="152" t="s">
        <v>61</v>
      </c>
      <c r="C12" s="306"/>
      <c r="D12" s="307"/>
      <c r="E12" s="307"/>
      <c r="F12" s="307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5">
      <c r="A13" s="128"/>
      <c r="B13" s="152" t="s">
        <v>134</v>
      </c>
      <c r="C13" s="306"/>
      <c r="D13" s="307"/>
      <c r="E13" s="307"/>
      <c r="F13" s="307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5">
      <c r="A14" s="128"/>
      <c r="B14" s="152" t="s">
        <v>63</v>
      </c>
      <c r="C14" s="306"/>
      <c r="D14" s="307"/>
      <c r="E14" s="307"/>
      <c r="F14" s="307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4.799999999999997" x14ac:dyDescent="0.25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6" x14ac:dyDescent="0.25">
      <c r="A16" s="151"/>
      <c r="B16" s="152" t="s">
        <v>135</v>
      </c>
      <c r="C16" s="160"/>
      <c r="D16" s="135"/>
      <c r="E16" s="135"/>
      <c r="F16" s="135"/>
      <c r="G16" s="108"/>
      <c r="H16" s="307"/>
    </row>
    <row r="17" spans="1:28" s="355" customFormat="1" ht="36" x14ac:dyDescent="0.25">
      <c r="A17" s="128"/>
      <c r="B17" s="152" t="s">
        <v>157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6" x14ac:dyDescent="0.25">
      <c r="A18" s="128"/>
      <c r="B18" s="152" t="s">
        <v>158</v>
      </c>
      <c r="C18" s="306"/>
      <c r="D18" s="135"/>
      <c r="E18" s="135"/>
      <c r="F18" s="135"/>
      <c r="G18" s="108"/>
      <c r="H18" s="307"/>
    </row>
    <row r="19" spans="1:28" ht="36" x14ac:dyDescent="0.25">
      <c r="A19" s="128"/>
      <c r="B19" s="152" t="s">
        <v>69</v>
      </c>
      <c r="C19" s="306"/>
      <c r="D19" s="135"/>
      <c r="E19" s="135"/>
      <c r="F19" s="135"/>
      <c r="G19" s="108"/>
      <c r="H19" s="307"/>
    </row>
    <row r="20" spans="1:28" ht="34.799999999999997" x14ac:dyDescent="0.25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6" x14ac:dyDescent="0.25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5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6" x14ac:dyDescent="0.25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5">
      <c r="A24" s="129"/>
      <c r="B24" s="38" t="s">
        <v>76</v>
      </c>
      <c r="C24" s="306"/>
      <c r="D24" s="307"/>
      <c r="E24" s="307"/>
      <c r="F24" s="307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5">
      <c r="A25" s="128"/>
      <c r="B25" s="38" t="s">
        <v>77</v>
      </c>
      <c r="C25" s="308"/>
      <c r="D25" s="307"/>
      <c r="E25" s="307"/>
      <c r="F25" s="307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72" x14ac:dyDescent="0.25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25">
      <c r="A27" s="155" t="s">
        <v>79</v>
      </c>
      <c r="B27" s="311" t="s">
        <v>80</v>
      </c>
      <c r="C27" s="306">
        <f>C28+C29+C30+C31+C32</f>
        <v>0</v>
      </c>
      <c r="D27" s="306">
        <f>D28+D29+D30+D31+D32</f>
        <v>0</v>
      </c>
      <c r="E27" s="306">
        <f>E28+E29+E30+E31+E32</f>
        <v>0</v>
      </c>
      <c r="F27" s="306"/>
      <c r="G27" s="108"/>
      <c r="H27" s="135"/>
    </row>
    <row r="28" spans="1:28" ht="54" x14ac:dyDescent="0.25">
      <c r="A28" s="128"/>
      <c r="B28" s="152" t="s">
        <v>137</v>
      </c>
      <c r="C28" s="1"/>
      <c r="D28" s="58"/>
      <c r="E28" s="108"/>
      <c r="F28" s="306"/>
      <c r="G28" s="108"/>
      <c r="H28" s="135"/>
    </row>
    <row r="29" spans="1:28" ht="15" customHeight="1" x14ac:dyDescent="0.25">
      <c r="A29" s="128"/>
      <c r="B29" s="152" t="s">
        <v>82</v>
      </c>
      <c r="C29" s="306"/>
      <c r="D29" s="307"/>
      <c r="E29" s="307"/>
      <c r="F29" s="307"/>
      <c r="G29" s="108"/>
      <c r="H29" s="135"/>
    </row>
    <row r="30" spans="1:28" x14ac:dyDescent="0.25">
      <c r="A30" s="128"/>
      <c r="B30" s="152" t="s">
        <v>83</v>
      </c>
      <c r="C30" s="306"/>
      <c r="D30" s="135"/>
      <c r="E30" s="135"/>
      <c r="F30" s="135"/>
      <c r="G30" s="108"/>
      <c r="H30" s="135"/>
    </row>
    <row r="31" spans="1:28" s="354" customFormat="1" x14ac:dyDescent="0.25">
      <c r="A31" s="128"/>
      <c r="B31" s="152" t="s">
        <v>84</v>
      </c>
      <c r="C31" s="306"/>
      <c r="D31" s="135"/>
      <c r="E31" s="135"/>
      <c r="F31" s="135"/>
      <c r="G31" s="108"/>
      <c r="H31" s="135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25">
      <c r="A32" s="128"/>
      <c r="B32" s="152" t="s">
        <v>85</v>
      </c>
      <c r="C32" s="306"/>
      <c r="D32" s="135"/>
      <c r="E32" s="135"/>
      <c r="F32" s="135"/>
      <c r="G32" s="108"/>
      <c r="H32" s="135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25">
      <c r="A33" s="155" t="s">
        <v>86</v>
      </c>
      <c r="B33" s="161" t="s">
        <v>87</v>
      </c>
      <c r="C33" s="306">
        <f>C34+C35</f>
        <v>0</v>
      </c>
      <c r="D33" s="135"/>
      <c r="E33" s="135"/>
      <c r="F33" s="135"/>
      <c r="G33" s="108"/>
      <c r="H33" s="135"/>
    </row>
    <row r="34" spans="1:28" x14ac:dyDescent="0.25">
      <c r="A34" s="129"/>
      <c r="B34" s="152" t="s">
        <v>88</v>
      </c>
      <c r="C34" s="306"/>
      <c r="D34" s="135"/>
      <c r="E34" s="135"/>
      <c r="F34" s="135"/>
      <c r="G34" s="108"/>
      <c r="H34" s="135"/>
    </row>
    <row r="35" spans="1:28" x14ac:dyDescent="0.25">
      <c r="A35" s="130"/>
      <c r="B35" s="152" t="s">
        <v>268</v>
      </c>
      <c r="C35" s="160"/>
      <c r="D35" s="135"/>
      <c r="E35" s="135"/>
      <c r="F35" s="135"/>
      <c r="G35" s="108"/>
      <c r="H35" s="135"/>
    </row>
    <row r="36" spans="1:28" x14ac:dyDescent="0.25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153">
        <f>F37</f>
        <v>0</v>
      </c>
      <c r="G36" s="108"/>
      <c r="H36" s="135"/>
    </row>
    <row r="37" spans="1:28" x14ac:dyDescent="0.25">
      <c r="A37" s="132"/>
      <c r="B37" s="152" t="s">
        <v>239</v>
      </c>
      <c r="C37" s="306"/>
      <c r="D37" s="135"/>
      <c r="E37" s="135"/>
      <c r="F37" s="135"/>
      <c r="G37" s="108"/>
      <c r="H37" s="135"/>
    </row>
    <row r="38" spans="1:28" x14ac:dyDescent="0.25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6">
        <f>F39+F40</f>
        <v>0</v>
      </c>
      <c r="G38" s="108"/>
      <c r="H38" s="135"/>
    </row>
    <row r="39" spans="1:28" s="355" customFormat="1" ht="54" x14ac:dyDescent="0.25">
      <c r="A39" s="132"/>
      <c r="B39" s="38" t="s">
        <v>269</v>
      </c>
      <c r="C39" s="306"/>
      <c r="D39" s="307"/>
      <c r="E39" s="307"/>
      <c r="F39" s="307"/>
      <c r="G39" s="108"/>
      <c r="H39" s="135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25">
      <c r="A40" s="132"/>
      <c r="B40" s="38" t="s">
        <v>270</v>
      </c>
      <c r="C40" s="306"/>
      <c r="D40" s="135"/>
      <c r="E40" s="135"/>
      <c r="F40" s="135"/>
      <c r="G40" s="108"/>
      <c r="H40" s="135"/>
    </row>
    <row r="41" spans="1:28" x14ac:dyDescent="0.25">
      <c r="A41" s="132"/>
      <c r="B41" s="161" t="s">
        <v>96</v>
      </c>
      <c r="C41" s="306">
        <f>C8+C15+C20+C22+C27+C33+C36+C38</f>
        <v>0</v>
      </c>
      <c r="D41" s="306">
        <f>D8+D15+D20+D22+D27+D33+D36+D38</f>
        <v>0</v>
      </c>
      <c r="E41" s="306">
        <f>E8+E15+E20+E22+E27+E33+E36+E38</f>
        <v>0</v>
      </c>
      <c r="F41" s="306">
        <f>F8+F15+F20+F22+F27+F33+F36+F38</f>
        <v>0</v>
      </c>
      <c r="G41" s="108"/>
      <c r="H41" s="135"/>
    </row>
    <row r="42" spans="1:28" x14ac:dyDescent="0.3">
      <c r="A42" s="312" t="s">
        <v>97</v>
      </c>
      <c r="B42" s="161" t="s">
        <v>271</v>
      </c>
      <c r="C42" s="160">
        <f>C77-C41</f>
        <v>139968</v>
      </c>
      <c r="D42" s="160">
        <f>D77-D41-D43</f>
        <v>142635</v>
      </c>
      <c r="E42" s="160">
        <f>E77-E41-E43</f>
        <v>1</v>
      </c>
      <c r="F42" s="160">
        <f>F77-F41-F43</f>
        <v>142636</v>
      </c>
      <c r="G42" s="160">
        <v>120349</v>
      </c>
      <c r="H42" s="68">
        <f>G42/F42</f>
        <v>0.84374912364339993</v>
      </c>
    </row>
    <row r="43" spans="1:28" ht="34.799999999999997" x14ac:dyDescent="0.3">
      <c r="A43" s="312" t="s">
        <v>99</v>
      </c>
      <c r="B43" s="161" t="s">
        <v>100</v>
      </c>
      <c r="C43" s="306"/>
      <c r="D43" s="356">
        <v>285</v>
      </c>
      <c r="E43" s="356">
        <v>-1</v>
      </c>
      <c r="F43" s="160">
        <f>D43+E43</f>
        <v>284</v>
      </c>
      <c r="G43" s="160">
        <v>284</v>
      </c>
      <c r="H43" s="68">
        <f>G43/F43</f>
        <v>1</v>
      </c>
    </row>
    <row r="44" spans="1:28" ht="34.799999999999997" x14ac:dyDescent="0.3">
      <c r="A44" s="312" t="s">
        <v>101</v>
      </c>
      <c r="B44" s="161" t="s">
        <v>102</v>
      </c>
      <c r="C44" s="306"/>
      <c r="D44" s="135"/>
      <c r="E44" s="135"/>
      <c r="F44" s="153">
        <f>D44+E44</f>
        <v>0</v>
      </c>
      <c r="G44" s="108"/>
      <c r="H44" s="68"/>
    </row>
    <row r="45" spans="1:28" x14ac:dyDescent="0.3">
      <c r="A45" s="132"/>
      <c r="B45" s="161" t="s">
        <v>103</v>
      </c>
      <c r="C45" s="308">
        <f>C42+C43+C44</f>
        <v>139968</v>
      </c>
      <c r="D45" s="308">
        <f>D42+D43+D44</f>
        <v>142920</v>
      </c>
      <c r="E45" s="308">
        <f>E42+E43+E44</f>
        <v>0</v>
      </c>
      <c r="F45" s="160">
        <f>D45+E45</f>
        <v>142920</v>
      </c>
      <c r="G45" s="308">
        <f>G42+G43+G44</f>
        <v>120633</v>
      </c>
      <c r="H45" s="68">
        <f>G45/F45</f>
        <v>0.84405961376994121</v>
      </c>
    </row>
    <row r="46" spans="1:28" ht="15" customHeight="1" x14ac:dyDescent="0.3">
      <c r="A46" s="132"/>
      <c r="B46" s="163" t="s">
        <v>106</v>
      </c>
      <c r="C46" s="308">
        <f>C41+C45</f>
        <v>139968</v>
      </c>
      <c r="D46" s="308">
        <f>D41+D45</f>
        <v>142920</v>
      </c>
      <c r="E46" s="308">
        <f>E41+E45</f>
        <v>0</v>
      </c>
      <c r="F46" s="160">
        <f>D46+E46</f>
        <v>142920</v>
      </c>
      <c r="G46" s="308">
        <f>G41+G45</f>
        <v>120633</v>
      </c>
      <c r="H46" s="68">
        <f>G46/F46</f>
        <v>0.84405961376994121</v>
      </c>
    </row>
    <row r="47" spans="1:28" ht="14.25" customHeight="1" x14ac:dyDescent="0.25">
      <c r="A47" s="316"/>
      <c r="B47" s="317"/>
      <c r="C47" s="318"/>
    </row>
    <row r="48" spans="1:28" ht="17.399999999999999" customHeight="1" x14ac:dyDescent="0.25">
      <c r="A48" s="141"/>
      <c r="B48" s="141"/>
      <c r="C48" s="152"/>
      <c r="D48" s="522" t="s">
        <v>50</v>
      </c>
      <c r="E48" s="522"/>
      <c r="F48" s="522"/>
    </row>
    <row r="49" spans="1:8" ht="78" customHeight="1" x14ac:dyDescent="0.25">
      <c r="A49" s="320"/>
      <c r="B49" s="320" t="s">
        <v>243</v>
      </c>
      <c r="C49" s="321" t="s">
        <v>272</v>
      </c>
      <c r="D49" s="301" t="s">
        <v>188</v>
      </c>
      <c r="E49" s="301" t="s">
        <v>53</v>
      </c>
      <c r="F49" s="301" t="s">
        <v>54</v>
      </c>
      <c r="G49" s="58" t="s">
        <v>323</v>
      </c>
      <c r="H49" s="302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139968</v>
      </c>
      <c r="D50" s="160">
        <f>D51+D52+D53+D56+D57</f>
        <v>142920</v>
      </c>
      <c r="E50" s="160">
        <f>E51+E52+E53+E56+E57</f>
        <v>0</v>
      </c>
      <c r="F50" s="160">
        <f>F51+F52+F53+F56+F57</f>
        <v>142920</v>
      </c>
      <c r="G50" s="160">
        <f>G51+G52+G53+G56+G57</f>
        <v>120067</v>
      </c>
      <c r="H50" s="68">
        <f>G50/F50</f>
        <v>0.8400993562832354</v>
      </c>
    </row>
    <row r="51" spans="1:8" x14ac:dyDescent="0.3">
      <c r="A51" s="137"/>
      <c r="B51" s="323" t="s">
        <v>109</v>
      </c>
      <c r="C51" s="306">
        <v>109271</v>
      </c>
      <c r="D51" s="306">
        <v>112720</v>
      </c>
      <c r="E51" s="135"/>
      <c r="F51" s="357">
        <f t="shared" ref="F51:F71" si="0">D51+E51</f>
        <v>112720</v>
      </c>
      <c r="G51" s="153">
        <v>97027</v>
      </c>
      <c r="H51" s="68">
        <f>G51/F51</f>
        <v>0.86077892122072397</v>
      </c>
    </row>
    <row r="52" spans="1:8" ht="36" x14ac:dyDescent="0.3">
      <c r="A52" s="132"/>
      <c r="B52" s="174" t="s">
        <v>110</v>
      </c>
      <c r="C52" s="306">
        <v>21079</v>
      </c>
      <c r="D52" s="306">
        <v>20610</v>
      </c>
      <c r="E52" s="135"/>
      <c r="F52" s="357">
        <f t="shared" si="0"/>
        <v>20610</v>
      </c>
      <c r="G52" s="153">
        <v>16591</v>
      </c>
      <c r="H52" s="68">
        <f>G52/F52</f>
        <v>0.80499757399320715</v>
      </c>
    </row>
    <row r="53" spans="1:8" x14ac:dyDescent="0.3">
      <c r="A53" s="132"/>
      <c r="B53" s="174" t="s">
        <v>111</v>
      </c>
      <c r="C53" s="306">
        <v>9618</v>
      </c>
      <c r="D53" s="306">
        <v>9590</v>
      </c>
      <c r="E53" s="358"/>
      <c r="F53" s="357">
        <f t="shared" si="0"/>
        <v>9590</v>
      </c>
      <c r="G53" s="153">
        <v>6449</v>
      </c>
      <c r="H53" s="68">
        <f>G53/F53</f>
        <v>0.67247132429614176</v>
      </c>
    </row>
    <row r="54" spans="1:8" ht="36" x14ac:dyDescent="0.3">
      <c r="A54" s="132"/>
      <c r="B54" s="174" t="s">
        <v>273</v>
      </c>
      <c r="C54" s="306"/>
      <c r="D54" s="135"/>
      <c r="E54" s="135"/>
      <c r="F54" s="357">
        <f t="shared" si="0"/>
        <v>0</v>
      </c>
      <c r="G54" s="160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357">
        <f t="shared" si="0"/>
        <v>0</v>
      </c>
      <c r="G55" s="160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357">
        <f t="shared" si="0"/>
        <v>0</v>
      </c>
      <c r="G56" s="160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357">
        <f t="shared" si="0"/>
        <v>0</v>
      </c>
      <c r="G57" s="160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357">
        <f t="shared" si="0"/>
        <v>0</v>
      </c>
      <c r="G58" s="160"/>
      <c r="H58" s="68"/>
    </row>
    <row r="59" spans="1:8" ht="36" x14ac:dyDescent="0.3">
      <c r="A59" s="132"/>
      <c r="B59" s="174" t="s">
        <v>117</v>
      </c>
      <c r="C59" s="306"/>
      <c r="D59" s="135"/>
      <c r="E59" s="135"/>
      <c r="F59" s="357">
        <f t="shared" si="0"/>
        <v>0</v>
      </c>
      <c r="G59" s="160"/>
      <c r="H59" s="68"/>
    </row>
    <row r="60" spans="1:8" ht="36" x14ac:dyDescent="0.3">
      <c r="A60" s="132"/>
      <c r="B60" s="174" t="s">
        <v>118</v>
      </c>
      <c r="C60" s="306"/>
      <c r="D60" s="135"/>
      <c r="E60" s="135"/>
      <c r="F60" s="357">
        <f t="shared" si="0"/>
        <v>0</v>
      </c>
      <c r="G60" s="160"/>
      <c r="H60" s="68"/>
    </row>
    <row r="61" spans="1:8" x14ac:dyDescent="0.35">
      <c r="A61" s="132"/>
      <c r="B61" s="328"/>
      <c r="C61" s="306"/>
      <c r="D61" s="135"/>
      <c r="E61" s="135"/>
      <c r="F61" s="357">
        <f t="shared" si="0"/>
        <v>0</v>
      </c>
      <c r="G61" s="160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>E63+E66+E67+E70</f>
        <v>0</v>
      </c>
      <c r="F62" s="357">
        <f t="shared" si="0"/>
        <v>0</v>
      </c>
      <c r="G62" s="160"/>
      <c r="H62" s="68"/>
    </row>
    <row r="63" spans="1:8" x14ac:dyDescent="0.3">
      <c r="A63" s="137"/>
      <c r="B63" s="173" t="s">
        <v>120</v>
      </c>
      <c r="C63" s="306"/>
      <c r="D63" s="135"/>
      <c r="E63" s="135"/>
      <c r="F63" s="357">
        <f t="shared" si="0"/>
        <v>0</v>
      </c>
      <c r="G63" s="160"/>
      <c r="H63" s="68"/>
    </row>
    <row r="64" spans="1:8" ht="36" x14ac:dyDescent="0.3">
      <c r="A64" s="137"/>
      <c r="B64" s="174" t="s">
        <v>245</v>
      </c>
      <c r="C64" s="306"/>
      <c r="D64" s="135"/>
      <c r="E64" s="135"/>
      <c r="F64" s="357">
        <f t="shared" si="0"/>
        <v>0</v>
      </c>
      <c r="G64" s="160"/>
      <c r="H64" s="68"/>
    </row>
    <row r="65" spans="1:8" ht="36" x14ac:dyDescent="0.3">
      <c r="A65" s="137"/>
      <c r="B65" s="174" t="s">
        <v>246</v>
      </c>
      <c r="C65" s="306"/>
      <c r="D65" s="135"/>
      <c r="E65" s="135"/>
      <c r="F65" s="357">
        <f t="shared" si="0"/>
        <v>0</v>
      </c>
      <c r="G65" s="160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357">
        <f t="shared" si="0"/>
        <v>0</v>
      </c>
      <c r="G66" s="160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357">
        <f t="shared" si="0"/>
        <v>0</v>
      </c>
      <c r="G67" s="160"/>
      <c r="H67" s="68"/>
    </row>
    <row r="68" spans="1:8" ht="36" x14ac:dyDescent="0.3">
      <c r="A68" s="132"/>
      <c r="B68" s="174" t="s">
        <v>125</v>
      </c>
      <c r="C68" s="306"/>
      <c r="D68" s="135"/>
      <c r="E68" s="135"/>
      <c r="F68" s="357">
        <f t="shared" si="0"/>
        <v>0</v>
      </c>
      <c r="G68" s="160"/>
      <c r="H68" s="68"/>
    </row>
    <row r="69" spans="1:8" ht="36" x14ac:dyDescent="0.3">
      <c r="A69" s="132"/>
      <c r="B69" s="174" t="s">
        <v>126</v>
      </c>
      <c r="C69" s="306"/>
      <c r="D69" s="135"/>
      <c r="E69" s="135"/>
      <c r="F69" s="357">
        <f t="shared" si="0"/>
        <v>0</v>
      </c>
      <c r="G69" s="160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357">
        <f t="shared" si="0"/>
        <v>0</v>
      </c>
      <c r="G70" s="160"/>
      <c r="H70" s="68"/>
    </row>
    <row r="71" spans="1:8" x14ac:dyDescent="0.35">
      <c r="A71" s="32"/>
      <c r="B71" s="183"/>
      <c r="C71" s="2"/>
      <c r="D71" s="135"/>
      <c r="E71" s="135"/>
      <c r="F71" s="357">
        <f t="shared" si="0"/>
        <v>0</v>
      </c>
      <c r="G71" s="160"/>
      <c r="H71" s="68"/>
    </row>
    <row r="72" spans="1:8" x14ac:dyDescent="0.3">
      <c r="A72" s="130"/>
      <c r="B72" s="332" t="s">
        <v>127</v>
      </c>
      <c r="C72" s="160">
        <f>C50+C62</f>
        <v>139968</v>
      </c>
      <c r="D72" s="160">
        <f>D50+D62</f>
        <v>142920</v>
      </c>
      <c r="E72" s="160">
        <f>E50+E62</f>
        <v>0</v>
      </c>
      <c r="F72" s="160">
        <f>F50+F62</f>
        <v>142920</v>
      </c>
      <c r="G72" s="160">
        <f>G50+G62</f>
        <v>120067</v>
      </c>
      <c r="H72" s="68">
        <f>G72/F72</f>
        <v>0.8400993562832354</v>
      </c>
    </row>
    <row r="73" spans="1:8" x14ac:dyDescent="0.3">
      <c r="A73" s="130"/>
      <c r="B73" s="332"/>
      <c r="C73" s="333"/>
      <c r="D73" s="135"/>
      <c r="E73" s="135"/>
      <c r="F73" s="357">
        <f t="shared" ref="F73:F80" si="1">D73+E73</f>
        <v>0</v>
      </c>
      <c r="G73" s="160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35"/>
      <c r="E74" s="135"/>
      <c r="F74" s="357">
        <f t="shared" si="1"/>
        <v>0</v>
      </c>
      <c r="G74" s="160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357">
        <f t="shared" si="1"/>
        <v>0</v>
      </c>
      <c r="G75" s="160"/>
      <c r="H75" s="68"/>
    </row>
    <row r="76" spans="1:8" ht="36" x14ac:dyDescent="0.3">
      <c r="A76" s="132"/>
      <c r="B76" s="323" t="s">
        <v>105</v>
      </c>
      <c r="C76" s="308"/>
      <c r="D76" s="135"/>
      <c r="E76" s="135"/>
      <c r="F76" s="357">
        <f t="shared" si="1"/>
        <v>0</v>
      </c>
      <c r="G76" s="160"/>
      <c r="H76" s="68"/>
    </row>
    <row r="77" spans="1:8" x14ac:dyDescent="0.3">
      <c r="A77" s="140"/>
      <c r="B77" s="179" t="s">
        <v>248</v>
      </c>
      <c r="C77" s="160">
        <f>C50+C62+C74</f>
        <v>139968</v>
      </c>
      <c r="D77" s="160">
        <f>D50+D62+D74</f>
        <v>142920</v>
      </c>
      <c r="E77" s="160">
        <f>E50+E62+E74</f>
        <v>0</v>
      </c>
      <c r="F77" s="359">
        <f t="shared" si="1"/>
        <v>142920</v>
      </c>
      <c r="G77" s="160">
        <f>G50+G62+G74</f>
        <v>120067</v>
      </c>
      <c r="H77" s="68">
        <f>G77/F77</f>
        <v>0.8400993562832354</v>
      </c>
    </row>
    <row r="78" spans="1:8" x14ac:dyDescent="0.3">
      <c r="A78" s="141"/>
      <c r="B78" s="334"/>
      <c r="C78" s="152"/>
      <c r="D78" s="135"/>
      <c r="E78" s="135"/>
      <c r="F78" s="357">
        <f t="shared" si="1"/>
        <v>0</v>
      </c>
      <c r="G78" s="160"/>
      <c r="H78" s="68"/>
    </row>
    <row r="79" spans="1:8" x14ac:dyDescent="0.3">
      <c r="A79" s="142"/>
      <c r="B79" s="335" t="s">
        <v>132</v>
      </c>
      <c r="C79" s="336">
        <v>28.5</v>
      </c>
      <c r="D79" s="336">
        <v>31.5</v>
      </c>
      <c r="E79" s="336"/>
      <c r="F79" s="336">
        <f t="shared" si="1"/>
        <v>31.5</v>
      </c>
      <c r="G79" s="160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f t="shared" si="1"/>
        <v>0</v>
      </c>
      <c r="G80" s="160"/>
      <c r="H80" s="68"/>
    </row>
    <row r="85" spans="2:3" x14ac:dyDescent="0.25">
      <c r="B85" s="331"/>
    </row>
    <row r="86" spans="2:3" x14ac:dyDescent="0.25">
      <c r="B86" s="331"/>
    </row>
    <row r="88" spans="2:3" x14ac:dyDescent="0.25">
      <c r="C88" s="338"/>
    </row>
    <row r="90" spans="2:3" x14ac:dyDescent="0.25">
      <c r="B90" s="341"/>
      <c r="C90" s="343"/>
    </row>
  </sheetData>
  <sheetProtection selectLockedCells="1" selectUnlockedCells="1"/>
  <mergeCells count="2">
    <mergeCell ref="D6:F6"/>
    <mergeCell ref="D48:F48"/>
  </mergeCells>
  <pageMargins left="0.74791666666666667" right="0.74791666666666667" top="0.98402777777777772" bottom="0.98402777777777772" header="0.51180555555555551" footer="0.51180555555555551"/>
  <pageSetup paperSize="9" scale="46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B87"/>
  <sheetViews>
    <sheetView topLeftCell="A28" zoomScale="50" zoomScaleNormal="50" zoomScaleSheetLayoutView="80" workbookViewId="0">
      <selection activeCell="G53" sqref="G53"/>
    </sheetView>
  </sheetViews>
  <sheetFormatPr defaultColWidth="9.109375" defaultRowHeight="18" x14ac:dyDescent="0.25"/>
  <cols>
    <col min="1" max="1" width="10.44140625" style="280" customWidth="1"/>
    <col min="2" max="2" width="61.6640625" style="280" customWidth="1"/>
    <col min="3" max="3" width="21.44140625" style="280" customWidth="1"/>
    <col min="4" max="4" width="13.33203125" style="280" customWidth="1"/>
    <col min="5" max="6" width="13.6640625" style="280" customWidth="1"/>
    <col min="7" max="7" width="15.33203125" style="280" customWidth="1"/>
    <col min="8" max="8" width="21.44140625" style="280" customWidth="1"/>
    <col min="9" max="28" width="9.109375" style="280"/>
    <col min="29" max="16384" width="9.109375" style="281"/>
  </cols>
  <sheetData>
    <row r="1" spans="1:28" s="352" customFormat="1" ht="21" customHeight="1" x14ac:dyDescent="0.25">
      <c r="A1" s="284"/>
      <c r="B1" s="345"/>
      <c r="C1" s="346" t="s">
        <v>468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5">
      <c r="A2" s="289"/>
      <c r="B2" s="290" t="s">
        <v>277</v>
      </c>
      <c r="C2" s="347" t="s">
        <v>280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ht="17.399999999999999" x14ac:dyDescent="0.25">
      <c r="A3" s="292"/>
      <c r="B3" s="290" t="s">
        <v>281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4.799999999999997" x14ac:dyDescent="0.25">
      <c r="A5" s="289"/>
      <c r="B5" s="296" t="s">
        <v>234</v>
      </c>
      <c r="C5" s="296" t="s">
        <v>235</v>
      </c>
      <c r="D5" s="540" t="s">
        <v>50</v>
      </c>
      <c r="E5" s="540"/>
      <c r="F5" s="540"/>
      <c r="G5" s="540"/>
      <c r="H5" s="540"/>
    </row>
    <row r="6" spans="1:28" s="354" customFormat="1" ht="46.8" x14ac:dyDescent="0.25">
      <c r="A6" s="299"/>
      <c r="B6" s="299" t="s">
        <v>236</v>
      </c>
      <c r="C6" s="321" t="s">
        <v>282</v>
      </c>
      <c r="D6" s="301" t="s">
        <v>188</v>
      </c>
      <c r="E6" s="301" t="s">
        <v>53</v>
      </c>
      <c r="F6" s="301" t="s">
        <v>54</v>
      </c>
      <c r="G6" s="58" t="s">
        <v>323</v>
      </c>
      <c r="H6" s="302" t="s">
        <v>55</v>
      </c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5" customFormat="1" x14ac:dyDescent="0.25">
      <c r="A7" s="289" t="s">
        <v>56</v>
      </c>
      <c r="B7" s="163" t="s">
        <v>57</v>
      </c>
      <c r="C7" s="160">
        <f>C8+C9+C10+C11+C12+C13</f>
        <v>0</v>
      </c>
      <c r="D7" s="160">
        <f>D8+D9+D10+D11+D12+D13</f>
        <v>0</v>
      </c>
      <c r="E7" s="160">
        <f>E8+E9+E10+E11+E12+E13</f>
        <v>0</v>
      </c>
      <c r="F7" s="160">
        <f>F8+F9+F10+F11+F12+F13</f>
        <v>0</v>
      </c>
      <c r="G7" s="108"/>
      <c r="H7" s="307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</row>
    <row r="8" spans="1:28" s="355" customFormat="1" x14ac:dyDescent="0.25">
      <c r="A8" s="151"/>
      <c r="B8" s="152" t="s">
        <v>58</v>
      </c>
      <c r="C8" s="160"/>
      <c r="D8" s="307"/>
      <c r="E8" s="307"/>
      <c r="F8" s="307"/>
      <c r="G8" s="108"/>
      <c r="H8" s="135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6" x14ac:dyDescent="0.25">
      <c r="A9" s="128"/>
      <c r="B9" s="152" t="s">
        <v>59</v>
      </c>
      <c r="C9" s="306"/>
      <c r="D9" s="307"/>
      <c r="E9" s="307"/>
      <c r="F9" s="307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6" x14ac:dyDescent="0.25">
      <c r="A10" s="128"/>
      <c r="B10" s="152" t="s">
        <v>60</v>
      </c>
      <c r="C10" s="306"/>
      <c r="D10" s="307"/>
      <c r="E10" s="307"/>
      <c r="F10" s="307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6" x14ac:dyDescent="0.25">
      <c r="A11" s="128"/>
      <c r="B11" s="152" t="s">
        <v>61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x14ac:dyDescent="0.25">
      <c r="A12" s="128"/>
      <c r="B12" s="152" t="s">
        <v>134</v>
      </c>
      <c r="C12" s="306"/>
      <c r="D12" s="307"/>
      <c r="E12" s="307"/>
      <c r="F12" s="307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5">
      <c r="A13" s="128"/>
      <c r="B13" s="152" t="s">
        <v>63</v>
      </c>
      <c r="C13" s="306"/>
      <c r="D13" s="307"/>
      <c r="E13" s="307"/>
      <c r="F13" s="307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ht="34.799999999999997" x14ac:dyDescent="0.25">
      <c r="A14" s="128" t="s">
        <v>64</v>
      </c>
      <c r="B14" s="163" t="s">
        <v>65</v>
      </c>
      <c r="C14" s="306">
        <f>C15+C16+C17+C18</f>
        <v>0</v>
      </c>
      <c r="D14" s="306">
        <f>D15+D16+D17+D18</f>
        <v>0</v>
      </c>
      <c r="E14" s="306">
        <f>E15+E16+E17+E18</f>
        <v>0</v>
      </c>
      <c r="F14" s="306">
        <f>F15+F16+F17+F18</f>
        <v>0</v>
      </c>
      <c r="G14" s="108"/>
      <c r="H14" s="307"/>
    </row>
    <row r="15" spans="1:28" ht="36" x14ac:dyDescent="0.25">
      <c r="A15" s="151"/>
      <c r="B15" s="152" t="s">
        <v>135</v>
      </c>
      <c r="C15" s="160"/>
      <c r="D15" s="135"/>
      <c r="E15" s="135"/>
      <c r="F15" s="135"/>
      <c r="G15" s="108"/>
      <c r="H15" s="307"/>
    </row>
    <row r="16" spans="1:28" s="355" customFormat="1" ht="36" x14ac:dyDescent="0.25">
      <c r="A16" s="128"/>
      <c r="B16" s="152" t="s">
        <v>157</v>
      </c>
      <c r="C16" s="306"/>
      <c r="D16" s="307"/>
      <c r="E16" s="307"/>
      <c r="F16" s="307"/>
      <c r="G16" s="108"/>
      <c r="H16" s="307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</row>
    <row r="17" spans="1:28" ht="36" x14ac:dyDescent="0.25">
      <c r="A17" s="128"/>
      <c r="B17" s="152" t="s">
        <v>158</v>
      </c>
      <c r="C17" s="306"/>
      <c r="D17" s="135"/>
      <c r="E17" s="135"/>
      <c r="F17" s="135"/>
      <c r="G17" s="108"/>
      <c r="H17" s="307"/>
    </row>
    <row r="18" spans="1:28" ht="36" x14ac:dyDescent="0.25">
      <c r="A18" s="128"/>
      <c r="B18" s="152" t="s">
        <v>69</v>
      </c>
      <c r="C18" s="306"/>
      <c r="D18" s="135"/>
      <c r="E18" s="135"/>
      <c r="F18" s="135"/>
      <c r="G18" s="108"/>
      <c r="H18" s="307"/>
    </row>
    <row r="19" spans="1:28" ht="34.799999999999997" x14ac:dyDescent="0.25">
      <c r="A19" s="128" t="s">
        <v>70</v>
      </c>
      <c r="B19" s="161" t="s">
        <v>71</v>
      </c>
      <c r="C19" s="306">
        <f>C20</f>
        <v>0</v>
      </c>
      <c r="D19" s="306">
        <f>D20</f>
        <v>0</v>
      </c>
      <c r="E19" s="306">
        <f>E20</f>
        <v>0</v>
      </c>
      <c r="F19" s="306">
        <f>F20</f>
        <v>0</v>
      </c>
      <c r="G19" s="108"/>
      <c r="H19" s="307"/>
    </row>
    <row r="20" spans="1:28" ht="36" x14ac:dyDescent="0.25">
      <c r="A20" s="128"/>
      <c r="B20" s="309" t="s">
        <v>267</v>
      </c>
      <c r="C20" s="306"/>
      <c r="D20" s="135"/>
      <c r="E20" s="135"/>
      <c r="F20" s="135"/>
      <c r="G20" s="108"/>
      <c r="H20" s="307"/>
    </row>
    <row r="21" spans="1:28" x14ac:dyDescent="0.25">
      <c r="A21" s="155" t="s">
        <v>73</v>
      </c>
      <c r="B21" s="161" t="s">
        <v>74</v>
      </c>
      <c r="C21" s="306">
        <f>C22+C23+C24+C25</f>
        <v>0</v>
      </c>
      <c r="D21" s="306">
        <f>D22+D23+D24+D25</f>
        <v>0</v>
      </c>
      <c r="E21" s="306">
        <f>E22+E23+E24+E25</f>
        <v>0</v>
      </c>
      <c r="F21" s="306">
        <f>F22+F23+F24+F25</f>
        <v>0</v>
      </c>
      <c r="G21" s="108"/>
      <c r="H21" s="135"/>
    </row>
    <row r="22" spans="1:28" s="355" customFormat="1" ht="36" x14ac:dyDescent="0.25">
      <c r="A22" s="128"/>
      <c r="B22" s="38" t="s">
        <v>75</v>
      </c>
      <c r="C22" s="306"/>
      <c r="D22" s="135"/>
      <c r="E22" s="135"/>
      <c r="F22" s="135"/>
      <c r="G22" s="108"/>
      <c r="H22" s="135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</row>
    <row r="23" spans="1:28" s="355" customFormat="1" x14ac:dyDescent="0.25">
      <c r="A23" s="129"/>
      <c r="B23" s="38" t="s">
        <v>76</v>
      </c>
      <c r="C23" s="306"/>
      <c r="D23" s="135"/>
      <c r="E23" s="135"/>
      <c r="F23" s="135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5">
      <c r="A24" s="128"/>
      <c r="B24" s="38" t="s">
        <v>77</v>
      </c>
      <c r="C24" s="308"/>
      <c r="D24" s="108"/>
      <c r="E24" s="108"/>
      <c r="F24" s="108"/>
      <c r="G24" s="108"/>
      <c r="H24" s="307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ht="72" x14ac:dyDescent="0.25">
      <c r="A25" s="151"/>
      <c r="B25" s="38" t="s">
        <v>78</v>
      </c>
      <c r="C25" s="160"/>
      <c r="D25" s="307"/>
      <c r="E25" s="307"/>
      <c r="F25" s="307"/>
      <c r="G25" s="108"/>
      <c r="H25" s="135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x14ac:dyDescent="0.25">
      <c r="A26" s="155" t="s">
        <v>79</v>
      </c>
      <c r="B26" s="311" t="s">
        <v>80</v>
      </c>
      <c r="C26" s="308">
        <f>C27+C28+C29+C30+C31</f>
        <v>0</v>
      </c>
      <c r="D26" s="308">
        <f>D27+D28+D29+D30+D31</f>
        <v>0</v>
      </c>
      <c r="E26" s="306">
        <f>E27+E28+E29+E30+E31</f>
        <v>0</v>
      </c>
      <c r="F26" s="306">
        <f>F27+F28+F29+F30+F31</f>
        <v>0</v>
      </c>
      <c r="G26" s="108"/>
      <c r="H26" s="135"/>
    </row>
    <row r="27" spans="1:28" ht="54" x14ac:dyDescent="0.25">
      <c r="A27" s="128"/>
      <c r="B27" s="152" t="s">
        <v>137</v>
      </c>
      <c r="C27" s="306"/>
      <c r="D27" s="135"/>
      <c r="E27" s="135"/>
      <c r="F27" s="135"/>
      <c r="G27" s="108"/>
      <c r="H27" s="135"/>
    </row>
    <row r="28" spans="1:28" x14ac:dyDescent="0.25">
      <c r="A28" s="128"/>
      <c r="B28" s="152" t="s">
        <v>82</v>
      </c>
      <c r="C28" s="306"/>
      <c r="D28" s="135"/>
      <c r="E28" s="135"/>
      <c r="F28" s="135"/>
      <c r="G28" s="108"/>
      <c r="H28" s="135"/>
    </row>
    <row r="29" spans="1:28" x14ac:dyDescent="0.25">
      <c r="A29" s="128"/>
      <c r="B29" s="152" t="s">
        <v>83</v>
      </c>
      <c r="C29" s="306"/>
      <c r="D29" s="135"/>
      <c r="E29" s="135"/>
      <c r="F29" s="135"/>
      <c r="G29" s="108"/>
      <c r="H29" s="135"/>
    </row>
    <row r="30" spans="1:28" s="354" customFormat="1" ht="16.5" customHeight="1" x14ac:dyDescent="0.25">
      <c r="A30" s="128"/>
      <c r="B30" s="152" t="s">
        <v>84</v>
      </c>
      <c r="C30" s="306"/>
      <c r="D30" s="135"/>
      <c r="E30" s="135"/>
      <c r="F30" s="135"/>
      <c r="G30" s="108"/>
      <c r="H30" s="135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</row>
    <row r="31" spans="1:28" s="355" customFormat="1" x14ac:dyDescent="0.25">
      <c r="A31" s="128"/>
      <c r="B31" s="152" t="s">
        <v>85</v>
      </c>
      <c r="C31" s="306"/>
      <c r="D31" s="135"/>
      <c r="E31" s="135"/>
      <c r="F31" s="135"/>
      <c r="G31" s="108"/>
      <c r="H31" s="135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</row>
    <row r="32" spans="1:28" x14ac:dyDescent="0.25">
      <c r="A32" s="155" t="s">
        <v>86</v>
      </c>
      <c r="B32" s="161" t="s">
        <v>87</v>
      </c>
      <c r="C32" s="306">
        <f>C33+C34</f>
        <v>0</v>
      </c>
      <c r="D32" s="306">
        <f>D33+D34</f>
        <v>0</v>
      </c>
      <c r="E32" s="306">
        <f>E33+E34</f>
        <v>0</v>
      </c>
      <c r="F32" s="306">
        <f>F33+F34</f>
        <v>0</v>
      </c>
      <c r="G32" s="108"/>
      <c r="H32" s="135"/>
    </row>
    <row r="33" spans="1:28" x14ac:dyDescent="0.25">
      <c r="A33" s="129"/>
      <c r="B33" s="152" t="s">
        <v>88</v>
      </c>
      <c r="C33" s="306"/>
      <c r="D33" s="135"/>
      <c r="E33" s="135"/>
      <c r="F33" s="135"/>
      <c r="G33" s="108"/>
      <c r="H33" s="135"/>
    </row>
    <row r="34" spans="1:28" x14ac:dyDescent="0.25">
      <c r="A34" s="130"/>
      <c r="B34" s="152" t="s">
        <v>268</v>
      </c>
      <c r="C34" s="160"/>
      <c r="D34" s="135"/>
      <c r="E34" s="135"/>
      <c r="F34" s="135"/>
      <c r="G34" s="108"/>
      <c r="H34" s="135"/>
    </row>
    <row r="35" spans="1:28" x14ac:dyDescent="0.25">
      <c r="A35" s="312" t="s">
        <v>89</v>
      </c>
      <c r="B35" s="161" t="s">
        <v>90</v>
      </c>
      <c r="C35" s="153">
        <f>C36</f>
        <v>0</v>
      </c>
      <c r="D35" s="153">
        <f>D36</f>
        <v>0</v>
      </c>
      <c r="E35" s="153">
        <f>E36</f>
        <v>0</v>
      </c>
      <c r="F35" s="153">
        <f>F36</f>
        <v>0</v>
      </c>
      <c r="G35" s="108"/>
      <c r="H35" s="135"/>
    </row>
    <row r="36" spans="1:28" x14ac:dyDescent="0.25">
      <c r="A36" s="132"/>
      <c r="B36" s="152" t="s">
        <v>239</v>
      </c>
      <c r="C36" s="306"/>
      <c r="D36" s="307"/>
      <c r="E36" s="307"/>
      <c r="F36" s="307"/>
      <c r="G36" s="108"/>
      <c r="H36" s="135"/>
    </row>
    <row r="37" spans="1:28" x14ac:dyDescent="0.25">
      <c r="A37" s="312" t="s">
        <v>92</v>
      </c>
      <c r="B37" s="161" t="s">
        <v>93</v>
      </c>
      <c r="C37" s="306">
        <f>C38+C39</f>
        <v>0</v>
      </c>
      <c r="D37" s="306">
        <f>D38+D39</f>
        <v>0</v>
      </c>
      <c r="E37" s="306">
        <f>E38+E39</f>
        <v>0</v>
      </c>
      <c r="F37" s="306">
        <f>F38+F39</f>
        <v>0</v>
      </c>
      <c r="G37" s="108"/>
      <c r="H37" s="135"/>
    </row>
    <row r="38" spans="1:28" s="355" customFormat="1" ht="54" x14ac:dyDescent="0.25">
      <c r="A38" s="132"/>
      <c r="B38" s="38" t="s">
        <v>269</v>
      </c>
      <c r="C38" s="306"/>
      <c r="D38" s="135"/>
      <c r="E38" s="135"/>
      <c r="F38" s="135"/>
      <c r="G38" s="108"/>
      <c r="H38" s="135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</row>
    <row r="39" spans="1:28" x14ac:dyDescent="0.25">
      <c r="A39" s="132"/>
      <c r="B39" s="38" t="s">
        <v>270</v>
      </c>
      <c r="C39" s="306"/>
      <c r="D39" s="135"/>
      <c r="E39" s="135"/>
      <c r="F39" s="135"/>
      <c r="G39" s="108"/>
      <c r="H39" s="135"/>
    </row>
    <row r="40" spans="1:28" x14ac:dyDescent="0.25">
      <c r="A40" s="132"/>
      <c r="B40" s="161" t="s">
        <v>96</v>
      </c>
      <c r="C40" s="306">
        <f>C7+C14+C19+C21+C26+C32+C35+C37</f>
        <v>0</v>
      </c>
      <c r="D40" s="306">
        <f>D7+D14+D19+D21+D26+D32+D35+D37</f>
        <v>0</v>
      </c>
      <c r="E40" s="306">
        <f>E7+E14+E19+E21+E26+E32+E35+E37</f>
        <v>0</v>
      </c>
      <c r="F40" s="306">
        <f>F7+F14+F19+F21+F26+F32+F35+F37</f>
        <v>0</v>
      </c>
      <c r="G40" s="108"/>
      <c r="H40" s="135"/>
    </row>
    <row r="41" spans="1:28" x14ac:dyDescent="0.3">
      <c r="A41" s="312" t="s">
        <v>97</v>
      </c>
      <c r="B41" s="161" t="s">
        <v>271</v>
      </c>
      <c r="C41" s="160">
        <f>C76-C40</f>
        <v>77706</v>
      </c>
      <c r="D41" s="160">
        <f>D76-D42</f>
        <v>77361</v>
      </c>
      <c r="E41" s="160">
        <f>E76-E40</f>
        <v>0</v>
      </c>
      <c r="F41" s="160">
        <f>D41+E41</f>
        <v>77361</v>
      </c>
      <c r="G41" s="160">
        <v>72203</v>
      </c>
      <c r="H41" s="360">
        <f>G41/F41</f>
        <v>0.93332557748736444</v>
      </c>
    </row>
    <row r="42" spans="1:28" ht="34.799999999999997" x14ac:dyDescent="0.3">
      <c r="A42" s="312" t="s">
        <v>99</v>
      </c>
      <c r="B42" s="161" t="s">
        <v>100</v>
      </c>
      <c r="C42" s="306"/>
      <c r="D42" s="356">
        <v>2062</v>
      </c>
      <c r="E42" s="135"/>
      <c r="F42" s="160">
        <f>D42+E42</f>
        <v>2062</v>
      </c>
      <c r="G42" s="160">
        <v>2062</v>
      </c>
      <c r="H42" s="360">
        <f>G42/F42</f>
        <v>1</v>
      </c>
    </row>
    <row r="43" spans="1:28" ht="34.799999999999997" x14ac:dyDescent="0.3">
      <c r="A43" s="312" t="s">
        <v>101</v>
      </c>
      <c r="B43" s="161" t="s">
        <v>102</v>
      </c>
      <c r="C43" s="306"/>
      <c r="D43" s="135"/>
      <c r="E43" s="135"/>
      <c r="F43" s="160">
        <f>D43+E43</f>
        <v>0</v>
      </c>
      <c r="G43" s="108"/>
      <c r="H43" s="360"/>
    </row>
    <row r="44" spans="1:28" x14ac:dyDescent="0.3">
      <c r="A44" s="132"/>
      <c r="B44" s="161" t="s">
        <v>103</v>
      </c>
      <c r="C44" s="308">
        <f>C41+C42+C43</f>
        <v>77706</v>
      </c>
      <c r="D44" s="308">
        <f>D41+D42+D43</f>
        <v>79423</v>
      </c>
      <c r="E44" s="308">
        <f>E41+E42+E43</f>
        <v>0</v>
      </c>
      <c r="F44" s="160">
        <f>D44+E44</f>
        <v>79423</v>
      </c>
      <c r="G44" s="308">
        <f>G41+G42+G43</f>
        <v>74265</v>
      </c>
      <c r="H44" s="360">
        <f>G44/F44</f>
        <v>0.93505659569646071</v>
      </c>
    </row>
    <row r="45" spans="1:28" x14ac:dyDescent="0.3">
      <c r="A45" s="132"/>
      <c r="B45" s="163" t="s">
        <v>106</v>
      </c>
      <c r="C45" s="308">
        <f>C40+C44</f>
        <v>77706</v>
      </c>
      <c r="D45" s="308">
        <f>D40+D44</f>
        <v>79423</v>
      </c>
      <c r="E45" s="308">
        <f>E40+E44</f>
        <v>0</v>
      </c>
      <c r="F45" s="160">
        <f>D45+E45</f>
        <v>79423</v>
      </c>
      <c r="G45" s="308">
        <f>G40+G44</f>
        <v>74265</v>
      </c>
      <c r="H45" s="360">
        <f>G45/F45</f>
        <v>0.93505659569646071</v>
      </c>
    </row>
    <row r="46" spans="1:28" ht="14.25" customHeight="1" x14ac:dyDescent="0.25">
      <c r="A46" s="316"/>
      <c r="B46" s="317"/>
      <c r="C46" s="318"/>
      <c r="D46" s="297"/>
      <c r="E46" s="297"/>
      <c r="F46" s="297"/>
      <c r="G46" s="297"/>
    </row>
    <row r="47" spans="1:28" ht="17.399999999999999" customHeight="1" x14ac:dyDescent="0.25">
      <c r="A47" s="141"/>
      <c r="B47" s="141"/>
      <c r="C47" s="152"/>
      <c r="D47" s="540" t="s">
        <v>50</v>
      </c>
      <c r="E47" s="540"/>
      <c r="F47" s="540"/>
      <c r="G47" s="540"/>
      <c r="H47" s="540"/>
    </row>
    <row r="48" spans="1:28" ht="46.8" x14ac:dyDescent="0.25">
      <c r="A48" s="320"/>
      <c r="B48" s="320" t="s">
        <v>243</v>
      </c>
      <c r="C48" s="321" t="s">
        <v>272</v>
      </c>
      <c r="D48" s="301" t="s">
        <v>188</v>
      </c>
      <c r="E48" s="301" t="s">
        <v>53</v>
      </c>
      <c r="F48" s="301" t="s">
        <v>54</v>
      </c>
      <c r="G48" s="58" t="s">
        <v>323</v>
      </c>
      <c r="H48" s="302" t="s">
        <v>55</v>
      </c>
    </row>
    <row r="49" spans="1:8" x14ac:dyDescent="0.3">
      <c r="A49" s="130" t="s">
        <v>56</v>
      </c>
      <c r="B49" s="322" t="s">
        <v>108</v>
      </c>
      <c r="C49" s="160">
        <f>C50+C51+C52+C55+C56</f>
        <v>77706</v>
      </c>
      <c r="D49" s="160">
        <f>D50+D51+D52+D55+D56</f>
        <v>79423</v>
      </c>
      <c r="E49" s="160">
        <f>E50+E51+E52+E55+E56</f>
        <v>0</v>
      </c>
      <c r="F49" s="160">
        <f t="shared" ref="F49:F77" si="0">D49+E49</f>
        <v>79423</v>
      </c>
      <c r="G49" s="160">
        <f>G50+G51+G52+G55+G56</f>
        <v>73192</v>
      </c>
      <c r="H49" s="360">
        <f>G49/F49</f>
        <v>0.92154665525099777</v>
      </c>
    </row>
    <row r="50" spans="1:8" x14ac:dyDescent="0.3">
      <c r="A50" s="137"/>
      <c r="B50" s="323" t="s">
        <v>109</v>
      </c>
      <c r="C50" s="306">
        <v>61262</v>
      </c>
      <c r="D50" s="306">
        <v>63180</v>
      </c>
      <c r="E50" s="135"/>
      <c r="F50" s="153">
        <f t="shared" si="0"/>
        <v>63180</v>
      </c>
      <c r="G50" s="160">
        <v>58401</v>
      </c>
      <c r="H50" s="360">
        <f>G50/F50</f>
        <v>0.92435897435897441</v>
      </c>
    </row>
    <row r="51" spans="1:8" ht="36" x14ac:dyDescent="0.3">
      <c r="A51" s="132"/>
      <c r="B51" s="174" t="s">
        <v>110</v>
      </c>
      <c r="C51" s="306">
        <v>10824</v>
      </c>
      <c r="D51" s="306">
        <v>10567</v>
      </c>
      <c r="E51" s="135"/>
      <c r="F51" s="153">
        <f t="shared" si="0"/>
        <v>10567</v>
      </c>
      <c r="G51" s="160">
        <v>9923</v>
      </c>
      <c r="H51" s="360">
        <f>G51/F51</f>
        <v>0.93905555029809784</v>
      </c>
    </row>
    <row r="52" spans="1:8" x14ac:dyDescent="0.3">
      <c r="A52" s="132"/>
      <c r="B52" s="174" t="s">
        <v>111</v>
      </c>
      <c r="C52" s="306">
        <v>5620</v>
      </c>
      <c r="D52" s="306">
        <v>5676</v>
      </c>
      <c r="E52" s="135"/>
      <c r="F52" s="153">
        <f t="shared" si="0"/>
        <v>5676</v>
      </c>
      <c r="G52" s="160">
        <v>4868</v>
      </c>
      <c r="H52" s="360">
        <f>G52/F52</f>
        <v>0.85764622973925297</v>
      </c>
    </row>
    <row r="53" spans="1:8" ht="36" x14ac:dyDescent="0.3">
      <c r="A53" s="132"/>
      <c r="B53" s="174" t="s">
        <v>273</v>
      </c>
      <c r="C53" s="306"/>
      <c r="D53" s="135"/>
      <c r="E53" s="135"/>
      <c r="F53" s="160">
        <f t="shared" si="0"/>
        <v>0</v>
      </c>
      <c r="G53" s="108"/>
      <c r="H53" s="360"/>
    </row>
    <row r="54" spans="1:8" x14ac:dyDescent="0.3">
      <c r="A54" s="132"/>
      <c r="B54" s="174" t="s">
        <v>113</v>
      </c>
      <c r="C54" s="306"/>
      <c r="D54" s="135"/>
      <c r="E54" s="135"/>
      <c r="F54" s="160">
        <f t="shared" si="0"/>
        <v>0</v>
      </c>
      <c r="G54" s="108"/>
      <c r="H54" s="360"/>
    </row>
    <row r="55" spans="1:8" x14ac:dyDescent="0.3">
      <c r="A55" s="132"/>
      <c r="B55" s="174" t="s">
        <v>114</v>
      </c>
      <c r="C55" s="306"/>
      <c r="D55" s="135"/>
      <c r="E55" s="135"/>
      <c r="F55" s="160">
        <f t="shared" si="0"/>
        <v>0</v>
      </c>
      <c r="G55" s="108"/>
      <c r="H55" s="360"/>
    </row>
    <row r="56" spans="1:8" x14ac:dyDescent="0.3">
      <c r="A56" s="132"/>
      <c r="B56" s="174" t="s">
        <v>115</v>
      </c>
      <c r="C56" s="306">
        <f>SUM(C57:C60)</f>
        <v>0</v>
      </c>
      <c r="D56" s="135"/>
      <c r="E56" s="135"/>
      <c r="F56" s="160">
        <f t="shared" si="0"/>
        <v>0</v>
      </c>
      <c r="G56" s="108"/>
      <c r="H56" s="360"/>
    </row>
    <row r="57" spans="1:8" x14ac:dyDescent="0.3">
      <c r="A57" s="132"/>
      <c r="B57" s="174" t="s">
        <v>116</v>
      </c>
      <c r="C57" s="306"/>
      <c r="D57" s="135"/>
      <c r="E57" s="135"/>
      <c r="F57" s="160">
        <f t="shared" si="0"/>
        <v>0</v>
      </c>
      <c r="G57" s="108"/>
      <c r="H57" s="360"/>
    </row>
    <row r="58" spans="1:8" ht="36" x14ac:dyDescent="0.3">
      <c r="A58" s="132"/>
      <c r="B58" s="174" t="s">
        <v>117</v>
      </c>
      <c r="C58" s="306"/>
      <c r="D58" s="135"/>
      <c r="E58" s="135"/>
      <c r="F58" s="160">
        <f t="shared" si="0"/>
        <v>0</v>
      </c>
      <c r="G58" s="108"/>
      <c r="H58" s="360"/>
    </row>
    <row r="59" spans="1:8" ht="36" x14ac:dyDescent="0.3">
      <c r="A59" s="132"/>
      <c r="B59" s="174" t="s">
        <v>118</v>
      </c>
      <c r="C59" s="306"/>
      <c r="D59" s="135"/>
      <c r="E59" s="135"/>
      <c r="F59" s="160">
        <f t="shared" si="0"/>
        <v>0</v>
      </c>
      <c r="G59" s="108"/>
      <c r="H59" s="360"/>
    </row>
    <row r="60" spans="1:8" x14ac:dyDescent="0.35">
      <c r="A60" s="132"/>
      <c r="B60" s="328"/>
      <c r="C60" s="306"/>
      <c r="D60" s="135"/>
      <c r="E60" s="135"/>
      <c r="F60" s="160">
        <f t="shared" si="0"/>
        <v>0</v>
      </c>
      <c r="G60" s="108"/>
      <c r="H60" s="360"/>
    </row>
    <row r="61" spans="1:8" x14ac:dyDescent="0.3">
      <c r="A61" s="130" t="s">
        <v>64</v>
      </c>
      <c r="B61" s="322" t="s">
        <v>119</v>
      </c>
      <c r="C61" s="160">
        <f>C62+C65+C66+C69</f>
        <v>0</v>
      </c>
      <c r="D61" s="160">
        <f>D62+D65+D66+D69</f>
        <v>0</v>
      </c>
      <c r="E61" s="160">
        <f>E62+E65+E66+E69</f>
        <v>0</v>
      </c>
      <c r="F61" s="160">
        <f t="shared" si="0"/>
        <v>0</v>
      </c>
      <c r="G61" s="108"/>
      <c r="H61" s="360"/>
    </row>
    <row r="62" spans="1:8" x14ac:dyDescent="0.3">
      <c r="A62" s="137"/>
      <c r="B62" s="173" t="s">
        <v>120</v>
      </c>
      <c r="C62" s="306"/>
      <c r="D62" s="135"/>
      <c r="E62" s="135"/>
      <c r="F62" s="160">
        <f t="shared" si="0"/>
        <v>0</v>
      </c>
      <c r="G62" s="108"/>
      <c r="H62" s="360"/>
    </row>
    <row r="63" spans="1:8" ht="36" x14ac:dyDescent="0.3">
      <c r="A63" s="137"/>
      <c r="B63" s="174" t="s">
        <v>245</v>
      </c>
      <c r="C63" s="306"/>
      <c r="D63" s="135"/>
      <c r="E63" s="135"/>
      <c r="F63" s="160">
        <f t="shared" si="0"/>
        <v>0</v>
      </c>
      <c r="G63" s="108"/>
      <c r="H63" s="360"/>
    </row>
    <row r="64" spans="1:8" ht="36" x14ac:dyDescent="0.3">
      <c r="A64" s="137"/>
      <c r="B64" s="174" t="s">
        <v>246</v>
      </c>
      <c r="C64" s="306"/>
      <c r="D64" s="135"/>
      <c r="E64" s="135"/>
      <c r="F64" s="160">
        <f t="shared" si="0"/>
        <v>0</v>
      </c>
      <c r="G64" s="108"/>
      <c r="H64" s="360"/>
    </row>
    <row r="65" spans="1:8" x14ac:dyDescent="0.3">
      <c r="A65" s="132"/>
      <c r="B65" s="174" t="s">
        <v>123</v>
      </c>
      <c r="C65" s="306"/>
      <c r="D65" s="135"/>
      <c r="E65" s="135"/>
      <c r="F65" s="160">
        <f t="shared" si="0"/>
        <v>0</v>
      </c>
      <c r="G65" s="108"/>
      <c r="H65" s="360"/>
    </row>
    <row r="66" spans="1:8" x14ac:dyDescent="0.3">
      <c r="A66" s="132"/>
      <c r="B66" s="174" t="s">
        <v>148</v>
      </c>
      <c r="C66" s="306"/>
      <c r="D66" s="135"/>
      <c r="E66" s="135"/>
      <c r="F66" s="160">
        <f t="shared" si="0"/>
        <v>0</v>
      </c>
      <c r="G66" s="108"/>
      <c r="H66" s="360"/>
    </row>
    <row r="67" spans="1:8" ht="36" x14ac:dyDescent="0.3">
      <c r="A67" s="132"/>
      <c r="B67" s="174" t="s">
        <v>125</v>
      </c>
      <c r="C67" s="306"/>
      <c r="D67" s="135"/>
      <c r="E67" s="135"/>
      <c r="F67" s="160">
        <f t="shared" si="0"/>
        <v>0</v>
      </c>
      <c r="G67" s="108"/>
      <c r="H67" s="360"/>
    </row>
    <row r="68" spans="1:8" ht="36" x14ac:dyDescent="0.3">
      <c r="A68" s="132"/>
      <c r="B68" s="174" t="s">
        <v>126</v>
      </c>
      <c r="C68" s="306"/>
      <c r="D68" s="135"/>
      <c r="E68" s="135"/>
      <c r="F68" s="160">
        <f t="shared" si="0"/>
        <v>0</v>
      </c>
      <c r="G68" s="108"/>
      <c r="H68" s="360"/>
    </row>
    <row r="69" spans="1:8" x14ac:dyDescent="0.3">
      <c r="A69" s="132"/>
      <c r="B69" s="174" t="s">
        <v>10</v>
      </c>
      <c r="C69" s="306"/>
      <c r="D69" s="135"/>
      <c r="E69" s="135"/>
      <c r="F69" s="160">
        <f t="shared" si="0"/>
        <v>0</v>
      </c>
      <c r="G69" s="108"/>
      <c r="H69" s="360"/>
    </row>
    <row r="70" spans="1:8" x14ac:dyDescent="0.35">
      <c r="A70" s="32"/>
      <c r="B70" s="183"/>
      <c r="C70" s="2"/>
      <c r="D70" s="135"/>
      <c r="E70" s="135"/>
      <c r="F70" s="160">
        <f t="shared" si="0"/>
        <v>0</v>
      </c>
      <c r="G70" s="108"/>
      <c r="H70" s="360"/>
    </row>
    <row r="71" spans="1:8" x14ac:dyDescent="0.3">
      <c r="A71" s="130"/>
      <c r="B71" s="332" t="s">
        <v>127</v>
      </c>
      <c r="C71" s="160">
        <f>C49+C61</f>
        <v>77706</v>
      </c>
      <c r="D71" s="160">
        <f>D49+D61</f>
        <v>79423</v>
      </c>
      <c r="E71" s="160">
        <f>E49+E61</f>
        <v>0</v>
      </c>
      <c r="F71" s="160">
        <f t="shared" si="0"/>
        <v>79423</v>
      </c>
      <c r="G71" s="160">
        <f>G49+G61</f>
        <v>73192</v>
      </c>
      <c r="H71" s="360">
        <f>G71/F71</f>
        <v>0.92154665525099777</v>
      </c>
    </row>
    <row r="72" spans="1:8" x14ac:dyDescent="0.3">
      <c r="A72" s="130"/>
      <c r="B72" s="332"/>
      <c r="C72" s="333"/>
      <c r="D72" s="135"/>
      <c r="E72" s="135"/>
      <c r="F72" s="160">
        <f t="shared" si="0"/>
        <v>0</v>
      </c>
      <c r="G72" s="108"/>
      <c r="H72" s="360"/>
    </row>
    <row r="73" spans="1:8" x14ac:dyDescent="0.3">
      <c r="A73" s="130" t="s">
        <v>70</v>
      </c>
      <c r="B73" s="322" t="s">
        <v>128</v>
      </c>
      <c r="C73" s="160">
        <f>C74+C75</f>
        <v>0</v>
      </c>
      <c r="D73" s="135"/>
      <c r="E73" s="135"/>
      <c r="F73" s="160">
        <f t="shared" si="0"/>
        <v>0</v>
      </c>
      <c r="G73" s="108"/>
      <c r="H73" s="360"/>
    </row>
    <row r="74" spans="1:8" x14ac:dyDescent="0.3">
      <c r="A74" s="137"/>
      <c r="B74" s="323" t="s">
        <v>274</v>
      </c>
      <c r="C74" s="160"/>
      <c r="D74" s="135"/>
      <c r="E74" s="135"/>
      <c r="F74" s="160">
        <f t="shared" si="0"/>
        <v>0</v>
      </c>
      <c r="G74" s="108"/>
      <c r="H74" s="360"/>
    </row>
    <row r="75" spans="1:8" ht="36" x14ac:dyDescent="0.3">
      <c r="A75" s="132"/>
      <c r="B75" s="323" t="s">
        <v>105</v>
      </c>
      <c r="C75" s="308"/>
      <c r="D75" s="135"/>
      <c r="E75" s="135"/>
      <c r="F75" s="160">
        <f t="shared" si="0"/>
        <v>0</v>
      </c>
      <c r="G75" s="108"/>
      <c r="H75" s="360"/>
    </row>
    <row r="76" spans="1:8" x14ac:dyDescent="0.3">
      <c r="A76" s="140"/>
      <c r="B76" s="179" t="s">
        <v>248</v>
      </c>
      <c r="C76" s="160">
        <f>C49+C61+C73</f>
        <v>77706</v>
      </c>
      <c r="D76" s="160">
        <f>D49+D61+D73</f>
        <v>79423</v>
      </c>
      <c r="E76" s="160">
        <f>E49+E61+E73</f>
        <v>0</v>
      </c>
      <c r="F76" s="160">
        <f t="shared" si="0"/>
        <v>79423</v>
      </c>
      <c r="G76" s="160">
        <f>G49+G61+G73</f>
        <v>73192</v>
      </c>
      <c r="H76" s="360">
        <f>G76/F76</f>
        <v>0.92154665525099777</v>
      </c>
    </row>
    <row r="77" spans="1:8" x14ac:dyDescent="0.3">
      <c r="A77" s="141"/>
      <c r="B77" s="334"/>
      <c r="C77" s="152"/>
      <c r="D77" s="135"/>
      <c r="E77" s="135"/>
      <c r="F77" s="160">
        <f t="shared" si="0"/>
        <v>0</v>
      </c>
      <c r="G77" s="108"/>
      <c r="H77" s="360"/>
    </row>
    <row r="78" spans="1:8" x14ac:dyDescent="0.25">
      <c r="A78" s="142"/>
      <c r="B78" s="335" t="s">
        <v>132</v>
      </c>
      <c r="C78" s="336">
        <v>17.5</v>
      </c>
      <c r="D78" s="336">
        <v>17.5</v>
      </c>
      <c r="E78" s="336"/>
      <c r="F78" s="336">
        <v>17.5</v>
      </c>
      <c r="G78" s="108"/>
      <c r="H78" s="135"/>
    </row>
    <row r="79" spans="1:8" x14ac:dyDescent="0.25">
      <c r="A79" s="142"/>
      <c r="B79" s="335" t="s">
        <v>133</v>
      </c>
      <c r="C79" s="336">
        <v>0</v>
      </c>
      <c r="D79" s="336">
        <v>0</v>
      </c>
      <c r="E79" s="336"/>
      <c r="F79" s="336">
        <v>0</v>
      </c>
      <c r="G79" s="108"/>
      <c r="H79" s="135"/>
    </row>
    <row r="82" spans="1:3" x14ac:dyDescent="0.25">
      <c r="B82" s="331" t="s">
        <v>250</v>
      </c>
      <c r="C82" s="280" t="s">
        <v>46</v>
      </c>
    </row>
    <row r="83" spans="1:3" x14ac:dyDescent="0.25">
      <c r="A83" s="280" t="s">
        <v>251</v>
      </c>
      <c r="B83" s="331"/>
    </row>
    <row r="84" spans="1:3" x14ac:dyDescent="0.25">
      <c r="A84" s="280">
        <v>2</v>
      </c>
      <c r="B84" s="280" t="s">
        <v>283</v>
      </c>
      <c r="C84" s="280">
        <v>240</v>
      </c>
    </row>
    <row r="85" spans="1:3" x14ac:dyDescent="0.25">
      <c r="B85" s="280" t="s">
        <v>284</v>
      </c>
      <c r="C85" s="338">
        <f>C84*0.15</f>
        <v>36</v>
      </c>
    </row>
    <row r="87" spans="1:3" x14ac:dyDescent="0.25">
      <c r="B87" s="341" t="s">
        <v>228</v>
      </c>
      <c r="C87" s="343">
        <f>SUM(C84:C86)</f>
        <v>276</v>
      </c>
    </row>
  </sheetData>
  <sheetProtection selectLockedCells="1" selectUnlockedCells="1"/>
  <mergeCells count="2">
    <mergeCell ref="D5:H5"/>
    <mergeCell ref="D47:H47"/>
  </mergeCells>
  <pageMargins left="0.75" right="0.75" top="1" bottom="1" header="0.51180555555555551" footer="0.51180555555555551"/>
  <pageSetup paperSize="9" scale="51" firstPageNumber="0" fitToHeight="0" orientation="portrait" horizontalDpi="300" verticalDpi="300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176"/>
  <sheetViews>
    <sheetView topLeftCell="A34" zoomScale="50" zoomScaleNormal="50" zoomScaleSheetLayoutView="70" workbookViewId="0">
      <selection activeCell="E52" sqref="E52"/>
    </sheetView>
  </sheetViews>
  <sheetFormatPr defaultColWidth="9.109375" defaultRowHeight="18" x14ac:dyDescent="0.25"/>
  <cols>
    <col min="1" max="1" width="11.109375" style="280" customWidth="1"/>
    <col min="2" max="2" width="61.6640625" style="280" customWidth="1"/>
    <col min="3" max="3" width="21.44140625" style="280" customWidth="1"/>
    <col min="4" max="4" width="18.44140625" style="280" customWidth="1"/>
    <col min="5" max="5" width="20.109375" style="280" customWidth="1"/>
    <col min="6" max="6" width="18.33203125" style="280" customWidth="1"/>
    <col min="7" max="7" width="14.44140625" style="280" customWidth="1"/>
    <col min="8" max="8" width="24.33203125" style="280" customWidth="1"/>
    <col min="9" max="28" width="9.109375" style="280"/>
    <col min="29" max="16384" width="9.109375" style="281"/>
  </cols>
  <sheetData>
    <row r="1" spans="1:28" s="352" customFormat="1" ht="21" customHeight="1" x14ac:dyDescent="0.25">
      <c r="A1" s="284"/>
      <c r="B1" s="345"/>
      <c r="C1" s="346" t="s">
        <v>469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5">
      <c r="A2" s="289"/>
      <c r="B2" s="290" t="s">
        <v>277</v>
      </c>
      <c r="C2" s="347" t="s">
        <v>285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ht="17.399999999999999" x14ac:dyDescent="0.25">
      <c r="A3" s="292"/>
      <c r="B3" s="290" t="s">
        <v>40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4.799999999999997" x14ac:dyDescent="0.25">
      <c r="A5" s="289"/>
      <c r="B5" s="296" t="s">
        <v>234</v>
      </c>
      <c r="C5" s="296" t="s">
        <v>235</v>
      </c>
    </row>
    <row r="6" spans="1:28" s="354" customFormat="1" ht="29.25" customHeight="1" x14ac:dyDescent="0.25">
      <c r="A6" s="289"/>
      <c r="B6" s="289"/>
      <c r="C6" s="289"/>
      <c r="D6" s="522" t="s">
        <v>50</v>
      </c>
      <c r="E6" s="522"/>
      <c r="F6" s="522"/>
      <c r="G6" s="522"/>
      <c r="H6" s="522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54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5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x14ac:dyDescent="0.25">
      <c r="A9" s="151"/>
      <c r="B9" s="152" t="s">
        <v>58</v>
      </c>
      <c r="C9" s="160"/>
      <c r="D9" s="307"/>
      <c r="E9" s="307"/>
      <c r="F9" s="307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6" x14ac:dyDescent="0.25">
      <c r="A10" s="128"/>
      <c r="B10" s="152" t="s">
        <v>59</v>
      </c>
      <c r="C10" s="306"/>
      <c r="D10" s="307"/>
      <c r="E10" s="307"/>
      <c r="F10" s="307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6" x14ac:dyDescent="0.25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6" x14ac:dyDescent="0.25">
      <c r="A12" s="128"/>
      <c r="B12" s="152" t="s">
        <v>61</v>
      </c>
      <c r="C12" s="306"/>
      <c r="D12" s="307"/>
      <c r="E12" s="307"/>
      <c r="F12" s="307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5">
      <c r="A13" s="128"/>
      <c r="B13" s="152" t="s">
        <v>134</v>
      </c>
      <c r="C13" s="306"/>
      <c r="D13" s="307"/>
      <c r="E13" s="307"/>
      <c r="F13" s="307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5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4.799999999999997" x14ac:dyDescent="0.25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6" x14ac:dyDescent="0.25">
      <c r="A16" s="151"/>
      <c r="B16" s="152" t="s">
        <v>136</v>
      </c>
      <c r="C16" s="160"/>
      <c r="D16" s="307"/>
      <c r="E16" s="307"/>
      <c r="F16" s="307"/>
      <c r="G16" s="108"/>
      <c r="H16" s="307"/>
    </row>
    <row r="17" spans="1:28" s="355" customFormat="1" ht="36" x14ac:dyDescent="0.25">
      <c r="A17" s="128"/>
      <c r="B17" s="152" t="s">
        <v>157</v>
      </c>
      <c r="C17" s="306"/>
      <c r="D17" s="135"/>
      <c r="E17" s="135"/>
      <c r="F17" s="135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6" x14ac:dyDescent="0.25">
      <c r="A18" s="128"/>
      <c r="B18" s="152" t="s">
        <v>136</v>
      </c>
      <c r="C18" s="306"/>
      <c r="D18" s="135"/>
      <c r="E18" s="135"/>
      <c r="F18" s="135"/>
      <c r="G18" s="108"/>
      <c r="H18" s="307"/>
    </row>
    <row r="19" spans="1:28" ht="36" x14ac:dyDescent="0.25">
      <c r="A19" s="128"/>
      <c r="B19" s="152" t="s">
        <v>157</v>
      </c>
      <c r="C19" s="306"/>
      <c r="D19" s="307"/>
      <c r="E19" s="307"/>
      <c r="F19" s="307"/>
      <c r="G19" s="108"/>
      <c r="H19" s="307"/>
    </row>
    <row r="20" spans="1:28" ht="34.799999999999997" x14ac:dyDescent="0.25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6" x14ac:dyDescent="0.25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5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6" x14ac:dyDescent="0.25">
      <c r="A23" s="128"/>
      <c r="B23" s="38" t="s">
        <v>75</v>
      </c>
      <c r="C23" s="306"/>
      <c r="D23" s="135"/>
      <c r="E23" s="135"/>
      <c r="F23" s="135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5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5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72" x14ac:dyDescent="0.25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700</v>
      </c>
      <c r="D27" s="308">
        <f>D28+D29+D30+D31+D32</f>
        <v>700</v>
      </c>
      <c r="E27" s="308">
        <f>E28+E29+E30+E31+E32</f>
        <v>0</v>
      </c>
      <c r="F27" s="308">
        <f t="shared" ref="F27:F35" si="0">D27+E27</f>
        <v>700</v>
      </c>
      <c r="G27" s="308">
        <f>G28+G29+G30+G31+G32</f>
        <v>1289</v>
      </c>
      <c r="H27" s="68">
        <f>G27/F27</f>
        <v>1.8414285714285714</v>
      </c>
    </row>
    <row r="28" spans="1:28" ht="54" x14ac:dyDescent="0.25">
      <c r="A28" s="128"/>
      <c r="B28" s="152" t="s">
        <v>137</v>
      </c>
      <c r="C28" s="306">
        <v>700</v>
      </c>
      <c r="D28" s="135">
        <v>700</v>
      </c>
      <c r="E28" s="135"/>
      <c r="F28" s="306">
        <f t="shared" si="0"/>
        <v>700</v>
      </c>
      <c r="G28" s="308">
        <v>1289</v>
      </c>
      <c r="H28" s="363">
        <f>G28/F28</f>
        <v>1.8414285714285714</v>
      </c>
    </row>
    <row r="29" spans="1:28" x14ac:dyDescent="0.25">
      <c r="A29" s="128"/>
      <c r="B29" s="152" t="s">
        <v>82</v>
      </c>
      <c r="C29" s="306"/>
      <c r="D29" s="135"/>
      <c r="E29" s="135"/>
      <c r="F29" s="306">
        <f t="shared" si="0"/>
        <v>0</v>
      </c>
      <c r="G29" s="108"/>
      <c r="H29" s="363"/>
    </row>
    <row r="30" spans="1:28" x14ac:dyDescent="0.25">
      <c r="A30" s="128"/>
      <c r="B30" s="152" t="s">
        <v>83</v>
      </c>
      <c r="C30" s="306"/>
      <c r="D30" s="135"/>
      <c r="E30" s="135"/>
      <c r="F30" s="306">
        <f t="shared" si="0"/>
        <v>0</v>
      </c>
      <c r="G30" s="108"/>
      <c r="H30" s="363"/>
    </row>
    <row r="31" spans="1:28" s="354" customFormat="1" x14ac:dyDescent="0.25">
      <c r="A31" s="128"/>
      <c r="B31" s="152" t="s">
        <v>84</v>
      </c>
      <c r="C31" s="306"/>
      <c r="D31" s="135"/>
      <c r="E31" s="135"/>
      <c r="F31" s="306">
        <f t="shared" si="0"/>
        <v>0</v>
      </c>
      <c r="G31" s="108"/>
      <c r="H31" s="363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25">
      <c r="A32" s="128"/>
      <c r="B32" s="152" t="s">
        <v>85</v>
      </c>
      <c r="C32" s="306"/>
      <c r="D32" s="135"/>
      <c r="E32" s="135"/>
      <c r="F32" s="306">
        <f t="shared" si="0"/>
        <v>0</v>
      </c>
      <c r="G32" s="108"/>
      <c r="H32" s="36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25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6">
        <f t="shared" si="0"/>
        <v>0</v>
      </c>
      <c r="G33" s="108"/>
      <c r="H33" s="363"/>
    </row>
    <row r="34" spans="1:28" x14ac:dyDescent="0.25">
      <c r="A34" s="129"/>
      <c r="B34" s="152" t="s">
        <v>88</v>
      </c>
      <c r="C34" s="306"/>
      <c r="D34" s="135"/>
      <c r="E34" s="135"/>
      <c r="F34" s="306">
        <f t="shared" si="0"/>
        <v>0</v>
      </c>
      <c r="G34" s="108"/>
      <c r="H34" s="363"/>
    </row>
    <row r="35" spans="1:28" x14ac:dyDescent="0.25">
      <c r="A35" s="130"/>
      <c r="B35" s="152" t="s">
        <v>268</v>
      </c>
      <c r="C35" s="160"/>
      <c r="D35" s="307"/>
      <c r="E35" s="307"/>
      <c r="F35" s="306">
        <f t="shared" si="0"/>
        <v>0</v>
      </c>
      <c r="G35" s="108"/>
      <c r="H35" s="363"/>
    </row>
    <row r="36" spans="1:28" x14ac:dyDescent="0.25">
      <c r="A36" s="312" t="s">
        <v>89</v>
      </c>
      <c r="B36" s="161" t="s">
        <v>90</v>
      </c>
      <c r="C36" s="153">
        <f>C37</f>
        <v>0</v>
      </c>
      <c r="D36" s="135">
        <v>1008</v>
      </c>
      <c r="E36" s="135"/>
      <c r="F36" s="306">
        <v>1008</v>
      </c>
      <c r="G36" s="108">
        <f>G37</f>
        <v>980</v>
      </c>
      <c r="H36" s="363">
        <f>G36/F36</f>
        <v>0.97222222222222221</v>
      </c>
    </row>
    <row r="37" spans="1:28" x14ac:dyDescent="0.25">
      <c r="A37" s="132"/>
      <c r="B37" s="152" t="s">
        <v>239</v>
      </c>
      <c r="C37" s="306"/>
      <c r="D37" s="135">
        <v>1008</v>
      </c>
      <c r="E37" s="135"/>
      <c r="F37" s="306">
        <f>D37+E37</f>
        <v>1008</v>
      </c>
      <c r="G37" s="108">
        <v>980</v>
      </c>
      <c r="H37" s="363">
        <f>G37/F37</f>
        <v>0.97222222222222221</v>
      </c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135"/>
      <c r="E38" s="135"/>
      <c r="F38" s="306">
        <f>D38+E38</f>
        <v>0</v>
      </c>
      <c r="G38" s="108"/>
      <c r="H38" s="68"/>
    </row>
    <row r="39" spans="1:28" s="355" customFormat="1" ht="54" x14ac:dyDescent="0.3">
      <c r="A39" s="132"/>
      <c r="B39" s="38" t="s">
        <v>269</v>
      </c>
      <c r="C39" s="306"/>
      <c r="D39" s="135"/>
      <c r="E39" s="135"/>
      <c r="F39" s="306">
        <f>D39+E39</f>
        <v>0</v>
      </c>
      <c r="G39" s="108"/>
      <c r="H39" s="68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135"/>
      <c r="E40" s="135"/>
      <c r="F40" s="306">
        <f>D40+E40</f>
        <v>0</v>
      </c>
      <c r="G40" s="108"/>
      <c r="H40" s="68"/>
    </row>
    <row r="41" spans="1:28" ht="36.75" customHeight="1" x14ac:dyDescent="0.3">
      <c r="A41" s="132"/>
      <c r="B41" s="161" t="s">
        <v>96</v>
      </c>
      <c r="C41" s="308">
        <f>C8+C15+C20+C22+C27+C33+C36+C38</f>
        <v>700</v>
      </c>
      <c r="D41" s="308">
        <f>D8+D15+D20+D22+D27+D33+D36+D38</f>
        <v>1708</v>
      </c>
      <c r="E41" s="308">
        <f>E8+E15+E20+E22+E27+E33+E36+E38</f>
        <v>0</v>
      </c>
      <c r="F41" s="308">
        <f>D41+E41</f>
        <v>1708</v>
      </c>
      <c r="G41" s="308">
        <f>G8+G15+G20+G22+G27+G33+G36+G38</f>
        <v>2269</v>
      </c>
      <c r="H41" s="68">
        <f>G41/F41</f>
        <v>1.3284543325526932</v>
      </c>
    </row>
    <row r="42" spans="1:28" x14ac:dyDescent="0.3">
      <c r="A42" s="312" t="s">
        <v>97</v>
      </c>
      <c r="B42" s="161" t="s">
        <v>271</v>
      </c>
      <c r="C42" s="160">
        <f>C77-C41</f>
        <v>42172</v>
      </c>
      <c r="D42" s="160">
        <f>D77-D43-D41</f>
        <v>44965</v>
      </c>
      <c r="E42" s="160">
        <f>E77-E43-E41</f>
        <v>3042</v>
      </c>
      <c r="F42" s="160">
        <f>F77-F43-F41</f>
        <v>48007</v>
      </c>
      <c r="G42" s="160">
        <v>42757</v>
      </c>
      <c r="H42" s="68">
        <f>G42/F42</f>
        <v>0.8906409481950549</v>
      </c>
    </row>
    <row r="43" spans="1:28" ht="34.799999999999997" x14ac:dyDescent="0.25">
      <c r="A43" s="312" t="s">
        <v>99</v>
      </c>
      <c r="B43" s="161" t="s">
        <v>100</v>
      </c>
      <c r="C43" s="306"/>
      <c r="D43" s="135">
        <v>378</v>
      </c>
      <c r="E43" s="135">
        <v>1</v>
      </c>
      <c r="F43" s="306">
        <f>D43+E43</f>
        <v>379</v>
      </c>
      <c r="G43" s="306">
        <v>379</v>
      </c>
      <c r="H43" s="363">
        <f>G43/F43</f>
        <v>1</v>
      </c>
    </row>
    <row r="44" spans="1:28" ht="34.799999999999997" x14ac:dyDescent="0.3">
      <c r="A44" s="312" t="s">
        <v>101</v>
      </c>
      <c r="B44" s="161" t="s">
        <v>102</v>
      </c>
      <c r="C44" s="306"/>
      <c r="D44" s="135"/>
      <c r="E44" s="135"/>
      <c r="F44" s="306">
        <f>D44+E44</f>
        <v>0</v>
      </c>
      <c r="G44" s="108"/>
      <c r="H44" s="68"/>
    </row>
    <row r="45" spans="1:28" x14ac:dyDescent="0.3">
      <c r="A45" s="132"/>
      <c r="B45" s="161" t="s">
        <v>103</v>
      </c>
      <c r="C45" s="308">
        <f>C42+C43+C44</f>
        <v>42172</v>
      </c>
      <c r="D45" s="308">
        <f>D42+D43+D44</f>
        <v>45343</v>
      </c>
      <c r="E45" s="308">
        <f>E42+E43+E44</f>
        <v>3043</v>
      </c>
      <c r="F45" s="308">
        <f>D45+E45</f>
        <v>48386</v>
      </c>
      <c r="G45" s="308">
        <f>G42+G43+G44</f>
        <v>43136</v>
      </c>
      <c r="H45" s="68">
        <f>G45/F45</f>
        <v>0.89149754061092057</v>
      </c>
    </row>
    <row r="46" spans="1:28" ht="15" customHeight="1" x14ac:dyDescent="0.3">
      <c r="A46" s="132"/>
      <c r="B46" s="163" t="s">
        <v>106</v>
      </c>
      <c r="C46" s="308">
        <f>C41+C45</f>
        <v>42872</v>
      </c>
      <c r="D46" s="308">
        <f>D41+D45</f>
        <v>47051</v>
      </c>
      <c r="E46" s="308">
        <f>E41+E45</f>
        <v>3043</v>
      </c>
      <c r="F46" s="308">
        <f>D46+E46</f>
        <v>50094</v>
      </c>
      <c r="G46" s="308">
        <f>G41+G45</f>
        <v>45405</v>
      </c>
      <c r="H46" s="68">
        <f>G46/F46</f>
        <v>0.90639597556593599</v>
      </c>
    </row>
    <row r="47" spans="1:28" ht="14.25" customHeight="1" x14ac:dyDescent="0.25">
      <c r="A47" s="316"/>
      <c r="B47" s="317"/>
      <c r="C47" s="318"/>
      <c r="F47" s="308">
        <f>C47+D47+E47</f>
        <v>0</v>
      </c>
    </row>
    <row r="48" spans="1:28" ht="17.399999999999999" customHeight="1" x14ac:dyDescent="0.25">
      <c r="A48" s="141"/>
      <c r="B48" s="141"/>
      <c r="C48" s="152"/>
      <c r="D48" s="522" t="s">
        <v>50</v>
      </c>
      <c r="E48" s="522"/>
      <c r="F48" s="522"/>
    </row>
    <row r="49" spans="1:8" ht="77.25" customHeight="1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42872</v>
      </c>
      <c r="D50" s="160">
        <f>D51+D52+D53+D56+D57</f>
        <v>45863</v>
      </c>
      <c r="E50" s="160">
        <f>E51+E52+E53+E56+E57</f>
        <v>3043</v>
      </c>
      <c r="F50" s="160">
        <f t="shared" ref="F50:F78" si="1">D50+E50</f>
        <v>48906</v>
      </c>
      <c r="G50" s="160">
        <f>G51+G52+G53+G56+G57</f>
        <v>43801</v>
      </c>
      <c r="H50" s="68">
        <f>G50/F50</f>
        <v>0.89561607982660618</v>
      </c>
    </row>
    <row r="51" spans="1:8" x14ac:dyDescent="0.3">
      <c r="A51" s="137"/>
      <c r="B51" s="323" t="s">
        <v>109</v>
      </c>
      <c r="C51" s="306">
        <v>31349</v>
      </c>
      <c r="D51" s="306">
        <v>34843</v>
      </c>
      <c r="E51" s="358">
        <f>6+2584</f>
        <v>2590</v>
      </c>
      <c r="F51" s="153">
        <f t="shared" si="1"/>
        <v>37433</v>
      </c>
      <c r="G51" s="153">
        <v>34222</v>
      </c>
      <c r="H51" s="68">
        <f>G51/F51</f>
        <v>0.91422007319744614</v>
      </c>
    </row>
    <row r="52" spans="1:8" ht="36" x14ac:dyDescent="0.3">
      <c r="A52" s="132"/>
      <c r="B52" s="174" t="s">
        <v>110</v>
      </c>
      <c r="C52" s="306">
        <v>5750</v>
      </c>
      <c r="D52" s="306">
        <v>5955</v>
      </c>
      <c r="E52" s="358">
        <f>1+452</f>
        <v>453</v>
      </c>
      <c r="F52" s="153">
        <f t="shared" si="1"/>
        <v>6408</v>
      </c>
      <c r="G52" s="153">
        <v>5884</v>
      </c>
      <c r="H52" s="68">
        <f>G52/F52</f>
        <v>0.91822721598002499</v>
      </c>
    </row>
    <row r="53" spans="1:8" x14ac:dyDescent="0.3">
      <c r="A53" s="132"/>
      <c r="B53" s="174" t="s">
        <v>111</v>
      </c>
      <c r="C53" s="306">
        <v>5773</v>
      </c>
      <c r="D53" s="306">
        <v>5065</v>
      </c>
      <c r="E53" s="358"/>
      <c r="F53" s="153">
        <f t="shared" si="1"/>
        <v>5065</v>
      </c>
      <c r="G53" s="153">
        <v>3695</v>
      </c>
      <c r="H53" s="68">
        <f>G53/F53</f>
        <v>0.72951628825271475</v>
      </c>
    </row>
    <row r="54" spans="1:8" ht="36" x14ac:dyDescent="0.3">
      <c r="A54" s="132"/>
      <c r="B54" s="174" t="s">
        <v>273</v>
      </c>
      <c r="C54" s="306"/>
      <c r="D54" s="135"/>
      <c r="E54" s="135"/>
      <c r="F54" s="160">
        <f t="shared" si="1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1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160">
        <f t="shared" si="1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1"/>
        <v>0</v>
      </c>
      <c r="G57" s="108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1"/>
        <v>0</v>
      </c>
      <c r="G58" s="108"/>
      <c r="H58" s="68"/>
    </row>
    <row r="59" spans="1:8" ht="36" x14ac:dyDescent="0.3">
      <c r="A59" s="132"/>
      <c r="B59" s="174" t="s">
        <v>117</v>
      </c>
      <c r="C59" s="306"/>
      <c r="D59" s="135"/>
      <c r="E59" s="135"/>
      <c r="F59" s="160">
        <f t="shared" si="1"/>
        <v>0</v>
      </c>
      <c r="G59" s="108"/>
      <c r="H59" s="68"/>
    </row>
    <row r="60" spans="1:8" ht="36" x14ac:dyDescent="0.3">
      <c r="A60" s="132"/>
      <c r="B60" s="174" t="s">
        <v>118</v>
      </c>
      <c r="C60" s="306"/>
      <c r="D60" s="135"/>
      <c r="E60" s="135"/>
      <c r="F60" s="160">
        <f t="shared" si="1"/>
        <v>0</v>
      </c>
      <c r="G60" s="108"/>
      <c r="H60" s="68"/>
    </row>
    <row r="61" spans="1:8" x14ac:dyDescent="0.35">
      <c r="A61" s="132"/>
      <c r="B61" s="328"/>
      <c r="C61" s="306"/>
      <c r="D61" s="135"/>
      <c r="E61" s="135"/>
      <c r="F61" s="160">
        <f t="shared" si="1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1188</v>
      </c>
      <c r="E62" s="160">
        <f>SUM(E63:E70)</f>
        <v>0</v>
      </c>
      <c r="F62" s="160">
        <f t="shared" si="1"/>
        <v>1188</v>
      </c>
      <c r="G62" s="108">
        <f>G63</f>
        <v>980</v>
      </c>
      <c r="H62" s="68">
        <f>G62/F62</f>
        <v>0.82491582491582494</v>
      </c>
    </row>
    <row r="63" spans="1:8" x14ac:dyDescent="0.3">
      <c r="A63" s="137"/>
      <c r="B63" s="173" t="s">
        <v>120</v>
      </c>
      <c r="C63" s="306"/>
      <c r="D63" s="135">
        <v>1188</v>
      </c>
      <c r="E63" s="153"/>
      <c r="F63" s="153">
        <f t="shared" si="1"/>
        <v>1188</v>
      </c>
      <c r="G63" s="58">
        <v>980</v>
      </c>
      <c r="H63" s="68">
        <f>G63/F63</f>
        <v>0.82491582491582494</v>
      </c>
    </row>
    <row r="64" spans="1:8" ht="36" x14ac:dyDescent="0.3">
      <c r="A64" s="137"/>
      <c r="B64" s="174" t="s">
        <v>245</v>
      </c>
      <c r="C64" s="306"/>
      <c r="D64" s="135"/>
      <c r="E64" s="135"/>
      <c r="F64" s="160">
        <f t="shared" si="1"/>
        <v>0</v>
      </c>
      <c r="G64" s="108"/>
      <c r="H64" s="68"/>
    </row>
    <row r="65" spans="1:8" ht="36" x14ac:dyDescent="0.3">
      <c r="A65" s="137"/>
      <c r="B65" s="174" t="s">
        <v>246</v>
      </c>
      <c r="C65" s="306"/>
      <c r="D65" s="135"/>
      <c r="E65" s="135"/>
      <c r="F65" s="160">
        <f t="shared" si="1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1"/>
        <v>0</v>
      </c>
      <c r="G66" s="108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1"/>
        <v>0</v>
      </c>
      <c r="G67" s="108"/>
      <c r="H67" s="68"/>
    </row>
    <row r="68" spans="1:8" ht="36" x14ac:dyDescent="0.3">
      <c r="A68" s="132"/>
      <c r="B68" s="174" t="s">
        <v>125</v>
      </c>
      <c r="C68" s="306"/>
      <c r="D68" s="135"/>
      <c r="E68" s="135"/>
      <c r="F68" s="160">
        <f t="shared" si="1"/>
        <v>0</v>
      </c>
      <c r="G68" s="108"/>
      <c r="H68" s="68"/>
    </row>
    <row r="69" spans="1:8" ht="36" x14ac:dyDescent="0.3">
      <c r="A69" s="132"/>
      <c r="B69" s="174" t="s">
        <v>126</v>
      </c>
      <c r="C69" s="306"/>
      <c r="D69" s="135"/>
      <c r="E69" s="135"/>
      <c r="F69" s="160">
        <f t="shared" si="1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1"/>
        <v>0</v>
      </c>
      <c r="G70" s="108"/>
      <c r="H70" s="68"/>
    </row>
    <row r="71" spans="1:8" x14ac:dyDescent="0.35">
      <c r="A71" s="32"/>
      <c r="B71" s="183"/>
      <c r="C71" s="2"/>
      <c r="D71" s="135"/>
      <c r="E71" s="135"/>
      <c r="F71" s="160">
        <f t="shared" si="1"/>
        <v>0</v>
      </c>
      <c r="G71" s="108"/>
      <c r="H71" s="68"/>
    </row>
    <row r="72" spans="1:8" x14ac:dyDescent="0.3">
      <c r="A72" s="130"/>
      <c r="B72" s="332" t="s">
        <v>127</v>
      </c>
      <c r="C72" s="160">
        <f>C50+C62</f>
        <v>42872</v>
      </c>
      <c r="D72" s="160">
        <f>D50+D62</f>
        <v>47051</v>
      </c>
      <c r="E72" s="160">
        <f>E50+E62</f>
        <v>3043</v>
      </c>
      <c r="F72" s="160">
        <f t="shared" si="1"/>
        <v>50094</v>
      </c>
      <c r="G72" s="160">
        <f>G50+G62</f>
        <v>44781</v>
      </c>
      <c r="H72" s="68">
        <f>G72/F72</f>
        <v>0.89393939393939392</v>
      </c>
    </row>
    <row r="73" spans="1:8" x14ac:dyDescent="0.3">
      <c r="A73" s="130"/>
      <c r="B73" s="332"/>
      <c r="C73" s="333"/>
      <c r="D73" s="135"/>
      <c r="E73" s="135"/>
      <c r="F73" s="160">
        <f t="shared" si="1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35"/>
      <c r="E74" s="135"/>
      <c r="F74" s="160">
        <f t="shared" si="1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1"/>
        <v>0</v>
      </c>
      <c r="G75" s="108"/>
      <c r="H75" s="68"/>
    </row>
    <row r="76" spans="1:8" ht="36" x14ac:dyDescent="0.3">
      <c r="A76" s="132"/>
      <c r="B76" s="323" t="s">
        <v>105</v>
      </c>
      <c r="C76" s="308"/>
      <c r="D76" s="135"/>
      <c r="E76" s="135"/>
      <c r="F76" s="160">
        <f t="shared" si="1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42872</v>
      </c>
      <c r="D77" s="160">
        <f>D50+D62+D74</f>
        <v>47051</v>
      </c>
      <c r="E77" s="160">
        <f>E50+E62+E74</f>
        <v>3043</v>
      </c>
      <c r="F77" s="160">
        <f t="shared" si="1"/>
        <v>50094</v>
      </c>
      <c r="G77" s="160">
        <f>G50+G62+G74</f>
        <v>44781</v>
      </c>
      <c r="H77" s="68">
        <f>G77/F77</f>
        <v>0.89393939393939392</v>
      </c>
    </row>
    <row r="78" spans="1:8" x14ac:dyDescent="0.3">
      <c r="A78" s="141"/>
      <c r="B78" s="334"/>
      <c r="C78" s="152"/>
      <c r="D78" s="135"/>
      <c r="E78" s="135"/>
      <c r="F78" s="160">
        <f t="shared" si="1"/>
        <v>0</v>
      </c>
      <c r="G78" s="108"/>
      <c r="H78" s="68"/>
    </row>
    <row r="79" spans="1:8" x14ac:dyDescent="0.3">
      <c r="A79" s="142"/>
      <c r="B79" s="335" t="s">
        <v>132</v>
      </c>
      <c r="C79" s="336">
        <v>10</v>
      </c>
      <c r="D79" s="336">
        <v>10</v>
      </c>
      <c r="E79" s="336"/>
      <c r="F79" s="336">
        <v>10</v>
      </c>
      <c r="G79" s="108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v>0</v>
      </c>
      <c r="G80" s="160"/>
      <c r="H80" s="68"/>
    </row>
    <row r="83" spans="1:8" x14ac:dyDescent="0.25">
      <c r="B83" s="331" t="s">
        <v>250</v>
      </c>
      <c r="C83" s="280" t="s">
        <v>46</v>
      </c>
    </row>
    <row r="84" spans="1:8" x14ac:dyDescent="0.25">
      <c r="A84" s="280" t="s">
        <v>251</v>
      </c>
      <c r="B84" s="331"/>
    </row>
    <row r="85" spans="1:8" x14ac:dyDescent="0.25">
      <c r="A85" s="280">
        <v>10</v>
      </c>
      <c r="B85" s="280" t="s">
        <v>286</v>
      </c>
      <c r="C85" s="280">
        <f>10*6000*12/1000</f>
        <v>720</v>
      </c>
    </row>
    <row r="86" spans="1:8" x14ac:dyDescent="0.25">
      <c r="B86" s="280" t="s">
        <v>284</v>
      </c>
      <c r="C86" s="338">
        <f>C85*0.15</f>
        <v>108</v>
      </c>
    </row>
    <row r="88" spans="1:8" x14ac:dyDescent="0.25">
      <c r="B88" s="341" t="s">
        <v>228</v>
      </c>
      <c r="C88" s="343">
        <f>SUM(C85:C87)</f>
        <v>828</v>
      </c>
    </row>
    <row r="89" spans="1:8" x14ac:dyDescent="0.25">
      <c r="A89" s="364"/>
      <c r="B89" s="365"/>
      <c r="C89" s="366"/>
    </row>
    <row r="90" spans="1:8" x14ac:dyDescent="0.25">
      <c r="A90" s="367"/>
      <c r="B90" s="368" t="s">
        <v>277</v>
      </c>
      <c r="C90" s="369" t="s">
        <v>285</v>
      </c>
    </row>
    <row r="91" spans="1:8" x14ac:dyDescent="0.25">
      <c r="A91" s="370"/>
      <c r="B91" s="368" t="s">
        <v>43</v>
      </c>
      <c r="C91" s="371"/>
    </row>
    <row r="92" spans="1:8" x14ac:dyDescent="0.35">
      <c r="A92" s="372"/>
      <c r="B92" s="372"/>
      <c r="C92" s="373" t="s">
        <v>165</v>
      </c>
    </row>
    <row r="93" spans="1:8" x14ac:dyDescent="0.25">
      <c r="A93" s="367"/>
      <c r="B93" s="374" t="s">
        <v>234</v>
      </c>
      <c r="C93" s="374" t="s">
        <v>235</v>
      </c>
    </row>
    <row r="94" spans="1:8" ht="17.399999999999999" customHeight="1" x14ac:dyDescent="0.25">
      <c r="A94" s="289"/>
      <c r="B94" s="289"/>
      <c r="C94" s="541" t="s">
        <v>50</v>
      </c>
      <c r="D94" s="541"/>
      <c r="E94" s="541"/>
      <c r="F94" s="541"/>
      <c r="G94" s="541"/>
      <c r="H94" s="541"/>
    </row>
    <row r="95" spans="1:8" ht="54" x14ac:dyDescent="0.3">
      <c r="A95" s="299"/>
      <c r="B95" s="299" t="s">
        <v>236</v>
      </c>
      <c r="C95" s="375" t="s">
        <v>237</v>
      </c>
      <c r="D95" s="362" t="s">
        <v>188</v>
      </c>
      <c r="E95" s="362" t="s">
        <v>53</v>
      </c>
      <c r="F95" s="362" t="s">
        <v>54</v>
      </c>
      <c r="G95" s="58" t="s">
        <v>287</v>
      </c>
      <c r="H95" s="58" t="s">
        <v>55</v>
      </c>
    </row>
    <row r="96" spans="1:8" x14ac:dyDescent="0.25">
      <c r="A96" s="289" t="s">
        <v>56</v>
      </c>
      <c r="B96" s="163" t="s">
        <v>57</v>
      </c>
      <c r="C96" s="160">
        <f>C97+C98+C99+C100+C101+C102</f>
        <v>0</v>
      </c>
      <c r="D96" s="160">
        <f>D97+D98+D99+D100+D101+D102</f>
        <v>0</v>
      </c>
      <c r="E96" s="160">
        <f>E97+E98+E99+E100+E101+E102</f>
        <v>0</v>
      </c>
      <c r="F96" s="160">
        <f t="shared" ref="F96:F114" si="2">C96+D96+E96</f>
        <v>0</v>
      </c>
      <c r="G96" s="135"/>
      <c r="H96" s="135"/>
    </row>
    <row r="97" spans="1:8" x14ac:dyDescent="0.25">
      <c r="A97" s="151"/>
      <c r="B97" s="152" t="s">
        <v>58</v>
      </c>
      <c r="C97" s="160"/>
      <c r="D97" s="307"/>
      <c r="E97" s="307"/>
      <c r="F97" s="160">
        <f t="shared" si="2"/>
        <v>0</v>
      </c>
      <c r="G97" s="135"/>
      <c r="H97" s="135"/>
    </row>
    <row r="98" spans="1:8" ht="36" x14ac:dyDescent="0.25">
      <c r="A98" s="128"/>
      <c r="B98" s="152" t="s">
        <v>59</v>
      </c>
      <c r="C98" s="306"/>
      <c r="D98" s="307"/>
      <c r="E98" s="307"/>
      <c r="F98" s="160">
        <f t="shared" si="2"/>
        <v>0</v>
      </c>
      <c r="G98" s="135"/>
      <c r="H98" s="135"/>
    </row>
    <row r="99" spans="1:8" ht="36" x14ac:dyDescent="0.25">
      <c r="A99" s="128"/>
      <c r="B99" s="152" t="s">
        <v>60</v>
      </c>
      <c r="C99" s="306"/>
      <c r="D99" s="307"/>
      <c r="E99" s="307"/>
      <c r="F99" s="160">
        <f t="shared" si="2"/>
        <v>0</v>
      </c>
      <c r="G99" s="135"/>
      <c r="H99" s="135"/>
    </row>
    <row r="100" spans="1:8" ht="36" x14ac:dyDescent="0.25">
      <c r="A100" s="128"/>
      <c r="B100" s="152" t="s">
        <v>61</v>
      </c>
      <c r="C100" s="306"/>
      <c r="D100" s="307"/>
      <c r="E100" s="307"/>
      <c r="F100" s="160">
        <f t="shared" si="2"/>
        <v>0</v>
      </c>
      <c r="G100" s="135"/>
      <c r="H100" s="135"/>
    </row>
    <row r="101" spans="1:8" x14ac:dyDescent="0.25">
      <c r="A101" s="128"/>
      <c r="B101" s="152" t="s">
        <v>134</v>
      </c>
      <c r="C101" s="306"/>
      <c r="D101" s="307"/>
      <c r="E101" s="307"/>
      <c r="F101" s="160">
        <f t="shared" si="2"/>
        <v>0</v>
      </c>
      <c r="G101" s="135"/>
      <c r="H101" s="135"/>
    </row>
    <row r="102" spans="1:8" x14ac:dyDescent="0.25">
      <c r="A102" s="128"/>
      <c r="B102" s="152" t="s">
        <v>63</v>
      </c>
      <c r="C102" s="306"/>
      <c r="D102" s="135"/>
      <c r="E102" s="135"/>
      <c r="F102" s="160">
        <f t="shared" si="2"/>
        <v>0</v>
      </c>
      <c r="G102" s="135"/>
      <c r="H102" s="135"/>
    </row>
    <row r="103" spans="1:8" ht="34.799999999999997" x14ac:dyDescent="0.25">
      <c r="A103" s="128" t="s">
        <v>64</v>
      </c>
      <c r="B103" s="163" t="s">
        <v>65</v>
      </c>
      <c r="C103" s="306">
        <f>C104+C105+C106+C107</f>
        <v>0</v>
      </c>
      <c r="D103" s="306">
        <f>D104+D105+D106+D107</f>
        <v>0</v>
      </c>
      <c r="E103" s="306">
        <f>E104+E105+E106+E107</f>
        <v>0</v>
      </c>
      <c r="F103" s="160">
        <f t="shared" si="2"/>
        <v>0</v>
      </c>
      <c r="G103" s="135"/>
      <c r="H103" s="135"/>
    </row>
    <row r="104" spans="1:8" ht="36" x14ac:dyDescent="0.25">
      <c r="A104" s="151"/>
      <c r="B104" s="152" t="s">
        <v>135</v>
      </c>
      <c r="C104" s="160"/>
      <c r="D104" s="307"/>
      <c r="E104" s="307"/>
      <c r="F104" s="160">
        <f t="shared" si="2"/>
        <v>0</v>
      </c>
      <c r="G104" s="135"/>
      <c r="H104" s="135"/>
    </row>
    <row r="105" spans="1:8" ht="36" x14ac:dyDescent="0.25">
      <c r="A105" s="128"/>
      <c r="B105" s="152" t="s">
        <v>157</v>
      </c>
      <c r="C105" s="306"/>
      <c r="D105" s="135"/>
      <c r="E105" s="135"/>
      <c r="F105" s="160">
        <f t="shared" si="2"/>
        <v>0</v>
      </c>
      <c r="G105" s="135"/>
      <c r="H105" s="135"/>
    </row>
    <row r="106" spans="1:8" ht="36" x14ac:dyDescent="0.25">
      <c r="A106" s="128"/>
      <c r="B106" s="152" t="s">
        <v>158</v>
      </c>
      <c r="C106" s="306"/>
      <c r="D106" s="135"/>
      <c r="E106" s="135"/>
      <c r="F106" s="160">
        <f t="shared" si="2"/>
        <v>0</v>
      </c>
      <c r="G106" s="135"/>
      <c r="H106" s="135"/>
    </row>
    <row r="107" spans="1:8" ht="36" x14ac:dyDescent="0.25">
      <c r="A107" s="128"/>
      <c r="B107" s="152" t="s">
        <v>69</v>
      </c>
      <c r="C107" s="306"/>
      <c r="D107" s="307"/>
      <c r="E107" s="307"/>
      <c r="F107" s="160">
        <f t="shared" si="2"/>
        <v>0</v>
      </c>
      <c r="G107" s="135"/>
      <c r="H107" s="135"/>
    </row>
    <row r="108" spans="1:8" ht="34.799999999999997" x14ac:dyDescent="0.25">
      <c r="A108" s="128" t="s">
        <v>70</v>
      </c>
      <c r="B108" s="161" t="s">
        <v>71</v>
      </c>
      <c r="C108" s="306">
        <f>C109</f>
        <v>0</v>
      </c>
      <c r="D108" s="306">
        <f>D109</f>
        <v>0</v>
      </c>
      <c r="E108" s="306">
        <f>E109</f>
        <v>0</v>
      </c>
      <c r="F108" s="160">
        <f t="shared" si="2"/>
        <v>0</v>
      </c>
      <c r="G108" s="135"/>
      <c r="H108" s="135"/>
    </row>
    <row r="109" spans="1:8" ht="36" x14ac:dyDescent="0.25">
      <c r="A109" s="128"/>
      <c r="B109" s="309" t="s">
        <v>267</v>
      </c>
      <c r="C109" s="306"/>
      <c r="D109" s="135"/>
      <c r="E109" s="135"/>
      <c r="F109" s="160">
        <f t="shared" si="2"/>
        <v>0</v>
      </c>
      <c r="G109" s="135"/>
      <c r="H109" s="135"/>
    </row>
    <row r="110" spans="1:8" x14ac:dyDescent="0.25">
      <c r="A110" s="155" t="s">
        <v>73</v>
      </c>
      <c r="B110" s="161" t="s">
        <v>74</v>
      </c>
      <c r="C110" s="306">
        <f>C111+C112+C113+C114</f>
        <v>0</v>
      </c>
      <c r="D110" s="306">
        <f>D111+D112+D113+D114</f>
        <v>0</v>
      </c>
      <c r="E110" s="306">
        <f>E111+E112+E113+E114</f>
        <v>0</v>
      </c>
      <c r="F110" s="160">
        <f t="shared" si="2"/>
        <v>0</v>
      </c>
      <c r="G110" s="135"/>
      <c r="H110" s="135"/>
    </row>
    <row r="111" spans="1:8" ht="36" x14ac:dyDescent="0.25">
      <c r="A111" s="128"/>
      <c r="B111" s="38" t="s">
        <v>75</v>
      </c>
      <c r="C111" s="306"/>
      <c r="D111" s="135"/>
      <c r="E111" s="135"/>
      <c r="F111" s="160">
        <f t="shared" si="2"/>
        <v>0</v>
      </c>
      <c r="G111" s="135"/>
      <c r="H111" s="135"/>
    </row>
    <row r="112" spans="1:8" x14ac:dyDescent="0.25">
      <c r="A112" s="129"/>
      <c r="B112" s="38" t="s">
        <v>76</v>
      </c>
      <c r="C112" s="306"/>
      <c r="D112" s="135"/>
      <c r="E112" s="135"/>
      <c r="F112" s="160">
        <f t="shared" si="2"/>
        <v>0</v>
      </c>
      <c r="G112" s="135"/>
      <c r="H112" s="135"/>
    </row>
    <row r="113" spans="1:8" x14ac:dyDescent="0.25">
      <c r="A113" s="128"/>
      <c r="B113" s="38" t="s">
        <v>77</v>
      </c>
      <c r="C113" s="308"/>
      <c r="D113" s="135"/>
      <c r="E113" s="135"/>
      <c r="F113" s="160">
        <f t="shared" si="2"/>
        <v>0</v>
      </c>
      <c r="G113" s="135"/>
      <c r="H113" s="135"/>
    </row>
    <row r="114" spans="1:8" ht="72" x14ac:dyDescent="0.25">
      <c r="A114" s="151"/>
      <c r="B114" s="38" t="s">
        <v>78</v>
      </c>
      <c r="C114" s="160"/>
      <c r="D114" s="135"/>
      <c r="E114" s="135"/>
      <c r="F114" s="160">
        <f t="shared" si="2"/>
        <v>0</v>
      </c>
      <c r="G114" s="135"/>
      <c r="H114" s="135"/>
    </row>
    <row r="115" spans="1:8" x14ac:dyDescent="0.3">
      <c r="A115" s="155" t="s">
        <v>79</v>
      </c>
      <c r="B115" s="311" t="s">
        <v>80</v>
      </c>
      <c r="C115" s="308">
        <f>C116+C117+C118+C119+C120</f>
        <v>534</v>
      </c>
      <c r="D115" s="308">
        <v>199</v>
      </c>
      <c r="E115" s="308">
        <f>E116+E117+E118+E119+E120</f>
        <v>0</v>
      </c>
      <c r="F115" s="308">
        <f>F116+F117+F118+F119+F120</f>
        <v>199</v>
      </c>
      <c r="G115" s="376">
        <f>G116+G117+G118+G119+G120</f>
        <v>199</v>
      </c>
      <c r="H115" s="68">
        <f>G115/F115</f>
        <v>1</v>
      </c>
    </row>
    <row r="116" spans="1:8" ht="54" x14ac:dyDescent="0.3">
      <c r="A116" s="128"/>
      <c r="B116" s="152" t="s">
        <v>137</v>
      </c>
      <c r="C116" s="306">
        <v>534</v>
      </c>
      <c r="D116" s="135">
        <v>199</v>
      </c>
      <c r="E116" s="135"/>
      <c r="F116" s="160">
        <f t="shared" ref="F116:F128" si="3">+D116+E116</f>
        <v>199</v>
      </c>
      <c r="G116" s="135">
        <v>199</v>
      </c>
      <c r="H116" s="68">
        <f>G116/F116</f>
        <v>1</v>
      </c>
    </row>
    <row r="117" spans="1:8" x14ac:dyDescent="0.35">
      <c r="A117" s="128"/>
      <c r="B117" s="152" t="s">
        <v>82</v>
      </c>
      <c r="C117" s="306"/>
      <c r="D117" s="135"/>
      <c r="E117" s="135"/>
      <c r="F117" s="160">
        <f t="shared" si="3"/>
        <v>0</v>
      </c>
      <c r="G117" s="135"/>
      <c r="H117" s="66"/>
    </row>
    <row r="118" spans="1:8" x14ac:dyDescent="0.35">
      <c r="A118" s="128"/>
      <c r="B118" s="152" t="s">
        <v>83</v>
      </c>
      <c r="C118" s="306"/>
      <c r="D118" s="135"/>
      <c r="E118" s="135"/>
      <c r="F118" s="160">
        <f t="shared" si="3"/>
        <v>0</v>
      </c>
      <c r="G118" s="135"/>
      <c r="H118" s="66"/>
    </row>
    <row r="119" spans="1:8" x14ac:dyDescent="0.35">
      <c r="A119" s="128"/>
      <c r="B119" s="152" t="s">
        <v>84</v>
      </c>
      <c r="C119" s="306"/>
      <c r="D119" s="135"/>
      <c r="E119" s="135"/>
      <c r="F119" s="160">
        <f t="shared" si="3"/>
        <v>0</v>
      </c>
      <c r="G119" s="135"/>
      <c r="H119" s="66"/>
    </row>
    <row r="120" spans="1:8" x14ac:dyDescent="0.35">
      <c r="A120" s="128"/>
      <c r="B120" s="152" t="s">
        <v>85</v>
      </c>
      <c r="C120" s="306"/>
      <c r="D120" s="135"/>
      <c r="E120" s="135"/>
      <c r="F120" s="160">
        <f t="shared" si="3"/>
        <v>0</v>
      </c>
      <c r="G120" s="135"/>
      <c r="H120" s="66"/>
    </row>
    <row r="121" spans="1:8" x14ac:dyDescent="0.35">
      <c r="A121" s="155" t="s">
        <v>86</v>
      </c>
      <c r="B121" s="161" t="s">
        <v>87</v>
      </c>
      <c r="C121" s="306">
        <f>C122+C123</f>
        <v>0</v>
      </c>
      <c r="D121" s="306">
        <f>D122+D123</f>
        <v>0</v>
      </c>
      <c r="E121" s="306">
        <f>E122+E123</f>
        <v>0</v>
      </c>
      <c r="F121" s="160">
        <f t="shared" si="3"/>
        <v>0</v>
      </c>
      <c r="G121" s="135"/>
      <c r="H121" s="66"/>
    </row>
    <row r="122" spans="1:8" x14ac:dyDescent="0.35">
      <c r="A122" s="129"/>
      <c r="B122" s="152" t="s">
        <v>88</v>
      </c>
      <c r="C122" s="306"/>
      <c r="D122" s="135"/>
      <c r="E122" s="135"/>
      <c r="F122" s="160">
        <f t="shared" si="3"/>
        <v>0</v>
      </c>
      <c r="G122" s="135"/>
      <c r="H122" s="66"/>
    </row>
    <row r="123" spans="1:8" x14ac:dyDescent="0.35">
      <c r="A123" s="130"/>
      <c r="B123" s="152" t="s">
        <v>268</v>
      </c>
      <c r="C123" s="160"/>
      <c r="D123" s="307"/>
      <c r="E123" s="307"/>
      <c r="F123" s="160">
        <f t="shared" si="3"/>
        <v>0</v>
      </c>
      <c r="G123" s="135"/>
      <c r="H123" s="66"/>
    </row>
    <row r="124" spans="1:8" x14ac:dyDescent="0.35">
      <c r="A124" s="312" t="s">
        <v>89</v>
      </c>
      <c r="B124" s="161" t="s">
        <v>90</v>
      </c>
      <c r="C124" s="153">
        <f>C125</f>
        <v>0</v>
      </c>
      <c r="D124" s="135"/>
      <c r="E124" s="135"/>
      <c r="F124" s="160">
        <f t="shared" si="3"/>
        <v>0</v>
      </c>
      <c r="G124" s="135"/>
      <c r="H124" s="66"/>
    </row>
    <row r="125" spans="1:8" x14ac:dyDescent="0.35">
      <c r="A125" s="132"/>
      <c r="B125" s="152" t="s">
        <v>239</v>
      </c>
      <c r="C125" s="306"/>
      <c r="D125" s="135"/>
      <c r="E125" s="135"/>
      <c r="F125" s="160">
        <f t="shared" si="3"/>
        <v>0</v>
      </c>
      <c r="G125" s="135"/>
      <c r="H125" s="66"/>
    </row>
    <row r="126" spans="1:8" x14ac:dyDescent="0.35">
      <c r="A126" s="312" t="s">
        <v>92</v>
      </c>
      <c r="B126" s="161" t="s">
        <v>93</v>
      </c>
      <c r="C126" s="306">
        <f>C127+C128</f>
        <v>0</v>
      </c>
      <c r="D126" s="135"/>
      <c r="E126" s="135"/>
      <c r="F126" s="160">
        <f t="shared" si="3"/>
        <v>0</v>
      </c>
      <c r="G126" s="135"/>
      <c r="H126" s="66"/>
    </row>
    <row r="127" spans="1:8" ht="54" x14ac:dyDescent="0.35">
      <c r="A127" s="132"/>
      <c r="B127" s="38" t="s">
        <v>269</v>
      </c>
      <c r="C127" s="306"/>
      <c r="D127" s="135"/>
      <c r="E127" s="135"/>
      <c r="F127" s="160">
        <f t="shared" si="3"/>
        <v>0</v>
      </c>
      <c r="G127" s="135"/>
      <c r="H127" s="66"/>
    </row>
    <row r="128" spans="1:8" x14ac:dyDescent="0.35">
      <c r="A128" s="132"/>
      <c r="B128" s="38" t="s">
        <v>270</v>
      </c>
      <c r="C128" s="306"/>
      <c r="D128" s="135"/>
      <c r="E128" s="135"/>
      <c r="F128" s="160">
        <f t="shared" si="3"/>
        <v>0</v>
      </c>
      <c r="G128" s="135"/>
      <c r="H128" s="66"/>
    </row>
    <row r="129" spans="1:8" x14ac:dyDescent="0.3">
      <c r="A129" s="132"/>
      <c r="B129" s="161" t="s">
        <v>96</v>
      </c>
      <c r="C129" s="308">
        <f>C96+C103+C108+C110+C115+C121+C124+C126</f>
        <v>534</v>
      </c>
      <c r="D129" s="308">
        <f>D96+D103+D108+D110+D115+D121+D124+D126</f>
        <v>199</v>
      </c>
      <c r="E129" s="308">
        <f>E96+E103+E108+E110+E115+E121+E124+E126</f>
        <v>0</v>
      </c>
      <c r="F129" s="308">
        <f>F96+F103+F108+F110+F115+F121+F124+F126</f>
        <v>199</v>
      </c>
      <c r="G129" s="376">
        <f>G96+G103+G108+G110+G115+G121+G124+G126</f>
        <v>199</v>
      </c>
      <c r="H129" s="68">
        <f>G129/F129</f>
        <v>1</v>
      </c>
    </row>
    <row r="130" spans="1:8" x14ac:dyDescent="0.3">
      <c r="A130" s="312" t="s">
        <v>97</v>
      </c>
      <c r="B130" s="161" t="s">
        <v>271</v>
      </c>
      <c r="C130" s="160">
        <f>C165-C129-C131</f>
        <v>32929</v>
      </c>
      <c r="D130" s="160">
        <f>D165-D129-D131</f>
        <v>22675</v>
      </c>
      <c r="E130" s="160">
        <f>E165-E129-E131</f>
        <v>0</v>
      </c>
      <c r="F130" s="160">
        <f>F165-F129-F131</f>
        <v>22675</v>
      </c>
      <c r="G130" s="160">
        <f>G165-G129-G131</f>
        <v>22675</v>
      </c>
      <c r="H130" s="68">
        <f>G130/F130</f>
        <v>1</v>
      </c>
    </row>
    <row r="131" spans="1:8" ht="34.799999999999997" x14ac:dyDescent="0.35">
      <c r="A131" s="312" t="s">
        <v>99</v>
      </c>
      <c r="B131" s="161" t="s">
        <v>100</v>
      </c>
      <c r="C131" s="306"/>
      <c r="D131" s="135"/>
      <c r="E131" s="135"/>
      <c r="F131" s="160">
        <f>+D131+E131</f>
        <v>0</v>
      </c>
      <c r="G131" s="135"/>
      <c r="H131" s="66"/>
    </row>
    <row r="132" spans="1:8" ht="34.799999999999997" x14ac:dyDescent="0.35">
      <c r="A132" s="312" t="s">
        <v>101</v>
      </c>
      <c r="B132" s="161" t="s">
        <v>102</v>
      </c>
      <c r="C132" s="306"/>
      <c r="D132" s="135"/>
      <c r="E132" s="135"/>
      <c r="F132" s="160">
        <f>+D132+E132</f>
        <v>0</v>
      </c>
      <c r="G132" s="135"/>
      <c r="H132" s="66"/>
    </row>
    <row r="133" spans="1:8" x14ac:dyDescent="0.3">
      <c r="A133" s="132"/>
      <c r="B133" s="161" t="s">
        <v>103</v>
      </c>
      <c r="C133" s="308">
        <f>C130+C131+C132</f>
        <v>32929</v>
      </c>
      <c r="D133" s="308">
        <f>D130+D131+D132</f>
        <v>22675</v>
      </c>
      <c r="E133" s="308">
        <f>E130+E131+E132</f>
        <v>0</v>
      </c>
      <c r="F133" s="308">
        <f>F130+F131+F132</f>
        <v>22675</v>
      </c>
      <c r="G133" s="308">
        <f>G130+G131+G132</f>
        <v>22675</v>
      </c>
      <c r="H133" s="68">
        <f>G133/F133</f>
        <v>1</v>
      </c>
    </row>
    <row r="134" spans="1:8" x14ac:dyDescent="0.3">
      <c r="A134" s="132"/>
      <c r="B134" s="163" t="s">
        <v>106</v>
      </c>
      <c r="C134" s="308">
        <f>C129+C133</f>
        <v>33463</v>
      </c>
      <c r="D134" s="308">
        <f>D129+D133</f>
        <v>22874</v>
      </c>
      <c r="E134" s="308">
        <f>E129+E133</f>
        <v>0</v>
      </c>
      <c r="F134" s="308">
        <f>F129+F133</f>
        <v>22874</v>
      </c>
      <c r="G134" s="308">
        <f>G129+G133</f>
        <v>22874</v>
      </c>
      <c r="H134" s="68">
        <f>G134/F134</f>
        <v>1</v>
      </c>
    </row>
    <row r="135" spans="1:8" x14ac:dyDescent="0.25">
      <c r="A135" s="316"/>
      <c r="B135" s="317"/>
      <c r="C135" s="318"/>
    </row>
    <row r="136" spans="1:8" ht="18" customHeight="1" x14ac:dyDescent="0.25">
      <c r="A136" s="141"/>
      <c r="B136" s="141"/>
      <c r="C136" s="542" t="s">
        <v>50</v>
      </c>
      <c r="D136" s="542"/>
      <c r="E136" s="542"/>
      <c r="F136" s="542"/>
      <c r="G136" s="542"/>
      <c r="H136" s="542"/>
    </row>
    <row r="137" spans="1:8" ht="54" x14ac:dyDescent="0.3">
      <c r="A137" s="320"/>
      <c r="B137" s="320" t="s">
        <v>243</v>
      </c>
      <c r="C137" s="375" t="s">
        <v>237</v>
      </c>
      <c r="D137" s="362" t="s">
        <v>188</v>
      </c>
      <c r="E137" s="362" t="s">
        <v>53</v>
      </c>
      <c r="F137" s="362" t="s">
        <v>54</v>
      </c>
      <c r="G137" s="58" t="s">
        <v>288</v>
      </c>
      <c r="H137" s="58" t="s">
        <v>55</v>
      </c>
    </row>
    <row r="138" spans="1:8" x14ac:dyDescent="0.3">
      <c r="A138" s="130" t="s">
        <v>56</v>
      </c>
      <c r="B138" s="322" t="s">
        <v>108</v>
      </c>
      <c r="C138" s="160">
        <f>C139+C140+C141+C144+C145</f>
        <v>33463</v>
      </c>
      <c r="D138" s="160">
        <f>D139+D140+D141+D144+D145</f>
        <v>22874</v>
      </c>
      <c r="E138" s="160">
        <f>E139+E140+E141+E144+E145</f>
        <v>0</v>
      </c>
      <c r="F138" s="160">
        <f>F139+F140+F141+F144+F145</f>
        <v>22874</v>
      </c>
      <c r="G138" s="160">
        <f>G139+G140+G141+G144+G145</f>
        <v>22874</v>
      </c>
      <c r="H138" s="68">
        <f>G138/F138</f>
        <v>1</v>
      </c>
    </row>
    <row r="139" spans="1:8" x14ac:dyDescent="0.3">
      <c r="A139" s="137"/>
      <c r="B139" s="323" t="s">
        <v>109</v>
      </c>
      <c r="C139" s="377">
        <v>25302</v>
      </c>
      <c r="D139" s="306">
        <v>18240</v>
      </c>
      <c r="E139" s="306">
        <f>-(D139-G139)</f>
        <v>0</v>
      </c>
      <c r="F139" s="306">
        <f t="shared" ref="F139:F159" si="4">+D139+E139</f>
        <v>18240</v>
      </c>
      <c r="G139" s="306">
        <v>18240</v>
      </c>
      <c r="H139" s="68">
        <f>G139/F139</f>
        <v>1</v>
      </c>
    </row>
    <row r="140" spans="1:8" ht="36" x14ac:dyDescent="0.3">
      <c r="A140" s="132"/>
      <c r="B140" s="174" t="s">
        <v>110</v>
      </c>
      <c r="C140" s="377">
        <v>4487</v>
      </c>
      <c r="D140" s="306">
        <v>3124</v>
      </c>
      <c r="E140" s="306"/>
      <c r="F140" s="306">
        <f t="shared" si="4"/>
        <v>3124</v>
      </c>
      <c r="G140" s="306">
        <v>3124</v>
      </c>
      <c r="H140" s="68">
        <f>G140/F140</f>
        <v>1</v>
      </c>
    </row>
    <row r="141" spans="1:8" x14ac:dyDescent="0.3">
      <c r="A141" s="132"/>
      <c r="B141" s="174" t="s">
        <v>111</v>
      </c>
      <c r="C141" s="377">
        <v>3674</v>
      </c>
      <c r="D141" s="306">
        <v>1510</v>
      </c>
      <c r="E141" s="306"/>
      <c r="F141" s="306">
        <f t="shared" si="4"/>
        <v>1510</v>
      </c>
      <c r="G141" s="306">
        <v>1510</v>
      </c>
      <c r="H141" s="68">
        <f>G141/F141</f>
        <v>1</v>
      </c>
    </row>
    <row r="142" spans="1:8" ht="36" x14ac:dyDescent="0.3">
      <c r="A142" s="132"/>
      <c r="B142" s="174" t="s">
        <v>112</v>
      </c>
      <c r="C142" s="306"/>
      <c r="D142" s="135"/>
      <c r="E142" s="135"/>
      <c r="F142" s="160">
        <f t="shared" si="4"/>
        <v>0</v>
      </c>
      <c r="G142" s="135"/>
      <c r="H142" s="68"/>
    </row>
    <row r="143" spans="1:8" x14ac:dyDescent="0.3">
      <c r="A143" s="132"/>
      <c r="B143" s="174" t="s">
        <v>113</v>
      </c>
      <c r="C143" s="306"/>
      <c r="D143" s="135"/>
      <c r="E143" s="135"/>
      <c r="F143" s="160">
        <f t="shared" si="4"/>
        <v>0</v>
      </c>
      <c r="G143" s="135"/>
      <c r="H143" s="68"/>
    </row>
    <row r="144" spans="1:8" x14ac:dyDescent="0.3">
      <c r="A144" s="132"/>
      <c r="B144" s="174" t="s">
        <v>114</v>
      </c>
      <c r="C144" s="306"/>
      <c r="D144" s="135"/>
      <c r="E144" s="135"/>
      <c r="F144" s="160">
        <f t="shared" si="4"/>
        <v>0</v>
      </c>
      <c r="G144" s="135"/>
      <c r="H144" s="68"/>
    </row>
    <row r="145" spans="1:8" x14ac:dyDescent="0.3">
      <c r="A145" s="132"/>
      <c r="B145" s="174" t="s">
        <v>115</v>
      </c>
      <c r="C145" s="306">
        <f>SUM(C146:C149)</f>
        <v>0</v>
      </c>
      <c r="D145" s="135"/>
      <c r="E145" s="135"/>
      <c r="F145" s="160">
        <f t="shared" si="4"/>
        <v>0</v>
      </c>
      <c r="G145" s="135"/>
      <c r="H145" s="68"/>
    </row>
    <row r="146" spans="1:8" x14ac:dyDescent="0.3">
      <c r="A146" s="132"/>
      <c r="B146" s="174" t="s">
        <v>116</v>
      </c>
      <c r="C146" s="306"/>
      <c r="D146" s="135"/>
      <c r="E146" s="135"/>
      <c r="F146" s="160">
        <f t="shared" si="4"/>
        <v>0</v>
      </c>
      <c r="G146" s="135"/>
      <c r="H146" s="68"/>
    </row>
    <row r="147" spans="1:8" ht="36" x14ac:dyDescent="0.3">
      <c r="A147" s="132"/>
      <c r="B147" s="174" t="s">
        <v>117</v>
      </c>
      <c r="C147" s="306"/>
      <c r="D147" s="135"/>
      <c r="E147" s="135"/>
      <c r="F147" s="160">
        <f t="shared" si="4"/>
        <v>0</v>
      </c>
      <c r="G147" s="135"/>
      <c r="H147" s="68"/>
    </row>
    <row r="148" spans="1:8" ht="36" x14ac:dyDescent="0.3">
      <c r="A148" s="132"/>
      <c r="B148" s="174" t="s">
        <v>118</v>
      </c>
      <c r="C148" s="306"/>
      <c r="D148" s="135"/>
      <c r="E148" s="135"/>
      <c r="F148" s="160">
        <f t="shared" si="4"/>
        <v>0</v>
      </c>
      <c r="G148" s="135"/>
      <c r="H148" s="68"/>
    </row>
    <row r="149" spans="1:8" x14ac:dyDescent="0.35">
      <c r="A149" s="132"/>
      <c r="B149" s="328"/>
      <c r="C149" s="306"/>
      <c r="D149" s="135"/>
      <c r="E149" s="135"/>
      <c r="F149" s="160">
        <f t="shared" si="4"/>
        <v>0</v>
      </c>
      <c r="G149" s="135"/>
      <c r="H149" s="68"/>
    </row>
    <row r="150" spans="1:8" x14ac:dyDescent="0.3">
      <c r="A150" s="130" t="s">
        <v>64</v>
      </c>
      <c r="B150" s="322" t="s">
        <v>119</v>
      </c>
      <c r="C150" s="160">
        <f>C151+C154+C155+C158</f>
        <v>0</v>
      </c>
      <c r="D150" s="160">
        <f>D151+D154+D155+D158</f>
        <v>0</v>
      </c>
      <c r="E150" s="160">
        <f>E151+E154+E155+E158</f>
        <v>0</v>
      </c>
      <c r="F150" s="160">
        <f t="shared" si="4"/>
        <v>0</v>
      </c>
      <c r="G150" s="135"/>
      <c r="H150" s="68"/>
    </row>
    <row r="151" spans="1:8" x14ac:dyDescent="0.3">
      <c r="A151" s="137"/>
      <c r="B151" s="173" t="s">
        <v>120</v>
      </c>
      <c r="C151" s="306"/>
      <c r="D151" s="135"/>
      <c r="E151" s="135"/>
      <c r="F151" s="160">
        <f t="shared" si="4"/>
        <v>0</v>
      </c>
      <c r="G151" s="135"/>
      <c r="H151" s="68"/>
    </row>
    <row r="152" spans="1:8" ht="36" x14ac:dyDescent="0.3">
      <c r="A152" s="137"/>
      <c r="B152" s="174" t="s">
        <v>245</v>
      </c>
      <c r="C152" s="306"/>
      <c r="D152" s="135"/>
      <c r="E152" s="135"/>
      <c r="F152" s="160">
        <f t="shared" si="4"/>
        <v>0</v>
      </c>
      <c r="G152" s="135"/>
      <c r="H152" s="68"/>
    </row>
    <row r="153" spans="1:8" ht="36" x14ac:dyDescent="0.3">
      <c r="A153" s="137"/>
      <c r="B153" s="174" t="s">
        <v>246</v>
      </c>
      <c r="C153" s="306"/>
      <c r="D153" s="135"/>
      <c r="E153" s="135"/>
      <c r="F153" s="160">
        <f t="shared" si="4"/>
        <v>0</v>
      </c>
      <c r="G153" s="135"/>
      <c r="H153" s="68"/>
    </row>
    <row r="154" spans="1:8" x14ac:dyDescent="0.3">
      <c r="A154" s="132"/>
      <c r="B154" s="174" t="s">
        <v>123</v>
      </c>
      <c r="C154" s="306"/>
      <c r="D154" s="135"/>
      <c r="E154" s="135"/>
      <c r="F154" s="160">
        <f t="shared" si="4"/>
        <v>0</v>
      </c>
      <c r="G154" s="135"/>
      <c r="H154" s="68"/>
    </row>
    <row r="155" spans="1:8" x14ac:dyDescent="0.3">
      <c r="A155" s="132"/>
      <c r="B155" s="174" t="s">
        <v>148</v>
      </c>
      <c r="C155" s="306"/>
      <c r="D155" s="135"/>
      <c r="E155" s="135"/>
      <c r="F155" s="160">
        <f t="shared" si="4"/>
        <v>0</v>
      </c>
      <c r="G155" s="135"/>
      <c r="H155" s="68"/>
    </row>
    <row r="156" spans="1:8" ht="36" x14ac:dyDescent="0.3">
      <c r="A156" s="132"/>
      <c r="B156" s="174" t="s">
        <v>125</v>
      </c>
      <c r="C156" s="306"/>
      <c r="D156" s="135"/>
      <c r="E156" s="135"/>
      <c r="F156" s="160">
        <f t="shared" si="4"/>
        <v>0</v>
      </c>
      <c r="G156" s="135"/>
      <c r="H156" s="68"/>
    </row>
    <row r="157" spans="1:8" ht="36" x14ac:dyDescent="0.3">
      <c r="A157" s="132"/>
      <c r="B157" s="174" t="s">
        <v>126</v>
      </c>
      <c r="C157" s="306"/>
      <c r="D157" s="135"/>
      <c r="E157" s="135"/>
      <c r="F157" s="160">
        <f t="shared" si="4"/>
        <v>0</v>
      </c>
      <c r="G157" s="135"/>
      <c r="H157" s="68"/>
    </row>
    <row r="158" spans="1:8" x14ac:dyDescent="0.3">
      <c r="A158" s="132"/>
      <c r="B158" s="174" t="s">
        <v>10</v>
      </c>
      <c r="C158" s="306"/>
      <c r="D158" s="135"/>
      <c r="E158" s="135"/>
      <c r="F158" s="160">
        <f t="shared" si="4"/>
        <v>0</v>
      </c>
      <c r="G158" s="135"/>
      <c r="H158" s="68"/>
    </row>
    <row r="159" spans="1:8" x14ac:dyDescent="0.35">
      <c r="A159" s="116"/>
      <c r="B159" s="183"/>
      <c r="C159" s="2"/>
      <c r="D159" s="135"/>
      <c r="E159" s="135"/>
      <c r="F159" s="160">
        <f t="shared" si="4"/>
        <v>0</v>
      </c>
      <c r="G159" s="135"/>
      <c r="H159" s="68"/>
    </row>
    <row r="160" spans="1:8" x14ac:dyDescent="0.3">
      <c r="A160" s="130"/>
      <c r="B160" s="332" t="s">
        <v>127</v>
      </c>
      <c r="C160" s="160">
        <f>C138+C150</f>
        <v>33463</v>
      </c>
      <c r="D160" s="160">
        <f>D138+D150</f>
        <v>22874</v>
      </c>
      <c r="E160" s="160">
        <f>E138+E150</f>
        <v>0</v>
      </c>
      <c r="F160" s="160">
        <f>F138+F150</f>
        <v>22874</v>
      </c>
      <c r="G160" s="160">
        <f>G138+G150</f>
        <v>22874</v>
      </c>
      <c r="H160" s="68">
        <f>G160/F160</f>
        <v>1</v>
      </c>
    </row>
    <row r="161" spans="1:8" x14ac:dyDescent="0.3">
      <c r="A161" s="130"/>
      <c r="B161" s="332"/>
      <c r="C161" s="333"/>
      <c r="D161" s="135"/>
      <c r="E161" s="135"/>
      <c r="F161" s="160">
        <f>+D161+E161</f>
        <v>0</v>
      </c>
      <c r="G161" s="135"/>
      <c r="H161" s="68"/>
    </row>
    <row r="162" spans="1:8" x14ac:dyDescent="0.3">
      <c r="A162" s="130" t="s">
        <v>70</v>
      </c>
      <c r="B162" s="322" t="s">
        <v>128</v>
      </c>
      <c r="C162" s="160">
        <f>C163+C164</f>
        <v>0</v>
      </c>
      <c r="D162" s="135"/>
      <c r="E162" s="135"/>
      <c r="F162" s="160">
        <f>+D162+E162</f>
        <v>0</v>
      </c>
      <c r="G162" s="135"/>
      <c r="H162" s="68"/>
    </row>
    <row r="163" spans="1:8" x14ac:dyDescent="0.3">
      <c r="A163" s="137"/>
      <c r="B163" s="323" t="s">
        <v>274</v>
      </c>
      <c r="C163" s="160"/>
      <c r="D163" s="135"/>
      <c r="E163" s="135"/>
      <c r="F163" s="160">
        <f>+D163+E163</f>
        <v>0</v>
      </c>
      <c r="G163" s="135"/>
      <c r="H163" s="68"/>
    </row>
    <row r="164" spans="1:8" ht="36" x14ac:dyDescent="0.3">
      <c r="A164" s="132"/>
      <c r="B164" s="323" t="s">
        <v>105</v>
      </c>
      <c r="C164" s="308"/>
      <c r="D164" s="135"/>
      <c r="E164" s="135"/>
      <c r="F164" s="160">
        <f>+D164+E164</f>
        <v>0</v>
      </c>
      <c r="G164" s="135"/>
      <c r="H164" s="68"/>
    </row>
    <row r="165" spans="1:8" x14ac:dyDescent="0.3">
      <c r="A165" s="140"/>
      <c r="B165" s="179" t="s">
        <v>248</v>
      </c>
      <c r="C165" s="160">
        <f>C138+C150+C162</f>
        <v>33463</v>
      </c>
      <c r="D165" s="160">
        <v>22874</v>
      </c>
      <c r="E165" s="160">
        <f>E138+E150+E162</f>
        <v>0</v>
      </c>
      <c r="F165" s="160">
        <f>F138+F150+F162</f>
        <v>22874</v>
      </c>
      <c r="G165" s="160">
        <f>G138+G150+G162</f>
        <v>22874</v>
      </c>
      <c r="H165" s="68">
        <f>G165/F165</f>
        <v>1</v>
      </c>
    </row>
    <row r="166" spans="1:8" x14ac:dyDescent="0.3">
      <c r="A166" s="141"/>
      <c r="B166" s="334"/>
      <c r="C166" s="152"/>
      <c r="D166" s="135"/>
      <c r="E166" s="135"/>
      <c r="F166" s="160">
        <f>+D166+E166</f>
        <v>0</v>
      </c>
      <c r="G166" s="135"/>
      <c r="H166" s="68"/>
    </row>
    <row r="167" spans="1:8" x14ac:dyDescent="0.3">
      <c r="A167" s="142"/>
      <c r="B167" s="335" t="s">
        <v>132</v>
      </c>
      <c r="C167" s="336">
        <v>6</v>
      </c>
      <c r="D167" s="336">
        <v>6</v>
      </c>
      <c r="E167" s="336"/>
      <c r="F167" s="336">
        <f>+D167+E167</f>
        <v>6</v>
      </c>
      <c r="G167" s="336">
        <f>+E167+F167</f>
        <v>6</v>
      </c>
      <c r="H167" s="68">
        <f>G167/F167</f>
        <v>1</v>
      </c>
    </row>
    <row r="168" spans="1:8" x14ac:dyDescent="0.3">
      <c r="A168" s="142"/>
      <c r="B168" s="335" t="s">
        <v>133</v>
      </c>
      <c r="C168" s="336">
        <v>0</v>
      </c>
      <c r="D168" s="336">
        <v>0</v>
      </c>
      <c r="E168" s="336"/>
      <c r="F168" s="336">
        <f>+D168+E168</f>
        <v>0</v>
      </c>
      <c r="G168" s="336">
        <f>+E168+F168</f>
        <v>0</v>
      </c>
      <c r="H168" s="68"/>
    </row>
    <row r="171" spans="1:8" x14ac:dyDescent="0.25">
      <c r="A171" s="378"/>
      <c r="B171" s="337" t="s">
        <v>250</v>
      </c>
      <c r="C171" s="378" t="s">
        <v>46</v>
      </c>
    </row>
    <row r="172" spans="1:8" x14ac:dyDescent="0.25">
      <c r="A172" s="378" t="s">
        <v>251</v>
      </c>
      <c r="B172" s="337"/>
      <c r="C172" s="378"/>
    </row>
    <row r="173" spans="1:8" x14ac:dyDescent="0.25">
      <c r="A173" s="378">
        <v>6</v>
      </c>
      <c r="B173" s="378" t="s">
        <v>286</v>
      </c>
      <c r="C173" s="378">
        <f>6*6000*12/1000</f>
        <v>432</v>
      </c>
    </row>
    <row r="174" spans="1:8" x14ac:dyDescent="0.25">
      <c r="A174" s="378"/>
      <c r="B174" s="378" t="s">
        <v>284</v>
      </c>
      <c r="C174" s="379">
        <f>C173*0.15</f>
        <v>64.8</v>
      </c>
    </row>
    <row r="175" spans="1:8" x14ac:dyDescent="0.25">
      <c r="A175" s="378"/>
      <c r="B175" s="378"/>
      <c r="C175" s="378"/>
    </row>
    <row r="176" spans="1:8" x14ac:dyDescent="0.25">
      <c r="A176" s="378"/>
      <c r="B176" s="380" t="s">
        <v>228</v>
      </c>
      <c r="C176" s="381">
        <f>SUM(C173:C175)</f>
        <v>496.8</v>
      </c>
    </row>
  </sheetData>
  <sheetProtection selectLockedCells="1" selectUnlockedCells="1"/>
  <mergeCells count="4">
    <mergeCell ref="D6:H6"/>
    <mergeCell ref="D48:F48"/>
    <mergeCell ref="C94:H94"/>
    <mergeCell ref="C136:H136"/>
  </mergeCells>
  <pageMargins left="0.74791666666666667" right="0.74791666666666667" top="0.98402777777777772" bottom="0.98402777777777772" header="0.51180555555555551" footer="0.51180555555555551"/>
  <pageSetup paperSize="9" scale="44" firstPageNumber="0" fitToHeight="0" orientation="portrait" horizontalDpi="300" verticalDpi="300" r:id="rId1"/>
  <headerFooter alignWithMargins="0"/>
  <rowBreaks count="3" manualBreakCount="3">
    <brk id="47" max="16383" man="1"/>
    <brk id="88" max="16383" man="1"/>
    <brk id="1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90"/>
  <sheetViews>
    <sheetView topLeftCell="A43" zoomScale="50" zoomScaleNormal="50" zoomScaleSheetLayoutView="70" workbookViewId="0">
      <selection activeCell="U26" sqref="U26"/>
    </sheetView>
  </sheetViews>
  <sheetFormatPr defaultColWidth="9.109375" defaultRowHeight="18" x14ac:dyDescent="0.25"/>
  <cols>
    <col min="1" max="1" width="11.6640625" style="280" customWidth="1"/>
    <col min="2" max="2" width="61.6640625" style="280" customWidth="1"/>
    <col min="3" max="3" width="21.44140625" style="280" customWidth="1"/>
    <col min="4" max="4" width="17.109375" style="280" customWidth="1"/>
    <col min="5" max="5" width="18.6640625" style="280" customWidth="1"/>
    <col min="6" max="6" width="20.6640625" style="280" customWidth="1"/>
    <col min="7" max="7" width="18.6640625" style="280" customWidth="1"/>
    <col min="8" max="8" width="26.109375" style="280" customWidth="1"/>
    <col min="9" max="28" width="9.109375" style="280"/>
    <col min="29" max="16384" width="9.109375" style="281"/>
  </cols>
  <sheetData>
    <row r="1" spans="1:28" s="352" customFormat="1" ht="21" customHeight="1" x14ac:dyDescent="0.25">
      <c r="A1" s="284"/>
      <c r="B1" s="345"/>
      <c r="C1" s="346" t="s">
        <v>470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5">
      <c r="A2" s="289"/>
      <c r="B2" s="290" t="s">
        <v>277</v>
      </c>
      <c r="C2" s="347" t="s">
        <v>289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ht="17.399999999999999" x14ac:dyDescent="0.25">
      <c r="A3" s="292"/>
      <c r="B3" s="290" t="s">
        <v>290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4.799999999999997" x14ac:dyDescent="0.25">
      <c r="A5" s="289"/>
      <c r="B5" s="296" t="s">
        <v>234</v>
      </c>
      <c r="C5" s="296" t="s">
        <v>235</v>
      </c>
    </row>
    <row r="6" spans="1:28" s="354" customFormat="1" ht="19.649999999999999" customHeight="1" x14ac:dyDescent="0.25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64.349999999999994" customHeight="1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5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x14ac:dyDescent="0.25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6" x14ac:dyDescent="0.25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6" x14ac:dyDescent="0.25">
      <c r="A11" s="128"/>
      <c r="B11" s="152" t="s">
        <v>60</v>
      </c>
      <c r="C11" s="306"/>
      <c r="D11" s="135"/>
      <c r="E11" s="135"/>
      <c r="F11" s="135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6" x14ac:dyDescent="0.25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5">
      <c r="A13" s="128"/>
      <c r="B13" s="152" t="s">
        <v>134</v>
      </c>
      <c r="C13" s="306"/>
      <c r="D13" s="108"/>
      <c r="E13" s="108"/>
      <c r="F13" s="108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5">
      <c r="A14" s="128"/>
      <c r="B14" s="152" t="s">
        <v>63</v>
      </c>
      <c r="C14" s="306"/>
      <c r="D14" s="307"/>
      <c r="E14" s="307"/>
      <c r="F14" s="307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4.799999999999997" x14ac:dyDescent="0.25">
      <c r="A15" s="128" t="s">
        <v>64</v>
      </c>
      <c r="B15" s="163" t="s">
        <v>65</v>
      </c>
      <c r="C15" s="306">
        <f>C16+C17+C18+C19</f>
        <v>0</v>
      </c>
      <c r="D15" s="308">
        <f>D16</f>
        <v>1080</v>
      </c>
      <c r="E15" s="308">
        <f t="shared" ref="E15:G15" si="0">E16</f>
        <v>4494</v>
      </c>
      <c r="F15" s="308">
        <f t="shared" si="0"/>
        <v>5574</v>
      </c>
      <c r="G15" s="308">
        <f t="shared" si="0"/>
        <v>5574</v>
      </c>
      <c r="H15" s="363">
        <f>G15/F15</f>
        <v>1</v>
      </c>
    </row>
    <row r="16" spans="1:28" ht="36" x14ac:dyDescent="0.25">
      <c r="A16" s="151"/>
      <c r="B16" s="152" t="s">
        <v>136</v>
      </c>
      <c r="C16" s="160"/>
      <c r="D16" s="135">
        <v>1080</v>
      </c>
      <c r="E16" s="306">
        <v>4494</v>
      </c>
      <c r="F16" s="306">
        <f t="shared" ref="F16:F41" si="1">D16+E16</f>
        <v>5574</v>
      </c>
      <c r="G16" s="306">
        <v>5574</v>
      </c>
      <c r="H16" s="363">
        <f>G16/F16</f>
        <v>1</v>
      </c>
    </row>
    <row r="17" spans="1:28" s="355" customFormat="1" ht="36" x14ac:dyDescent="0.3">
      <c r="A17" s="128"/>
      <c r="B17" s="152" t="s">
        <v>157</v>
      </c>
      <c r="C17" s="306"/>
      <c r="D17" s="135"/>
      <c r="E17" s="135"/>
      <c r="F17" s="308">
        <f t="shared" si="1"/>
        <v>0</v>
      </c>
      <c r="G17" s="108"/>
      <c r="H17" s="68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6" x14ac:dyDescent="0.3">
      <c r="A18" s="128"/>
      <c r="B18" s="152" t="s">
        <v>158</v>
      </c>
      <c r="C18" s="306"/>
      <c r="D18" s="135"/>
      <c r="E18" s="135"/>
      <c r="F18" s="308">
        <f t="shared" si="1"/>
        <v>0</v>
      </c>
      <c r="G18" s="108"/>
      <c r="H18" s="68"/>
    </row>
    <row r="19" spans="1:28" ht="36" x14ac:dyDescent="0.3">
      <c r="A19" s="128"/>
      <c r="B19" s="152" t="s">
        <v>69</v>
      </c>
      <c r="C19" s="306"/>
      <c r="D19" s="307"/>
      <c r="E19" s="307"/>
      <c r="F19" s="308">
        <f t="shared" si="1"/>
        <v>0</v>
      </c>
      <c r="G19" s="108"/>
      <c r="H19" s="68"/>
    </row>
    <row r="20" spans="1:28" ht="34.799999999999997" x14ac:dyDescent="0.3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8">
        <f t="shared" si="1"/>
        <v>0</v>
      </c>
      <c r="G20" s="108"/>
      <c r="H20" s="68"/>
    </row>
    <row r="21" spans="1:28" ht="36" x14ac:dyDescent="0.3">
      <c r="A21" s="128"/>
      <c r="B21" s="309" t="s">
        <v>267</v>
      </c>
      <c r="C21" s="306"/>
      <c r="D21" s="135"/>
      <c r="E21" s="135"/>
      <c r="F21" s="308">
        <f t="shared" si="1"/>
        <v>0</v>
      </c>
      <c r="G21" s="108"/>
      <c r="H21" s="68"/>
    </row>
    <row r="22" spans="1:28" x14ac:dyDescent="0.3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8">
        <f t="shared" si="1"/>
        <v>0</v>
      </c>
      <c r="G22" s="108"/>
      <c r="H22" s="68"/>
    </row>
    <row r="23" spans="1:28" s="355" customFormat="1" ht="36" x14ac:dyDescent="0.3">
      <c r="A23" s="128"/>
      <c r="B23" s="38" t="s">
        <v>75</v>
      </c>
      <c r="C23" s="306"/>
      <c r="D23" s="135"/>
      <c r="E23" s="135"/>
      <c r="F23" s="308">
        <f t="shared" si="1"/>
        <v>0</v>
      </c>
      <c r="G23" s="108"/>
      <c r="H23" s="68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3">
      <c r="A24" s="129"/>
      <c r="B24" s="38" t="s">
        <v>76</v>
      </c>
      <c r="C24" s="306"/>
      <c r="D24" s="135"/>
      <c r="E24" s="135"/>
      <c r="F24" s="308">
        <f t="shared" si="1"/>
        <v>0</v>
      </c>
      <c r="G24" s="108"/>
      <c r="H24" s="68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3">
      <c r="A25" s="128"/>
      <c r="B25" s="38" t="s">
        <v>77</v>
      </c>
      <c r="C25" s="308"/>
      <c r="D25" s="108"/>
      <c r="E25" s="108"/>
      <c r="F25" s="308">
        <f t="shared" si="1"/>
        <v>0</v>
      </c>
      <c r="G25" s="108"/>
      <c r="H25" s="68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72" x14ac:dyDescent="0.3">
      <c r="A26" s="151"/>
      <c r="B26" s="38" t="s">
        <v>78</v>
      </c>
      <c r="C26" s="160"/>
      <c r="D26" s="307"/>
      <c r="E26" s="307"/>
      <c r="F26" s="308">
        <f t="shared" si="1"/>
        <v>0</v>
      </c>
      <c r="G26" s="108"/>
      <c r="H26" s="68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5554</v>
      </c>
      <c r="D27" s="308">
        <f>D28+D29+D30+D31+D32</f>
        <v>5554</v>
      </c>
      <c r="E27" s="308">
        <f>E28+E29+E30+E31+E32</f>
        <v>0</v>
      </c>
      <c r="F27" s="308">
        <f t="shared" si="1"/>
        <v>5554</v>
      </c>
      <c r="G27" s="308">
        <f>G28+G29+G30+G31+G32</f>
        <v>2486</v>
      </c>
      <c r="H27" s="68">
        <f>G27/F27</f>
        <v>0.44760532949225784</v>
      </c>
    </row>
    <row r="28" spans="1:28" ht="54" x14ac:dyDescent="0.25">
      <c r="A28" s="128"/>
      <c r="B28" s="152" t="s">
        <v>137</v>
      </c>
      <c r="C28" s="306">
        <v>5554</v>
      </c>
      <c r="D28" s="306">
        <v>5554</v>
      </c>
      <c r="E28" s="135"/>
      <c r="F28" s="306">
        <f t="shared" si="1"/>
        <v>5554</v>
      </c>
      <c r="G28" s="306">
        <v>2486</v>
      </c>
      <c r="H28" s="363">
        <f>G28/F28</f>
        <v>0.44760532949225784</v>
      </c>
    </row>
    <row r="29" spans="1:28" ht="15" customHeight="1" x14ac:dyDescent="0.3">
      <c r="A29" s="128"/>
      <c r="B29" s="152" t="s">
        <v>82</v>
      </c>
      <c r="C29" s="306"/>
      <c r="D29" s="135"/>
      <c r="E29" s="135"/>
      <c r="F29" s="308">
        <f t="shared" si="1"/>
        <v>0</v>
      </c>
      <c r="G29" s="108"/>
      <c r="H29" s="68"/>
    </row>
    <row r="30" spans="1:28" x14ac:dyDescent="0.3">
      <c r="A30" s="128"/>
      <c r="B30" s="152" t="s">
        <v>83</v>
      </c>
      <c r="C30" s="306"/>
      <c r="D30" s="135"/>
      <c r="E30" s="135"/>
      <c r="F30" s="308">
        <f t="shared" si="1"/>
        <v>0</v>
      </c>
      <c r="G30" s="108"/>
      <c r="H30" s="68"/>
    </row>
    <row r="31" spans="1:28" s="354" customFormat="1" ht="16.5" customHeight="1" x14ac:dyDescent="0.3">
      <c r="A31" s="128"/>
      <c r="B31" s="152" t="s">
        <v>84</v>
      </c>
      <c r="C31" s="306"/>
      <c r="D31" s="307"/>
      <c r="E31" s="307"/>
      <c r="F31" s="308">
        <f t="shared" si="1"/>
        <v>0</v>
      </c>
      <c r="G31" s="108"/>
      <c r="H31" s="68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1"/>
        <v>0</v>
      </c>
      <c r="G32" s="108"/>
      <c r="H32" s="68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1"/>
        <v>0</v>
      </c>
      <c r="G33" s="108"/>
      <c r="H33" s="68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1"/>
        <v>0</v>
      </c>
      <c r="G34" s="108"/>
      <c r="H34" s="68"/>
    </row>
    <row r="35" spans="1:28" x14ac:dyDescent="0.3">
      <c r="A35" s="130"/>
      <c r="B35" s="152" t="s">
        <v>268</v>
      </c>
      <c r="C35" s="160"/>
      <c r="D35" s="135"/>
      <c r="E35" s="135"/>
      <c r="F35" s="308">
        <f t="shared" si="1"/>
        <v>0</v>
      </c>
      <c r="G35" s="108"/>
      <c r="H35" s="68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308">
        <f t="shared" si="1"/>
        <v>0</v>
      </c>
      <c r="G36" s="108"/>
      <c r="H36" s="68"/>
    </row>
    <row r="37" spans="1:28" x14ac:dyDescent="0.3">
      <c r="A37" s="132"/>
      <c r="B37" s="152" t="s">
        <v>239</v>
      </c>
      <c r="C37" s="306"/>
      <c r="D37" s="108"/>
      <c r="E37" s="108"/>
      <c r="F37" s="308">
        <f t="shared" si="1"/>
        <v>0</v>
      </c>
      <c r="G37" s="108"/>
      <c r="H37" s="68"/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8">
        <f t="shared" si="1"/>
        <v>0</v>
      </c>
      <c r="G38" s="108"/>
      <c r="H38" s="68"/>
    </row>
    <row r="39" spans="1:28" s="355" customFormat="1" ht="54" x14ac:dyDescent="0.3">
      <c r="A39" s="132"/>
      <c r="B39" s="38" t="s">
        <v>269</v>
      </c>
      <c r="C39" s="306"/>
      <c r="D39" s="135"/>
      <c r="E39" s="135"/>
      <c r="F39" s="308">
        <f t="shared" si="1"/>
        <v>0</v>
      </c>
      <c r="G39" s="108"/>
      <c r="H39" s="68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135"/>
      <c r="E40" s="135"/>
      <c r="F40" s="308">
        <f t="shared" si="1"/>
        <v>0</v>
      </c>
      <c r="G40" s="108"/>
      <c r="H40" s="68"/>
    </row>
    <row r="41" spans="1:28" ht="45.75" customHeight="1" x14ac:dyDescent="0.3">
      <c r="A41" s="132"/>
      <c r="B41" s="161" t="s">
        <v>96</v>
      </c>
      <c r="C41" s="308">
        <f>C8+C15+C20+C22+C27+C33+C36+C38</f>
        <v>5554</v>
      </c>
      <c r="D41" s="308">
        <f>D8+D15+D20+D22+D27+D33+D36+D38</f>
        <v>6634</v>
      </c>
      <c r="E41" s="308">
        <f>E8+E15+E20+E22+E27+E33+E36+E38</f>
        <v>4494</v>
      </c>
      <c r="F41" s="308">
        <f t="shared" si="1"/>
        <v>11128</v>
      </c>
      <c r="G41" s="308">
        <f>G8+G15+G20+G22+G27+G33+G36+G38</f>
        <v>8060</v>
      </c>
      <c r="H41" s="68">
        <f>G41/F41</f>
        <v>0.72429906542056077</v>
      </c>
    </row>
    <row r="42" spans="1:28" x14ac:dyDescent="0.3">
      <c r="A42" s="312" t="s">
        <v>97</v>
      </c>
      <c r="B42" s="161" t="s">
        <v>271</v>
      </c>
      <c r="C42" s="160">
        <f>C77-C41-C43</f>
        <v>52048</v>
      </c>
      <c r="D42" s="160">
        <f>D77-D41-D43</f>
        <v>53764</v>
      </c>
      <c r="E42" s="160">
        <f>E77-E41-E43</f>
        <v>147</v>
      </c>
      <c r="F42" s="160">
        <f>F77-F41-F43</f>
        <v>53911</v>
      </c>
      <c r="G42" s="160">
        <v>46354</v>
      </c>
      <c r="H42" s="68">
        <f>G42/F42</f>
        <v>0.85982452560701894</v>
      </c>
    </row>
    <row r="43" spans="1:28" ht="34.799999999999997" x14ac:dyDescent="0.3">
      <c r="A43" s="312" t="s">
        <v>99</v>
      </c>
      <c r="B43" s="161" t="s">
        <v>100</v>
      </c>
      <c r="C43" s="306"/>
      <c r="D43" s="306">
        <v>1981</v>
      </c>
      <c r="E43" s="135">
        <v>1</v>
      </c>
      <c r="F43" s="308">
        <f>D43+E43</f>
        <v>1982</v>
      </c>
      <c r="G43" s="308">
        <v>1982</v>
      </c>
      <c r="H43" s="68">
        <f>G43/F43</f>
        <v>1</v>
      </c>
    </row>
    <row r="44" spans="1:28" ht="34.799999999999997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68"/>
    </row>
    <row r="45" spans="1:28" x14ac:dyDescent="0.3">
      <c r="A45" s="132"/>
      <c r="B45" s="161" t="s">
        <v>103</v>
      </c>
      <c r="C45" s="308">
        <f>C42+C43+C44</f>
        <v>52048</v>
      </c>
      <c r="D45" s="308">
        <f>D42+D43+D44</f>
        <v>55745</v>
      </c>
      <c r="E45" s="308">
        <f>E42+E43+E44</f>
        <v>148</v>
      </c>
      <c r="F45" s="308">
        <f>D45+E45</f>
        <v>55893</v>
      </c>
      <c r="G45" s="308">
        <f>G42+G43+G44</f>
        <v>48336</v>
      </c>
      <c r="H45" s="68">
        <f>G45/F45</f>
        <v>0.86479523375020129</v>
      </c>
    </row>
    <row r="46" spans="1:28" ht="15" customHeight="1" x14ac:dyDescent="0.3">
      <c r="A46" s="132"/>
      <c r="B46" s="163" t="s">
        <v>106</v>
      </c>
      <c r="C46" s="308">
        <f>C41+C45</f>
        <v>57602</v>
      </c>
      <c r="D46" s="308">
        <f>D41+D45</f>
        <v>62379</v>
      </c>
      <c r="E46" s="308">
        <f>E41+E45</f>
        <v>4642</v>
      </c>
      <c r="F46" s="308">
        <f>D46+E46</f>
        <v>67021</v>
      </c>
      <c r="G46" s="308">
        <f>G41+G45</f>
        <v>56396</v>
      </c>
      <c r="H46" s="68">
        <f>G46/F46</f>
        <v>0.84146759970755436</v>
      </c>
    </row>
    <row r="47" spans="1:28" ht="14.25" customHeight="1" x14ac:dyDescent="0.3">
      <c r="A47" s="316"/>
      <c r="B47" s="317"/>
      <c r="C47" s="318"/>
      <c r="H47" s="68"/>
    </row>
    <row r="48" spans="1:28" ht="17.399999999999999" customHeight="1" x14ac:dyDescent="0.25">
      <c r="A48" s="141"/>
      <c r="B48" s="141"/>
      <c r="C48" s="152"/>
      <c r="D48" s="522" t="s">
        <v>50</v>
      </c>
      <c r="E48" s="522"/>
      <c r="F48" s="522"/>
    </row>
    <row r="49" spans="1:8" ht="76.5" customHeight="1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57602</v>
      </c>
      <c r="D50" s="160">
        <f>D51+D52+D53+D56+D57</f>
        <v>61379</v>
      </c>
      <c r="E50" s="160">
        <f>E51+E52+E53+E56+E57</f>
        <v>4618</v>
      </c>
      <c r="F50" s="160">
        <f t="shared" ref="F50:F80" si="2">+D50+E50</f>
        <v>65997</v>
      </c>
      <c r="G50" s="160">
        <f>G51+G52+G53+G56+G57</f>
        <v>50600</v>
      </c>
      <c r="H50" s="68">
        <f>G50/F50</f>
        <v>0.76670151673560916</v>
      </c>
    </row>
    <row r="51" spans="1:8" x14ac:dyDescent="0.3">
      <c r="A51" s="137"/>
      <c r="B51" s="323" t="s">
        <v>109</v>
      </c>
      <c r="C51" s="306">
        <v>29662</v>
      </c>
      <c r="D51" s="306">
        <v>33614</v>
      </c>
      <c r="E51" s="135">
        <v>126</v>
      </c>
      <c r="F51" s="153">
        <f t="shared" si="2"/>
        <v>33740</v>
      </c>
      <c r="G51" s="153">
        <v>32069</v>
      </c>
      <c r="H51" s="68">
        <f>G51/F51</f>
        <v>0.95047421458209835</v>
      </c>
    </row>
    <row r="52" spans="1:8" ht="36" x14ac:dyDescent="0.3">
      <c r="A52" s="132"/>
      <c r="B52" s="174" t="s">
        <v>110</v>
      </c>
      <c r="C52" s="306">
        <v>5227</v>
      </c>
      <c r="D52" s="306">
        <v>5535</v>
      </c>
      <c r="E52" s="135">
        <v>22</v>
      </c>
      <c r="F52" s="153">
        <f t="shared" si="2"/>
        <v>5557</v>
      </c>
      <c r="G52" s="153">
        <v>5336</v>
      </c>
      <c r="H52" s="68">
        <f>G52/F52</f>
        <v>0.96023034011157105</v>
      </c>
    </row>
    <row r="53" spans="1:8" x14ac:dyDescent="0.3">
      <c r="A53" s="132"/>
      <c r="B53" s="174" t="s">
        <v>111</v>
      </c>
      <c r="C53" s="306">
        <v>22713</v>
      </c>
      <c r="D53" s="306">
        <v>22230</v>
      </c>
      <c r="E53" s="135">
        <f>4494-24</f>
        <v>4470</v>
      </c>
      <c r="F53" s="153">
        <f t="shared" si="2"/>
        <v>26700</v>
      </c>
      <c r="G53" s="153">
        <v>13195</v>
      </c>
      <c r="H53" s="68">
        <f>G53/F53</f>
        <v>0.49419475655430711</v>
      </c>
    </row>
    <row r="54" spans="1:8" ht="36" x14ac:dyDescent="0.3">
      <c r="A54" s="132"/>
      <c r="B54" s="174" t="s">
        <v>273</v>
      </c>
      <c r="C54" s="306"/>
      <c r="D54" s="135"/>
      <c r="E54" s="135"/>
      <c r="F54" s="153">
        <f t="shared" si="2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53">
        <f t="shared" si="2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153">
        <f t="shared" si="2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53">
        <f t="shared" si="2"/>
        <v>0</v>
      </c>
      <c r="G57" s="108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53">
        <f t="shared" si="2"/>
        <v>0</v>
      </c>
      <c r="G58" s="108"/>
      <c r="H58" s="68"/>
    </row>
    <row r="59" spans="1:8" ht="36" x14ac:dyDescent="0.3">
      <c r="A59" s="132"/>
      <c r="B59" s="174" t="s">
        <v>117</v>
      </c>
      <c r="C59" s="306"/>
      <c r="D59" s="135"/>
      <c r="E59" s="135"/>
      <c r="F59" s="153">
        <f t="shared" si="2"/>
        <v>0</v>
      </c>
      <c r="G59" s="108"/>
      <c r="H59" s="68"/>
    </row>
    <row r="60" spans="1:8" ht="36" x14ac:dyDescent="0.3">
      <c r="A60" s="132"/>
      <c r="B60" s="174" t="s">
        <v>118</v>
      </c>
      <c r="C60" s="306"/>
      <c r="D60" s="135"/>
      <c r="E60" s="135"/>
      <c r="F60" s="153">
        <f t="shared" si="2"/>
        <v>0</v>
      </c>
      <c r="G60" s="108"/>
      <c r="H60" s="68"/>
    </row>
    <row r="61" spans="1:8" x14ac:dyDescent="0.35">
      <c r="A61" s="132"/>
      <c r="B61" s="328"/>
      <c r="C61" s="306"/>
      <c r="D61" s="135"/>
      <c r="E61" s="135"/>
      <c r="F61" s="153">
        <f t="shared" si="2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1000</v>
      </c>
      <c r="E62" s="160">
        <f>E63+E66+E67+E70</f>
        <v>24</v>
      </c>
      <c r="F62" s="160">
        <f t="shared" si="2"/>
        <v>1024</v>
      </c>
      <c r="G62" s="160">
        <f>G63+G66+G67+G70</f>
        <v>1024</v>
      </c>
      <c r="H62" s="68">
        <f>G62/F62</f>
        <v>1</v>
      </c>
    </row>
    <row r="63" spans="1:8" x14ac:dyDescent="0.3">
      <c r="A63" s="137"/>
      <c r="B63" s="173" t="s">
        <v>120</v>
      </c>
      <c r="C63" s="306"/>
      <c r="D63" s="135">
        <v>1000</v>
      </c>
      <c r="E63" s="153">
        <v>24</v>
      </c>
      <c r="F63" s="153">
        <f t="shared" si="2"/>
        <v>1024</v>
      </c>
      <c r="G63" s="160">
        <v>1024</v>
      </c>
      <c r="H63" s="68">
        <f>G63/F63</f>
        <v>1</v>
      </c>
    </row>
    <row r="64" spans="1:8" ht="36" x14ac:dyDescent="0.3">
      <c r="A64" s="137"/>
      <c r="B64" s="174" t="s">
        <v>245</v>
      </c>
      <c r="C64" s="306"/>
      <c r="D64" s="135"/>
      <c r="E64" s="135"/>
      <c r="F64" s="153">
        <f t="shared" si="2"/>
        <v>0</v>
      </c>
      <c r="G64" s="108"/>
      <c r="H64" s="68"/>
    </row>
    <row r="65" spans="1:8" ht="36" x14ac:dyDescent="0.3">
      <c r="A65" s="137"/>
      <c r="B65" s="174" t="s">
        <v>246</v>
      </c>
      <c r="C65" s="306"/>
      <c r="D65" s="135"/>
      <c r="E65" s="135"/>
      <c r="F65" s="153">
        <f t="shared" si="2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356"/>
      <c r="F66" s="153">
        <f t="shared" si="2"/>
        <v>0</v>
      </c>
      <c r="G66" s="160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53">
        <f t="shared" si="2"/>
        <v>0</v>
      </c>
      <c r="G67" s="108"/>
      <c r="H67" s="68"/>
    </row>
    <row r="68" spans="1:8" ht="36" x14ac:dyDescent="0.3">
      <c r="A68" s="132"/>
      <c r="B68" s="174" t="s">
        <v>125</v>
      </c>
      <c r="C68" s="306"/>
      <c r="D68" s="135"/>
      <c r="E68" s="135"/>
      <c r="F68" s="153">
        <f t="shared" si="2"/>
        <v>0</v>
      </c>
      <c r="G68" s="108"/>
      <c r="H68" s="68"/>
    </row>
    <row r="69" spans="1:8" ht="36" x14ac:dyDescent="0.3">
      <c r="A69" s="132"/>
      <c r="B69" s="174" t="s">
        <v>126</v>
      </c>
      <c r="C69" s="306"/>
      <c r="D69" s="135"/>
      <c r="E69" s="135"/>
      <c r="F69" s="153">
        <f t="shared" si="2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53">
        <f t="shared" si="2"/>
        <v>0</v>
      </c>
      <c r="G70" s="108"/>
      <c r="H70" s="68"/>
    </row>
    <row r="71" spans="1:8" x14ac:dyDescent="0.35">
      <c r="A71" s="32"/>
      <c r="B71" s="183"/>
      <c r="C71" s="2"/>
      <c r="D71" s="135"/>
      <c r="E71" s="135"/>
      <c r="F71" s="153">
        <f t="shared" si="2"/>
        <v>0</v>
      </c>
      <c r="G71" s="108"/>
      <c r="H71" s="68"/>
    </row>
    <row r="72" spans="1:8" x14ac:dyDescent="0.3">
      <c r="A72" s="130"/>
      <c r="B72" s="332" t="s">
        <v>127</v>
      </c>
      <c r="C72" s="160">
        <f>C50+C62</f>
        <v>57602</v>
      </c>
      <c r="D72" s="160">
        <f>D50+D62</f>
        <v>62379</v>
      </c>
      <c r="E72" s="160">
        <f>E50+E62</f>
        <v>4642</v>
      </c>
      <c r="F72" s="160">
        <f>+D72+E72</f>
        <v>67021</v>
      </c>
      <c r="G72" s="160">
        <f>G50+G62</f>
        <v>51624</v>
      </c>
      <c r="H72" s="68">
        <f>G72/F72</f>
        <v>0.77026603601856136</v>
      </c>
    </row>
    <row r="73" spans="1:8" x14ac:dyDescent="0.3">
      <c r="A73" s="130"/>
      <c r="B73" s="332"/>
      <c r="C73" s="333"/>
      <c r="D73" s="135"/>
      <c r="E73" s="135"/>
      <c r="F73" s="153">
        <f t="shared" si="2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53">
        <f t="shared" si="2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53">
        <f t="shared" si="2"/>
        <v>0</v>
      </c>
      <c r="G75" s="108"/>
      <c r="H75" s="68"/>
    </row>
    <row r="76" spans="1:8" ht="36" x14ac:dyDescent="0.3">
      <c r="A76" s="132"/>
      <c r="B76" s="323" t="s">
        <v>105</v>
      </c>
      <c r="C76" s="308"/>
      <c r="D76" s="135"/>
      <c r="E76" s="135"/>
      <c r="F76" s="153">
        <f t="shared" si="2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57602</v>
      </c>
      <c r="D77" s="160">
        <f>D50+D62+D74</f>
        <v>62379</v>
      </c>
      <c r="E77" s="160">
        <f>E50+E62+E74</f>
        <v>4642</v>
      </c>
      <c r="F77" s="160">
        <f t="shared" si="2"/>
        <v>67021</v>
      </c>
      <c r="G77" s="160">
        <f>G50+G62+G74</f>
        <v>51624</v>
      </c>
      <c r="H77" s="68">
        <f>G77/F77</f>
        <v>0.77026603601856136</v>
      </c>
    </row>
    <row r="78" spans="1:8" x14ac:dyDescent="0.25">
      <c r="A78" s="141"/>
      <c r="B78" s="334"/>
      <c r="C78" s="152"/>
      <c r="D78" s="135"/>
      <c r="E78" s="135"/>
      <c r="F78" s="153">
        <f t="shared" si="2"/>
        <v>0</v>
      </c>
      <c r="G78" s="108"/>
      <c r="H78" s="135"/>
    </row>
    <row r="79" spans="1:8" x14ac:dyDescent="0.25">
      <c r="A79" s="142"/>
      <c r="B79" s="335" t="s">
        <v>132</v>
      </c>
      <c r="C79" s="336">
        <v>7</v>
      </c>
      <c r="D79" s="336">
        <v>7</v>
      </c>
      <c r="E79" s="336"/>
      <c r="F79" s="336">
        <f t="shared" si="2"/>
        <v>7</v>
      </c>
      <c r="G79" s="108"/>
      <c r="H79" s="135"/>
    </row>
    <row r="80" spans="1:8" x14ac:dyDescent="0.25">
      <c r="A80" s="142"/>
      <c r="B80" s="335" t="s">
        <v>133</v>
      </c>
      <c r="C80" s="336">
        <v>0</v>
      </c>
      <c r="D80" s="336">
        <v>0</v>
      </c>
      <c r="E80" s="336"/>
      <c r="F80" s="336">
        <f t="shared" si="2"/>
        <v>0</v>
      </c>
      <c r="G80" s="108"/>
      <c r="H80" s="135"/>
    </row>
    <row r="85" spans="1:3" x14ac:dyDescent="0.25">
      <c r="B85" s="331" t="s">
        <v>250</v>
      </c>
      <c r="C85" s="280" t="s">
        <v>46</v>
      </c>
    </row>
    <row r="86" spans="1:3" x14ac:dyDescent="0.25">
      <c r="A86" s="280" t="s">
        <v>251</v>
      </c>
      <c r="B86" s="331"/>
    </row>
    <row r="87" spans="1:3" x14ac:dyDescent="0.25">
      <c r="A87" s="280">
        <v>7</v>
      </c>
      <c r="B87" s="280" t="s">
        <v>291</v>
      </c>
      <c r="C87" s="280">
        <f>A87*6*12</f>
        <v>504</v>
      </c>
    </row>
    <row r="88" spans="1:3" x14ac:dyDescent="0.25">
      <c r="B88" s="280" t="s">
        <v>284</v>
      </c>
      <c r="C88" s="338">
        <f>C87*0.15</f>
        <v>75.599999999999994</v>
      </c>
    </row>
    <row r="90" spans="1:3" x14ac:dyDescent="0.25">
      <c r="B90" s="341" t="s">
        <v>228</v>
      </c>
      <c r="C90" s="343">
        <f>SUM(C87:C89)</f>
        <v>579.6</v>
      </c>
    </row>
  </sheetData>
  <sheetProtection selectLockedCells="1" selectUnlockedCells="1"/>
  <mergeCells count="2">
    <mergeCell ref="D6:F6"/>
    <mergeCell ref="D48:F48"/>
  </mergeCells>
  <pageMargins left="0.75" right="0.75" top="1" bottom="1" header="0.51180555555555551" footer="0.51180555555555551"/>
  <pageSetup paperSize="9" scale="44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B88"/>
  <sheetViews>
    <sheetView topLeftCell="A49" zoomScale="50" zoomScaleNormal="50" zoomScaleSheetLayoutView="70" workbookViewId="0">
      <selection activeCell="E53" sqref="E53"/>
    </sheetView>
  </sheetViews>
  <sheetFormatPr defaultColWidth="9.109375" defaultRowHeight="18" x14ac:dyDescent="0.25"/>
  <cols>
    <col min="1" max="1" width="11.33203125" style="280" customWidth="1"/>
    <col min="2" max="2" width="61.6640625" style="280" customWidth="1"/>
    <col min="3" max="3" width="21.44140625" style="280" customWidth="1"/>
    <col min="4" max="4" width="14.109375" style="280" customWidth="1"/>
    <col min="5" max="5" width="19.109375" style="280" customWidth="1"/>
    <col min="6" max="6" width="19.5546875" style="280" customWidth="1"/>
    <col min="7" max="7" width="19.6640625" style="280" customWidth="1"/>
    <col min="8" max="8" width="17.6640625" style="280" customWidth="1"/>
    <col min="9" max="28" width="9.109375" style="280"/>
    <col min="29" max="16384" width="9.109375" style="281"/>
  </cols>
  <sheetData>
    <row r="1" spans="1:28" s="352" customFormat="1" ht="21" customHeight="1" x14ac:dyDescent="0.25">
      <c r="A1" s="284"/>
      <c r="B1" s="345"/>
      <c r="C1" s="346" t="s">
        <v>471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5">
      <c r="A2" s="289"/>
      <c r="B2" s="290" t="s">
        <v>277</v>
      </c>
      <c r="C2" s="347" t="s">
        <v>292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ht="17.399999999999999" x14ac:dyDescent="0.25">
      <c r="A3" s="292"/>
      <c r="B3" s="290" t="s">
        <v>42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" customHeight="1" x14ac:dyDescent="0.35">
      <c r="A4" s="294"/>
      <c r="B4" s="294"/>
      <c r="C4" s="295" t="s">
        <v>165</v>
      </c>
      <c r="D4" s="303"/>
      <c r="E4" s="303"/>
      <c r="F4" s="303"/>
      <c r="G4" s="303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4.799999999999997" x14ac:dyDescent="0.25">
      <c r="A5" s="289"/>
      <c r="B5" s="296" t="s">
        <v>234</v>
      </c>
      <c r="C5" s="296" t="s">
        <v>235</v>
      </c>
      <c r="D5" s="303"/>
      <c r="E5" s="303"/>
      <c r="F5" s="303"/>
      <c r="G5" s="303"/>
    </row>
    <row r="6" spans="1:28" s="354" customFormat="1" ht="19.649999999999999" customHeight="1" x14ac:dyDescent="0.25">
      <c r="A6" s="289"/>
      <c r="B6" s="289"/>
      <c r="C6" s="289"/>
      <c r="D6" s="540">
        <v>2020</v>
      </c>
      <c r="E6" s="540"/>
      <c r="F6" s="540"/>
      <c r="G6" s="540"/>
      <c r="H6" s="540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90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5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x14ac:dyDescent="0.25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6" x14ac:dyDescent="0.25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6" x14ac:dyDescent="0.25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6" x14ac:dyDescent="0.25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5">
      <c r="A13" s="128"/>
      <c r="B13" s="152" t="s">
        <v>134</v>
      </c>
      <c r="C13" s="306"/>
      <c r="D13" s="135"/>
      <c r="E13" s="135"/>
      <c r="F13" s="135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5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4.799999999999997" x14ac:dyDescent="0.25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308"/>
      <c r="H15" s="307"/>
    </row>
    <row r="16" spans="1:28" ht="36" x14ac:dyDescent="0.25">
      <c r="A16" s="151"/>
      <c r="B16" s="152" t="s">
        <v>136</v>
      </c>
      <c r="C16" s="160"/>
      <c r="D16" s="307"/>
      <c r="E16" s="307"/>
      <c r="F16" s="307"/>
      <c r="G16" s="308"/>
      <c r="H16" s="307"/>
    </row>
    <row r="17" spans="1:28" s="355" customFormat="1" ht="36" x14ac:dyDescent="0.25">
      <c r="A17" s="128"/>
      <c r="B17" s="152" t="s">
        <v>157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6" x14ac:dyDescent="0.25">
      <c r="A18" s="128"/>
      <c r="B18" s="152" t="s">
        <v>158</v>
      </c>
      <c r="C18" s="306"/>
      <c r="D18" s="307"/>
      <c r="E18" s="307"/>
      <c r="F18" s="307"/>
      <c r="G18" s="108"/>
      <c r="H18" s="307"/>
    </row>
    <row r="19" spans="1:28" ht="36" x14ac:dyDescent="0.25">
      <c r="A19" s="128"/>
      <c r="B19" s="152" t="s">
        <v>69</v>
      </c>
      <c r="C19" s="306"/>
      <c r="D19" s="307"/>
      <c r="E19" s="307"/>
      <c r="F19" s="307"/>
      <c r="G19" s="108"/>
      <c r="H19" s="307"/>
    </row>
    <row r="20" spans="1:28" ht="34.799999999999997" x14ac:dyDescent="0.25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6" x14ac:dyDescent="0.25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5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6" x14ac:dyDescent="0.25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ht="16.2" customHeight="1" x14ac:dyDescent="0.25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ht="20.100000000000001" customHeight="1" x14ac:dyDescent="0.25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52.35" customHeight="1" x14ac:dyDescent="0.25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ht="28.5" customHeight="1" x14ac:dyDescent="0.3">
      <c r="A27" s="155" t="s">
        <v>79</v>
      </c>
      <c r="B27" s="311" t="s">
        <v>80</v>
      </c>
      <c r="C27" s="308">
        <f>C28+C29+C30+C31+C32</f>
        <v>343</v>
      </c>
      <c r="D27" s="308">
        <f>D28+D29+D30+D31+D32</f>
        <v>343</v>
      </c>
      <c r="E27" s="308">
        <f>E28+E29+E30+E31+E32</f>
        <v>0</v>
      </c>
      <c r="F27" s="308">
        <f t="shared" ref="F27:F40" si="0">D27+E27</f>
        <v>343</v>
      </c>
      <c r="G27" s="308">
        <f>G28+G29+G30+G31+G32</f>
        <v>283</v>
      </c>
      <c r="H27" s="68">
        <f>G27/F27</f>
        <v>0.82507288629737607</v>
      </c>
    </row>
    <row r="28" spans="1:28" ht="54" x14ac:dyDescent="0.3">
      <c r="A28" s="128"/>
      <c r="B28" s="152" t="s">
        <v>137</v>
      </c>
      <c r="C28" s="306">
        <v>343</v>
      </c>
      <c r="D28" s="306">
        <v>343</v>
      </c>
      <c r="E28" s="135"/>
      <c r="F28" s="306">
        <f t="shared" si="0"/>
        <v>343</v>
      </c>
      <c r="G28" s="306">
        <v>283</v>
      </c>
      <c r="H28" s="68">
        <f>G28/F28</f>
        <v>0.82507288629737607</v>
      </c>
    </row>
    <row r="29" spans="1:28" x14ac:dyDescent="0.3">
      <c r="A29" s="128"/>
      <c r="B29" s="152" t="s">
        <v>82</v>
      </c>
      <c r="C29" s="306"/>
      <c r="D29" s="307"/>
      <c r="E29" s="307"/>
      <c r="F29" s="308">
        <f t="shared" si="0"/>
        <v>0</v>
      </c>
      <c r="G29" s="108"/>
      <c r="H29" s="68"/>
    </row>
    <row r="30" spans="1:28" x14ac:dyDescent="0.3">
      <c r="A30" s="128"/>
      <c r="B30" s="152" t="s">
        <v>83</v>
      </c>
      <c r="C30" s="306"/>
      <c r="D30" s="307"/>
      <c r="E30" s="307"/>
      <c r="F30" s="308">
        <f t="shared" si="0"/>
        <v>0</v>
      </c>
      <c r="G30" s="108"/>
      <c r="H30" s="68"/>
    </row>
    <row r="31" spans="1:28" s="354" customFormat="1" x14ac:dyDescent="0.3">
      <c r="A31" s="128"/>
      <c r="B31" s="152" t="s">
        <v>84</v>
      </c>
      <c r="C31" s="306"/>
      <c r="D31" s="307"/>
      <c r="E31" s="307"/>
      <c r="F31" s="308">
        <f t="shared" si="0"/>
        <v>0</v>
      </c>
      <c r="G31" s="108"/>
      <c r="H31" s="68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0"/>
        <v>0</v>
      </c>
      <c r="G32" s="108"/>
      <c r="H32" s="68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0"/>
        <v>0</v>
      </c>
      <c r="G33" s="108"/>
      <c r="H33" s="68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0"/>
        <v>0</v>
      </c>
      <c r="G34" s="108"/>
      <c r="H34" s="68"/>
    </row>
    <row r="35" spans="1:28" x14ac:dyDescent="0.3">
      <c r="A35" s="130"/>
      <c r="B35" s="152" t="s">
        <v>268</v>
      </c>
      <c r="C35" s="160"/>
      <c r="D35" s="307"/>
      <c r="E35" s="307"/>
      <c r="F35" s="308">
        <f t="shared" si="0"/>
        <v>0</v>
      </c>
      <c r="G35" s="108"/>
      <c r="H35" s="68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60">
        <f>D37</f>
        <v>28</v>
      </c>
      <c r="E36" s="160">
        <f t="shared" ref="E36:G36" si="1">E37</f>
        <v>102</v>
      </c>
      <c r="F36" s="160">
        <f t="shared" si="1"/>
        <v>130</v>
      </c>
      <c r="G36" s="160">
        <f t="shared" si="1"/>
        <v>130</v>
      </c>
      <c r="H36" s="68">
        <f>G36/F36</f>
        <v>1</v>
      </c>
    </row>
    <row r="37" spans="1:28" x14ac:dyDescent="0.3">
      <c r="A37" s="132"/>
      <c r="B37" s="152" t="s">
        <v>239</v>
      </c>
      <c r="C37" s="306"/>
      <c r="D37" s="135">
        <v>28</v>
      </c>
      <c r="E37" s="135">
        <v>102</v>
      </c>
      <c r="F37" s="306">
        <f t="shared" si="0"/>
        <v>130</v>
      </c>
      <c r="G37" s="153">
        <v>130</v>
      </c>
      <c r="H37" s="68">
        <f>G37/F37</f>
        <v>1</v>
      </c>
    </row>
    <row r="38" spans="1:28" x14ac:dyDescent="0.3">
      <c r="A38" s="312" t="s">
        <v>92</v>
      </c>
      <c r="B38" s="161" t="s">
        <v>93</v>
      </c>
      <c r="C38" s="306"/>
      <c r="D38" s="306">
        <f>D39+D40</f>
        <v>0</v>
      </c>
      <c r="E38" s="306"/>
      <c r="F38" s="308">
        <f t="shared" si="0"/>
        <v>0</v>
      </c>
      <c r="G38" s="108"/>
      <c r="H38" s="68"/>
    </row>
    <row r="39" spans="1:28" s="355" customFormat="1" ht="54" x14ac:dyDescent="0.3">
      <c r="A39" s="132"/>
      <c r="B39" s="38" t="s">
        <v>269</v>
      </c>
      <c r="C39" s="306"/>
      <c r="D39" s="135"/>
      <c r="E39" s="135"/>
      <c r="F39" s="308">
        <f t="shared" si="0"/>
        <v>0</v>
      </c>
      <c r="G39" s="108"/>
      <c r="H39" s="68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ht="32.25" customHeight="1" x14ac:dyDescent="0.3">
      <c r="A40" s="132"/>
      <c r="B40" s="38" t="s">
        <v>95</v>
      </c>
      <c r="C40" s="306"/>
      <c r="D40" s="307"/>
      <c r="E40" s="306"/>
      <c r="F40" s="308">
        <f t="shared" si="0"/>
        <v>0</v>
      </c>
      <c r="G40" s="108"/>
      <c r="H40" s="68"/>
    </row>
    <row r="41" spans="1:28" ht="45.75" customHeight="1" x14ac:dyDescent="0.3">
      <c r="A41" s="132"/>
      <c r="B41" s="161" t="s">
        <v>96</v>
      </c>
      <c r="C41" s="308">
        <f>C8+C15+C20+C22+C27+C33+C36+C38</f>
        <v>343</v>
      </c>
      <c r="D41" s="308">
        <f>D8+D15+D20+D22+D27+D33+D36+D38</f>
        <v>371</v>
      </c>
      <c r="E41" s="308">
        <f>E8+E15+E20+E22+E27+E33+E36+E38</f>
        <v>102</v>
      </c>
      <c r="F41" s="308">
        <f>F8+F15+F20+F22+F27+F33+F36+F38</f>
        <v>473</v>
      </c>
      <c r="G41" s="308">
        <f>G8+G15+G20+G22+G27+G33+G36+G38</f>
        <v>413</v>
      </c>
      <c r="H41" s="68">
        <f>G41/F41</f>
        <v>0.87315010570824525</v>
      </c>
    </row>
    <row r="42" spans="1:28" x14ac:dyDescent="0.3">
      <c r="A42" s="312" t="s">
        <v>97</v>
      </c>
      <c r="B42" s="161" t="s">
        <v>271</v>
      </c>
      <c r="C42" s="160">
        <f>C77-C41</f>
        <v>16834</v>
      </c>
      <c r="D42" s="160">
        <f>D77-D43-D41</f>
        <v>18800</v>
      </c>
      <c r="E42" s="160">
        <f>E77-E43-E41</f>
        <v>-31</v>
      </c>
      <c r="F42" s="160">
        <f>F77-F43-F41</f>
        <v>18769</v>
      </c>
      <c r="G42" s="308">
        <v>17203</v>
      </c>
      <c r="H42" s="68">
        <f>G42/F42</f>
        <v>0.9165645479247696</v>
      </c>
    </row>
    <row r="43" spans="1:28" ht="34.799999999999997" x14ac:dyDescent="0.3">
      <c r="A43" s="312" t="s">
        <v>99</v>
      </c>
      <c r="B43" s="161" t="s">
        <v>100</v>
      </c>
      <c r="C43" s="306"/>
      <c r="D43" s="306">
        <v>567</v>
      </c>
      <c r="E43" s="135">
        <v>1</v>
      </c>
      <c r="F43" s="308">
        <f>D43+E43</f>
        <v>568</v>
      </c>
      <c r="G43" s="308">
        <v>568</v>
      </c>
      <c r="H43" s="68">
        <f>G43/F43</f>
        <v>1</v>
      </c>
    </row>
    <row r="44" spans="1:28" ht="34.799999999999997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68" t="s">
        <v>293</v>
      </c>
    </row>
    <row r="45" spans="1:28" x14ac:dyDescent="0.3">
      <c r="A45" s="132"/>
      <c r="B45" s="161" t="s">
        <v>103</v>
      </c>
      <c r="C45" s="308">
        <f>C42+C43+C44</f>
        <v>16834</v>
      </c>
      <c r="D45" s="308">
        <f>D42+D43+D44</f>
        <v>19367</v>
      </c>
      <c r="E45" s="308">
        <f>E42+E43+E44</f>
        <v>-30</v>
      </c>
      <c r="F45" s="308">
        <f>D45+E45</f>
        <v>19337</v>
      </c>
      <c r="G45" s="308">
        <f>G42+G43+G44</f>
        <v>17771</v>
      </c>
      <c r="H45" s="68">
        <f>G45/F45</f>
        <v>0.91901535915602217</v>
      </c>
    </row>
    <row r="46" spans="1:28" x14ac:dyDescent="0.3">
      <c r="A46" s="132"/>
      <c r="B46" s="163" t="s">
        <v>106</v>
      </c>
      <c r="C46" s="308">
        <f>C41+C45</f>
        <v>17177</v>
      </c>
      <c r="D46" s="308">
        <f>D41+D45</f>
        <v>19738</v>
      </c>
      <c r="E46" s="308">
        <f>E41+E45</f>
        <v>72</v>
      </c>
      <c r="F46" s="308">
        <f>D46+E46</f>
        <v>19810</v>
      </c>
      <c r="G46" s="308">
        <f>G41+G45</f>
        <v>18184</v>
      </c>
      <c r="H46" s="68">
        <f>G46/F46</f>
        <v>0.91792024230186775</v>
      </c>
    </row>
    <row r="47" spans="1:28" ht="14.25" customHeight="1" x14ac:dyDescent="0.25">
      <c r="A47" s="316"/>
      <c r="B47" s="317"/>
      <c r="C47" s="318"/>
      <c r="D47" s="303"/>
      <c r="E47" s="303"/>
      <c r="F47" s="308">
        <f>C47+D47+E47</f>
        <v>0</v>
      </c>
      <c r="G47" s="303"/>
    </row>
    <row r="48" spans="1:28" ht="17.399999999999999" customHeight="1" x14ac:dyDescent="0.25">
      <c r="A48" s="141"/>
      <c r="B48" s="141"/>
      <c r="C48" s="152"/>
      <c r="D48" s="540">
        <v>2020</v>
      </c>
      <c r="E48" s="540"/>
      <c r="F48" s="540"/>
      <c r="G48" s="540"/>
      <c r="H48" s="540"/>
    </row>
    <row r="49" spans="1:8" ht="90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17177</v>
      </c>
      <c r="D50" s="160">
        <f>D51+D52+D53+D56+D57</f>
        <v>19738</v>
      </c>
      <c r="E50" s="160">
        <f>E51+E52+E53+E56+E57</f>
        <v>-157</v>
      </c>
      <c r="F50" s="160">
        <f t="shared" ref="F50:F80" si="2">D50+E50</f>
        <v>19581</v>
      </c>
      <c r="G50" s="160">
        <f>G51+G52+G53+G56+G57</f>
        <v>17761</v>
      </c>
      <c r="H50" s="68">
        <f>G50/F50</f>
        <v>0.90705275522189877</v>
      </c>
    </row>
    <row r="51" spans="1:8" x14ac:dyDescent="0.3">
      <c r="A51" s="137"/>
      <c r="B51" s="323" t="s">
        <v>109</v>
      </c>
      <c r="C51" s="306">
        <v>8756</v>
      </c>
      <c r="D51" s="306">
        <v>10652</v>
      </c>
      <c r="E51" s="135">
        <f>61-53</f>
        <v>8</v>
      </c>
      <c r="F51" s="153">
        <f t="shared" si="2"/>
        <v>10660</v>
      </c>
      <c r="G51" s="160">
        <v>10660</v>
      </c>
      <c r="H51" s="68">
        <f>G51/F51</f>
        <v>1</v>
      </c>
    </row>
    <row r="52" spans="1:8" ht="36" x14ac:dyDescent="0.3">
      <c r="A52" s="132"/>
      <c r="B52" s="174" t="s">
        <v>110</v>
      </c>
      <c r="C52" s="306">
        <v>1572</v>
      </c>
      <c r="D52" s="306">
        <v>1691</v>
      </c>
      <c r="E52" s="135">
        <f>53+11+27</f>
        <v>91</v>
      </c>
      <c r="F52" s="153">
        <f t="shared" si="2"/>
        <v>1782</v>
      </c>
      <c r="G52" s="160">
        <v>1782</v>
      </c>
      <c r="H52" s="68">
        <f>G52/F52</f>
        <v>1</v>
      </c>
    </row>
    <row r="53" spans="1:8" x14ac:dyDescent="0.3">
      <c r="A53" s="132"/>
      <c r="B53" s="174" t="s">
        <v>111</v>
      </c>
      <c r="C53" s="306">
        <v>6849</v>
      </c>
      <c r="D53" s="306">
        <v>7395</v>
      </c>
      <c r="E53" s="135">
        <f>-27-229</f>
        <v>-256</v>
      </c>
      <c r="F53" s="153">
        <f t="shared" si="2"/>
        <v>7139</v>
      </c>
      <c r="G53" s="160">
        <v>5319</v>
      </c>
      <c r="H53" s="68">
        <f>G53/F53</f>
        <v>0.74506233366017649</v>
      </c>
    </row>
    <row r="54" spans="1:8" ht="36" x14ac:dyDescent="0.3">
      <c r="A54" s="132"/>
      <c r="B54" s="174" t="s">
        <v>273</v>
      </c>
      <c r="C54" s="306"/>
      <c r="D54" s="135"/>
      <c r="E54" s="135"/>
      <c r="F54" s="160">
        <f t="shared" si="2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2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160">
        <f t="shared" si="2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2"/>
        <v>0</v>
      </c>
      <c r="G57" s="108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2"/>
        <v>0</v>
      </c>
      <c r="G58" s="108"/>
      <c r="H58" s="68"/>
    </row>
    <row r="59" spans="1:8" ht="36" x14ac:dyDescent="0.3">
      <c r="A59" s="132"/>
      <c r="B59" s="174" t="s">
        <v>117</v>
      </c>
      <c r="C59" s="306"/>
      <c r="D59" s="135"/>
      <c r="E59" s="135"/>
      <c r="F59" s="160">
        <f t="shared" si="2"/>
        <v>0</v>
      </c>
      <c r="G59" s="108"/>
      <c r="H59" s="68"/>
    </row>
    <row r="60" spans="1:8" ht="36" x14ac:dyDescent="0.3">
      <c r="A60" s="132"/>
      <c r="B60" s="174" t="s">
        <v>118</v>
      </c>
      <c r="C60" s="306"/>
      <c r="D60" s="135"/>
      <c r="E60" s="135"/>
      <c r="F60" s="160">
        <f t="shared" si="2"/>
        <v>0</v>
      </c>
      <c r="G60" s="108"/>
      <c r="H60" s="68"/>
    </row>
    <row r="61" spans="1:8" x14ac:dyDescent="0.35">
      <c r="A61" s="132"/>
      <c r="B61" s="328"/>
      <c r="C61" s="306"/>
      <c r="D61" s="135"/>
      <c r="E61" s="135"/>
      <c r="F61" s="160">
        <f t="shared" si="2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 t="shared" ref="E62:G62" si="3">E63+E66+E67+E70</f>
        <v>229</v>
      </c>
      <c r="F62" s="160">
        <f t="shared" si="3"/>
        <v>229</v>
      </c>
      <c r="G62" s="160">
        <f t="shared" si="3"/>
        <v>229</v>
      </c>
      <c r="H62" s="68">
        <f t="shared" ref="H62:H63" si="4">G62/F62</f>
        <v>1</v>
      </c>
    </row>
    <row r="63" spans="1:8" x14ac:dyDescent="0.3">
      <c r="A63" s="137"/>
      <c r="B63" s="173" t="s">
        <v>120</v>
      </c>
      <c r="C63" s="306"/>
      <c r="D63" s="135"/>
      <c r="E63" s="135">
        <v>229</v>
      </c>
      <c r="F63" s="160">
        <v>229</v>
      </c>
      <c r="G63" s="160">
        <v>229</v>
      </c>
      <c r="H63" s="68">
        <f t="shared" si="4"/>
        <v>1</v>
      </c>
    </row>
    <row r="64" spans="1:8" ht="36" x14ac:dyDescent="0.3">
      <c r="A64" s="137"/>
      <c r="B64" s="174" t="s">
        <v>245</v>
      </c>
      <c r="C64" s="306"/>
      <c r="D64" s="135"/>
      <c r="E64" s="135"/>
      <c r="F64" s="160">
        <f t="shared" si="2"/>
        <v>0</v>
      </c>
      <c r="G64" s="108"/>
      <c r="H64" s="68"/>
    </row>
    <row r="65" spans="1:8" ht="36" x14ac:dyDescent="0.3">
      <c r="A65" s="137"/>
      <c r="B65" s="174" t="s">
        <v>246</v>
      </c>
      <c r="C65" s="306"/>
      <c r="D65" s="135"/>
      <c r="E65" s="135"/>
      <c r="F65" s="160">
        <f t="shared" si="2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2"/>
        <v>0</v>
      </c>
      <c r="G66" s="108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2"/>
        <v>0</v>
      </c>
      <c r="G67" s="108"/>
      <c r="H67" s="68"/>
    </row>
    <row r="68" spans="1:8" ht="36" x14ac:dyDescent="0.3">
      <c r="A68" s="132"/>
      <c r="B68" s="174" t="s">
        <v>125</v>
      </c>
      <c r="C68" s="306"/>
      <c r="D68" s="135"/>
      <c r="E68" s="135"/>
      <c r="F68" s="160">
        <f t="shared" si="2"/>
        <v>0</v>
      </c>
      <c r="G68" s="108"/>
      <c r="H68" s="68"/>
    </row>
    <row r="69" spans="1:8" ht="36" x14ac:dyDescent="0.3">
      <c r="A69" s="132"/>
      <c r="B69" s="174" t="s">
        <v>126</v>
      </c>
      <c r="C69" s="306"/>
      <c r="D69" s="135"/>
      <c r="E69" s="135"/>
      <c r="F69" s="160">
        <f t="shared" si="2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2"/>
        <v>0</v>
      </c>
      <c r="G70" s="108"/>
      <c r="H70" s="68"/>
    </row>
    <row r="71" spans="1:8" x14ac:dyDescent="0.35">
      <c r="A71" s="32"/>
      <c r="B71" s="183"/>
      <c r="C71" s="2"/>
      <c r="D71" s="135"/>
      <c r="E71" s="135"/>
      <c r="F71" s="160">
        <f t="shared" si="2"/>
        <v>0</v>
      </c>
      <c r="G71" s="108"/>
      <c r="H71" s="68"/>
    </row>
    <row r="72" spans="1:8" x14ac:dyDescent="0.3">
      <c r="A72" s="130"/>
      <c r="B72" s="332" t="s">
        <v>127</v>
      </c>
      <c r="C72" s="160">
        <f>C50+C62</f>
        <v>17177</v>
      </c>
      <c r="D72" s="160">
        <f>D50+D62</f>
        <v>19738</v>
      </c>
      <c r="E72" s="160">
        <f>E50+E62</f>
        <v>72</v>
      </c>
      <c r="F72" s="160">
        <f t="shared" si="2"/>
        <v>19810</v>
      </c>
      <c r="G72" s="160">
        <f>G50+G62</f>
        <v>17990</v>
      </c>
      <c r="H72" s="68">
        <f>G72/F72</f>
        <v>0.90812720848056538</v>
      </c>
    </row>
    <row r="73" spans="1:8" x14ac:dyDescent="0.3">
      <c r="A73" s="130"/>
      <c r="B73" s="332"/>
      <c r="C73" s="333"/>
      <c r="D73" s="135"/>
      <c r="E73" s="135"/>
      <c r="F73" s="160">
        <f t="shared" si="2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60">
        <f t="shared" si="2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2"/>
        <v>0</v>
      </c>
      <c r="G75" s="108"/>
      <c r="H75" s="68"/>
    </row>
    <row r="76" spans="1:8" ht="36" x14ac:dyDescent="0.3">
      <c r="A76" s="132"/>
      <c r="B76" s="323" t="s">
        <v>105</v>
      </c>
      <c r="C76" s="308"/>
      <c r="D76" s="135"/>
      <c r="E76" s="135"/>
      <c r="F76" s="160">
        <f t="shared" si="2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17177</v>
      </c>
      <c r="D77" s="160">
        <f>D50+D62+D74</f>
        <v>19738</v>
      </c>
      <c r="E77" s="160">
        <f>E50+E62+E74</f>
        <v>72</v>
      </c>
      <c r="F77" s="160">
        <f t="shared" si="2"/>
        <v>19810</v>
      </c>
      <c r="G77" s="160">
        <f>G50+G62+G74</f>
        <v>17990</v>
      </c>
      <c r="H77" s="68">
        <f>G77/F77</f>
        <v>0.90812720848056538</v>
      </c>
    </row>
    <row r="78" spans="1:8" x14ac:dyDescent="0.3">
      <c r="A78" s="141"/>
      <c r="B78" s="334"/>
      <c r="C78" s="152"/>
      <c r="D78" s="135"/>
      <c r="E78" s="135"/>
      <c r="F78" s="160">
        <f t="shared" si="2"/>
        <v>0</v>
      </c>
      <c r="G78" s="108"/>
      <c r="H78" s="68"/>
    </row>
    <row r="79" spans="1:8" x14ac:dyDescent="0.3">
      <c r="A79" s="142"/>
      <c r="B79" s="335" t="s">
        <v>132</v>
      </c>
      <c r="C79" s="336">
        <v>3</v>
      </c>
      <c r="D79" s="336">
        <v>3</v>
      </c>
      <c r="E79" s="135"/>
      <c r="F79" s="336">
        <f t="shared" si="2"/>
        <v>3</v>
      </c>
      <c r="G79" s="108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135"/>
      <c r="F80" s="336">
        <f t="shared" si="2"/>
        <v>0</v>
      </c>
      <c r="G80" s="108"/>
      <c r="H80" s="68"/>
    </row>
    <row r="83" spans="1:3" x14ac:dyDescent="0.25">
      <c r="B83" s="331" t="s">
        <v>250</v>
      </c>
      <c r="C83" s="280" t="s">
        <v>46</v>
      </c>
    </row>
    <row r="84" spans="1:3" x14ac:dyDescent="0.25">
      <c r="A84" s="280" t="s">
        <v>251</v>
      </c>
      <c r="B84" s="331"/>
    </row>
    <row r="85" spans="1:3" x14ac:dyDescent="0.25">
      <c r="A85" s="382">
        <f>C79</f>
        <v>3</v>
      </c>
      <c r="B85" s="280" t="s">
        <v>291</v>
      </c>
      <c r="C85" s="280">
        <f>A85*6*12</f>
        <v>216</v>
      </c>
    </row>
    <row r="86" spans="1:3" x14ac:dyDescent="0.25">
      <c r="B86" s="280" t="s">
        <v>284</v>
      </c>
      <c r="C86" s="338">
        <f>C85*0.15</f>
        <v>32.4</v>
      </c>
    </row>
    <row r="88" spans="1:3" x14ac:dyDescent="0.25">
      <c r="B88" s="341" t="s">
        <v>228</v>
      </c>
      <c r="C88" s="343">
        <f>SUM(C85:C87)</f>
        <v>248.4</v>
      </c>
    </row>
  </sheetData>
  <sheetProtection selectLockedCells="1" selectUnlockedCells="1"/>
  <mergeCells count="2">
    <mergeCell ref="D6:H6"/>
    <mergeCell ref="D48:H48"/>
  </mergeCells>
  <pageMargins left="0.75" right="0.75" top="1" bottom="1" header="0.51180555555555551" footer="0.51180555555555551"/>
  <pageSetup paperSize="9" scale="47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B95"/>
  <sheetViews>
    <sheetView topLeftCell="A46" zoomScale="60" zoomScaleNormal="60" workbookViewId="0">
      <selection activeCell="E52" sqref="E52"/>
    </sheetView>
  </sheetViews>
  <sheetFormatPr defaultColWidth="9.109375" defaultRowHeight="18" x14ac:dyDescent="0.25"/>
  <cols>
    <col min="1" max="1" width="11.44140625" style="280" customWidth="1"/>
    <col min="2" max="2" width="61.6640625" style="280" customWidth="1"/>
    <col min="3" max="3" width="21.44140625" style="280" customWidth="1"/>
    <col min="4" max="4" width="13.6640625" style="280" customWidth="1"/>
    <col min="5" max="5" width="21.5546875" style="280" customWidth="1"/>
    <col min="6" max="6" width="19.5546875" style="280" customWidth="1"/>
    <col min="7" max="7" width="21" style="280" customWidth="1"/>
    <col min="8" max="8" width="26.109375" style="280" customWidth="1"/>
    <col min="9" max="28" width="9.109375" style="280"/>
    <col min="29" max="16384" width="9.109375" style="281"/>
  </cols>
  <sheetData>
    <row r="1" spans="1:28" s="352" customFormat="1" ht="21" customHeight="1" x14ac:dyDescent="0.25">
      <c r="A1" s="284"/>
      <c r="B1" s="345"/>
      <c r="C1" s="346" t="s">
        <v>472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5">
      <c r="A2" s="289"/>
      <c r="B2" s="290" t="s">
        <v>277</v>
      </c>
      <c r="C2" s="347" t="s">
        <v>294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ht="17.399999999999999" x14ac:dyDescent="0.25">
      <c r="A3" s="292"/>
      <c r="B3" s="290" t="s">
        <v>41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" customHeight="1" x14ac:dyDescent="0.35">
      <c r="A4" s="294"/>
      <c r="B4" s="294"/>
      <c r="C4" s="295" t="s">
        <v>165</v>
      </c>
      <c r="D4" s="303"/>
      <c r="E4" s="303"/>
      <c r="F4" s="303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6" customHeight="1" x14ac:dyDescent="0.25">
      <c r="A5" s="289"/>
      <c r="B5" s="296" t="s">
        <v>234</v>
      </c>
      <c r="C5" s="296" t="s">
        <v>235</v>
      </c>
      <c r="D5" s="303"/>
      <c r="E5" s="303"/>
      <c r="F5" s="303"/>
    </row>
    <row r="6" spans="1:28" s="354" customFormat="1" ht="19.649999999999999" customHeight="1" x14ac:dyDescent="0.25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55.2" customHeight="1" x14ac:dyDescent="0.25">
      <c r="A7" s="299"/>
      <c r="B7" s="299" t="s">
        <v>236</v>
      </c>
      <c r="C7" s="361" t="s">
        <v>272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5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x14ac:dyDescent="0.25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6" x14ac:dyDescent="0.25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6" x14ac:dyDescent="0.25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6" x14ac:dyDescent="0.25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5">
      <c r="A13" s="128"/>
      <c r="B13" s="152" t="s">
        <v>134</v>
      </c>
      <c r="C13" s="306"/>
      <c r="D13" s="135"/>
      <c r="E13" s="135"/>
      <c r="F13" s="135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5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4.799999999999997" x14ac:dyDescent="0.25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6" x14ac:dyDescent="0.25">
      <c r="A16" s="151"/>
      <c r="B16" s="152" t="s">
        <v>135</v>
      </c>
      <c r="C16" s="160"/>
      <c r="D16" s="307"/>
      <c r="E16" s="307"/>
      <c r="F16" s="307"/>
      <c r="G16" s="108"/>
      <c r="H16" s="307"/>
    </row>
    <row r="17" spans="1:28" s="355" customFormat="1" ht="36" x14ac:dyDescent="0.25">
      <c r="A17" s="128"/>
      <c r="B17" s="152" t="s">
        <v>136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6" x14ac:dyDescent="0.25">
      <c r="A18" s="128"/>
      <c r="B18" s="152" t="s">
        <v>158</v>
      </c>
      <c r="C18" s="306"/>
      <c r="D18" s="307"/>
      <c r="E18" s="307"/>
      <c r="F18" s="307"/>
      <c r="G18" s="108"/>
      <c r="H18" s="307"/>
    </row>
    <row r="19" spans="1:28" ht="36" x14ac:dyDescent="0.25">
      <c r="A19" s="128"/>
      <c r="B19" s="152" t="s">
        <v>69</v>
      </c>
      <c r="C19" s="306"/>
      <c r="D19" s="307"/>
      <c r="E19" s="307"/>
      <c r="F19" s="307"/>
      <c r="G19" s="108"/>
      <c r="H19" s="307"/>
    </row>
    <row r="20" spans="1:28" ht="34.799999999999997" x14ac:dyDescent="0.25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6" x14ac:dyDescent="0.25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5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6" x14ac:dyDescent="0.25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5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5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72" x14ac:dyDescent="0.25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9666</v>
      </c>
      <c r="D27" s="308">
        <f>D28+D29+D30+D31+D32</f>
        <v>9666</v>
      </c>
      <c r="E27" s="308">
        <f>E28+E29+E30+E31+E32</f>
        <v>0</v>
      </c>
      <c r="F27" s="308">
        <f t="shared" ref="F27:F41" si="0">D27+E27</f>
        <v>9666</v>
      </c>
      <c r="G27" s="308">
        <f>G28+G29+G30+G31+G32</f>
        <v>9921</v>
      </c>
      <c r="H27" s="383">
        <f>G27/F27</f>
        <v>1.0263811297330852</v>
      </c>
    </row>
    <row r="28" spans="1:28" ht="54" x14ac:dyDescent="0.3">
      <c r="A28" s="128"/>
      <c r="B28" s="152" t="s">
        <v>137</v>
      </c>
      <c r="C28" s="306">
        <v>9666</v>
      </c>
      <c r="D28" s="306">
        <v>9666</v>
      </c>
      <c r="E28" s="307"/>
      <c r="F28" s="306">
        <f t="shared" si="0"/>
        <v>9666</v>
      </c>
      <c r="G28" s="306">
        <v>9921</v>
      </c>
      <c r="H28" s="383">
        <f>G28/F28</f>
        <v>1.0263811297330852</v>
      </c>
    </row>
    <row r="29" spans="1:28" x14ac:dyDescent="0.3">
      <c r="A29" s="128"/>
      <c r="B29" s="152" t="s">
        <v>82</v>
      </c>
      <c r="C29" s="306"/>
      <c r="D29" s="306"/>
      <c r="E29" s="307"/>
      <c r="F29" s="308">
        <f t="shared" si="0"/>
        <v>0</v>
      </c>
      <c r="G29" s="108"/>
      <c r="H29" s="383"/>
    </row>
    <row r="30" spans="1:28" x14ac:dyDescent="0.3">
      <c r="A30" s="128"/>
      <c r="B30" s="152" t="s">
        <v>83</v>
      </c>
      <c r="C30" s="306"/>
      <c r="D30" s="307"/>
      <c r="E30" s="307"/>
      <c r="F30" s="308">
        <f t="shared" si="0"/>
        <v>0</v>
      </c>
      <c r="G30" s="108"/>
      <c r="H30" s="383"/>
    </row>
    <row r="31" spans="1:28" s="354" customFormat="1" x14ac:dyDescent="0.3">
      <c r="A31" s="128"/>
      <c r="B31" s="152" t="s">
        <v>84</v>
      </c>
      <c r="C31" s="306"/>
      <c r="D31" s="307"/>
      <c r="E31" s="307"/>
      <c r="F31" s="308">
        <f t="shared" si="0"/>
        <v>0</v>
      </c>
      <c r="G31" s="108"/>
      <c r="H31" s="383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0"/>
        <v>0</v>
      </c>
      <c r="G32" s="108"/>
      <c r="H32" s="38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0"/>
        <v>0</v>
      </c>
      <c r="G33" s="108"/>
      <c r="H33" s="383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0"/>
        <v>0</v>
      </c>
      <c r="G34" s="108"/>
      <c r="H34" s="383"/>
    </row>
    <row r="35" spans="1:28" x14ac:dyDescent="0.3">
      <c r="A35" s="130"/>
      <c r="B35" s="152" t="s">
        <v>268</v>
      </c>
      <c r="C35" s="160"/>
      <c r="D35" s="307"/>
      <c r="E35" s="307"/>
      <c r="F35" s="308">
        <f t="shared" si="0"/>
        <v>0</v>
      </c>
      <c r="G35" s="108"/>
      <c r="H35" s="383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308">
        <f t="shared" si="0"/>
        <v>0</v>
      </c>
      <c r="G36" s="108"/>
      <c r="H36" s="383"/>
    </row>
    <row r="37" spans="1:28" x14ac:dyDescent="0.3">
      <c r="A37" s="132"/>
      <c r="B37" s="152" t="s">
        <v>239</v>
      </c>
      <c r="C37" s="306"/>
      <c r="D37" s="135"/>
      <c r="E37" s="135"/>
      <c r="F37" s="308">
        <f t="shared" si="0"/>
        <v>0</v>
      </c>
      <c r="G37" s="108"/>
      <c r="H37" s="383"/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8">
        <f t="shared" si="0"/>
        <v>0</v>
      </c>
      <c r="G38" s="108"/>
      <c r="H38" s="383"/>
    </row>
    <row r="39" spans="1:28" s="355" customFormat="1" ht="54" x14ac:dyDescent="0.3">
      <c r="A39" s="132"/>
      <c r="B39" s="38" t="s">
        <v>269</v>
      </c>
      <c r="C39" s="306"/>
      <c r="D39" s="135"/>
      <c r="E39" s="135"/>
      <c r="F39" s="308">
        <f t="shared" si="0"/>
        <v>0</v>
      </c>
      <c r="G39" s="108"/>
      <c r="H39" s="38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307"/>
      <c r="E40" s="307"/>
      <c r="F40" s="308">
        <f t="shared" si="0"/>
        <v>0</v>
      </c>
      <c r="G40" s="108"/>
      <c r="H40" s="383"/>
    </row>
    <row r="41" spans="1:28" ht="41.85" customHeight="1" x14ac:dyDescent="0.3">
      <c r="A41" s="132"/>
      <c r="B41" s="161" t="s">
        <v>96</v>
      </c>
      <c r="C41" s="308">
        <f>C8+C15+C20+C22+C27+C33+C36+C38</f>
        <v>9666</v>
      </c>
      <c r="D41" s="308">
        <f>D8+D15+D20+D22+D27+D33+D36+D38</f>
        <v>9666</v>
      </c>
      <c r="E41" s="308">
        <f>E8+E15+E20+E22+E27+E33+E36+E38</f>
        <v>0</v>
      </c>
      <c r="F41" s="308">
        <f t="shared" si="0"/>
        <v>9666</v>
      </c>
      <c r="G41" s="308">
        <f>G8+G15+G20+G22+G27+G33+G36+G38</f>
        <v>9921</v>
      </c>
      <c r="H41" s="383">
        <f>G41/F41</f>
        <v>1.0263811297330852</v>
      </c>
    </row>
    <row r="42" spans="1:28" x14ac:dyDescent="0.3">
      <c r="A42" s="312" t="s">
        <v>97</v>
      </c>
      <c r="B42" s="161" t="s">
        <v>271</v>
      </c>
      <c r="C42" s="160">
        <v>129760</v>
      </c>
      <c r="D42" s="160">
        <f>D77-D43-D41</f>
        <v>126469</v>
      </c>
      <c r="E42" s="160">
        <f>E77-E41-E43</f>
        <v>16029</v>
      </c>
      <c r="F42" s="308">
        <f>F50-F41-F43</f>
        <v>142498</v>
      </c>
      <c r="G42" s="160">
        <v>135376</v>
      </c>
      <c r="H42" s="383">
        <f>G42/F42</f>
        <v>0.95002035116282335</v>
      </c>
    </row>
    <row r="43" spans="1:28" ht="34.799999999999997" x14ac:dyDescent="0.3">
      <c r="A43" s="312" t="s">
        <v>99</v>
      </c>
      <c r="B43" s="161" t="s">
        <v>100</v>
      </c>
      <c r="C43" s="306"/>
      <c r="D43" s="306">
        <v>1816</v>
      </c>
      <c r="E43" s="357">
        <f>G43-D43</f>
        <v>-515</v>
      </c>
      <c r="F43" s="308">
        <f>D43+E43</f>
        <v>1301</v>
      </c>
      <c r="G43" s="160">
        <v>1301</v>
      </c>
      <c r="H43" s="383">
        <f>G43/F43</f>
        <v>1</v>
      </c>
    </row>
    <row r="44" spans="1:28" ht="34.799999999999997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383"/>
    </row>
    <row r="45" spans="1:28" x14ac:dyDescent="0.3">
      <c r="A45" s="132"/>
      <c r="B45" s="161" t="s">
        <v>103</v>
      </c>
      <c r="C45" s="308">
        <f>C42+C43+C44</f>
        <v>129760</v>
      </c>
      <c r="D45" s="308">
        <f>D42+D43+D44</f>
        <v>128285</v>
      </c>
      <c r="E45" s="308">
        <f>E42+E43+E44</f>
        <v>15514</v>
      </c>
      <c r="F45" s="308">
        <f>D45+E45</f>
        <v>143799</v>
      </c>
      <c r="G45" s="308">
        <f>G42+G43+G44</f>
        <v>136677</v>
      </c>
      <c r="H45" s="383">
        <f>G45/F45</f>
        <v>0.95047253457951719</v>
      </c>
    </row>
    <row r="46" spans="1:28" ht="15" customHeight="1" x14ac:dyDescent="0.3">
      <c r="A46" s="132"/>
      <c r="B46" s="163" t="s">
        <v>106</v>
      </c>
      <c r="C46" s="308">
        <f>C41+C45</f>
        <v>139426</v>
      </c>
      <c r="D46" s="308">
        <f>D41+D45</f>
        <v>137951</v>
      </c>
      <c r="E46" s="308">
        <f>E41+E45</f>
        <v>15514</v>
      </c>
      <c r="F46" s="308">
        <f>D46+E46</f>
        <v>153465</v>
      </c>
      <c r="G46" s="308">
        <f>G41+G45</f>
        <v>146598</v>
      </c>
      <c r="H46" s="383">
        <f>G46/F46</f>
        <v>0.95525364089531817</v>
      </c>
    </row>
    <row r="47" spans="1:28" ht="14.25" customHeight="1" x14ac:dyDescent="0.3">
      <c r="A47" s="316"/>
      <c r="B47" s="317"/>
      <c r="C47" s="318"/>
      <c r="D47" s="303"/>
      <c r="E47" s="303"/>
      <c r="F47" s="303"/>
      <c r="H47" s="383"/>
    </row>
    <row r="48" spans="1:28" ht="17.399999999999999" customHeight="1" x14ac:dyDescent="0.25">
      <c r="A48" s="141"/>
      <c r="B48" s="141"/>
      <c r="C48" s="152"/>
      <c r="D48" s="522" t="s">
        <v>50</v>
      </c>
      <c r="E48" s="522"/>
      <c r="F48" s="522"/>
    </row>
    <row r="49" spans="1:8" ht="65.400000000000006" customHeight="1" x14ac:dyDescent="0.25">
      <c r="A49" s="320"/>
      <c r="B49" s="320" t="s">
        <v>243</v>
      </c>
      <c r="C49" s="361" t="s">
        <v>272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139426</v>
      </c>
      <c r="D50" s="160">
        <f>D51+D52+D53+D56+D57</f>
        <v>137951</v>
      </c>
      <c r="E50" s="160">
        <f>E51+E52+E53+E56+E57</f>
        <v>15514</v>
      </c>
      <c r="F50" s="160">
        <f t="shared" ref="F50:F80" si="1">D50+E50</f>
        <v>153465</v>
      </c>
      <c r="G50" s="160">
        <f>G51+G52+G53+G56+G57</f>
        <v>144622</v>
      </c>
      <c r="H50" s="383">
        <f>G50/F50</f>
        <v>0.94237774085296322</v>
      </c>
    </row>
    <row r="51" spans="1:8" x14ac:dyDescent="0.3">
      <c r="A51" s="137"/>
      <c r="B51" s="323" t="s">
        <v>109</v>
      </c>
      <c r="C51" s="306">
        <v>74374</v>
      </c>
      <c r="D51" s="306">
        <v>74455</v>
      </c>
      <c r="E51" s="306">
        <f>18</f>
        <v>18</v>
      </c>
      <c r="F51" s="153">
        <f t="shared" si="1"/>
        <v>74473</v>
      </c>
      <c r="G51" s="153">
        <v>67404</v>
      </c>
      <c r="H51" s="383">
        <f>G51/F51</f>
        <v>0.90507969331167004</v>
      </c>
    </row>
    <row r="52" spans="1:8" ht="36" x14ac:dyDescent="0.3">
      <c r="A52" s="132"/>
      <c r="B52" s="174" t="s">
        <v>110</v>
      </c>
      <c r="C52" s="306">
        <v>13359</v>
      </c>
      <c r="D52" s="306">
        <v>12631</v>
      </c>
      <c r="E52" s="306">
        <f>3</f>
        <v>3</v>
      </c>
      <c r="F52" s="153">
        <f t="shared" si="1"/>
        <v>12634</v>
      </c>
      <c r="G52" s="153">
        <v>11602</v>
      </c>
      <c r="H52" s="383">
        <f>G52/F52</f>
        <v>0.91831565616590149</v>
      </c>
    </row>
    <row r="53" spans="1:8" x14ac:dyDescent="0.3">
      <c r="A53" s="132"/>
      <c r="B53" s="174" t="s">
        <v>111</v>
      </c>
      <c r="C53" s="306">
        <v>51693</v>
      </c>
      <c r="D53" s="306">
        <v>50865</v>
      </c>
      <c r="E53" s="306">
        <v>15493</v>
      </c>
      <c r="F53" s="153">
        <f t="shared" si="1"/>
        <v>66358</v>
      </c>
      <c r="G53" s="153">
        <v>65616</v>
      </c>
      <c r="H53" s="383">
        <f>G53/F53</f>
        <v>0.98881822839748035</v>
      </c>
    </row>
    <row r="54" spans="1:8" ht="36" x14ac:dyDescent="0.3">
      <c r="A54" s="132"/>
      <c r="B54" s="174" t="s">
        <v>273</v>
      </c>
      <c r="C54" s="306"/>
      <c r="D54" s="135"/>
      <c r="E54" s="135"/>
      <c r="F54" s="153">
        <f t="shared" si="1"/>
        <v>0</v>
      </c>
      <c r="G54" s="108"/>
      <c r="H54" s="383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1"/>
        <v>0</v>
      </c>
      <c r="G55" s="108"/>
      <c r="H55" s="383"/>
    </row>
    <row r="56" spans="1:8" x14ac:dyDescent="0.3">
      <c r="A56" s="132"/>
      <c r="B56" s="174" t="s">
        <v>114</v>
      </c>
      <c r="C56" s="306"/>
      <c r="D56" s="306"/>
      <c r="E56" s="135"/>
      <c r="F56" s="160">
        <f t="shared" si="1"/>
        <v>0</v>
      </c>
      <c r="G56" s="108"/>
      <c r="H56" s="383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1"/>
        <v>0</v>
      </c>
      <c r="G57" s="108"/>
      <c r="H57" s="383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1"/>
        <v>0</v>
      </c>
      <c r="G58" s="108"/>
      <c r="H58" s="383"/>
    </row>
    <row r="59" spans="1:8" ht="36" x14ac:dyDescent="0.3">
      <c r="A59" s="132"/>
      <c r="B59" s="174" t="s">
        <v>117</v>
      </c>
      <c r="C59" s="306"/>
      <c r="D59" s="135"/>
      <c r="E59" s="135"/>
      <c r="F59" s="160">
        <f t="shared" si="1"/>
        <v>0</v>
      </c>
      <c r="G59" s="108"/>
      <c r="H59" s="383"/>
    </row>
    <row r="60" spans="1:8" ht="36" x14ac:dyDescent="0.3">
      <c r="A60" s="132"/>
      <c r="B60" s="174" t="s">
        <v>118</v>
      </c>
      <c r="C60" s="306"/>
      <c r="D60" s="135"/>
      <c r="E60" s="135"/>
      <c r="F60" s="160">
        <f t="shared" si="1"/>
        <v>0</v>
      </c>
      <c r="G60" s="108"/>
      <c r="H60" s="383"/>
    </row>
    <row r="61" spans="1:8" x14ac:dyDescent="0.35">
      <c r="A61" s="132"/>
      <c r="B61" s="328"/>
      <c r="C61" s="306"/>
      <c r="D61" s="135"/>
      <c r="E61" s="135"/>
      <c r="F61" s="160">
        <f t="shared" si="1"/>
        <v>0</v>
      </c>
      <c r="G61" s="108"/>
      <c r="H61" s="383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>E63+E66+E67+E70</f>
        <v>0</v>
      </c>
      <c r="F62" s="160">
        <f t="shared" si="1"/>
        <v>0</v>
      </c>
      <c r="G62" s="108"/>
      <c r="H62" s="383"/>
    </row>
    <row r="63" spans="1:8" x14ac:dyDescent="0.3">
      <c r="A63" s="137"/>
      <c r="B63" s="173" t="s">
        <v>120</v>
      </c>
      <c r="C63" s="306"/>
      <c r="D63" s="135"/>
      <c r="E63" s="135"/>
      <c r="F63" s="160">
        <f t="shared" si="1"/>
        <v>0</v>
      </c>
      <c r="G63" s="108"/>
      <c r="H63" s="383"/>
    </row>
    <row r="64" spans="1:8" ht="36" x14ac:dyDescent="0.3">
      <c r="A64" s="137"/>
      <c r="B64" s="174" t="s">
        <v>245</v>
      </c>
      <c r="C64" s="306"/>
      <c r="D64" s="135"/>
      <c r="E64" s="135"/>
      <c r="F64" s="160">
        <f t="shared" si="1"/>
        <v>0</v>
      </c>
      <c r="G64" s="108"/>
      <c r="H64" s="383"/>
    </row>
    <row r="65" spans="1:8" ht="36" x14ac:dyDescent="0.3">
      <c r="A65" s="137"/>
      <c r="B65" s="174" t="s">
        <v>246</v>
      </c>
      <c r="C65" s="306"/>
      <c r="D65" s="135"/>
      <c r="E65" s="135"/>
      <c r="F65" s="160">
        <f t="shared" si="1"/>
        <v>0</v>
      </c>
      <c r="G65" s="108"/>
      <c r="H65" s="383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1"/>
        <v>0</v>
      </c>
      <c r="G66" s="108"/>
      <c r="H66" s="383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1"/>
        <v>0</v>
      </c>
      <c r="G67" s="108"/>
      <c r="H67" s="383"/>
    </row>
    <row r="68" spans="1:8" ht="36" x14ac:dyDescent="0.3">
      <c r="A68" s="132"/>
      <c r="B68" s="174" t="s">
        <v>125</v>
      </c>
      <c r="C68" s="306"/>
      <c r="D68" s="135"/>
      <c r="E68" s="135"/>
      <c r="F68" s="160">
        <f t="shared" si="1"/>
        <v>0</v>
      </c>
      <c r="G68" s="108"/>
      <c r="H68" s="383"/>
    </row>
    <row r="69" spans="1:8" ht="36" x14ac:dyDescent="0.3">
      <c r="A69" s="132"/>
      <c r="B69" s="174" t="s">
        <v>126</v>
      </c>
      <c r="C69" s="306"/>
      <c r="D69" s="135"/>
      <c r="E69" s="135"/>
      <c r="F69" s="160">
        <f t="shared" si="1"/>
        <v>0</v>
      </c>
      <c r="G69" s="108"/>
      <c r="H69" s="383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1"/>
        <v>0</v>
      </c>
      <c r="G70" s="108"/>
      <c r="H70" s="383"/>
    </row>
    <row r="71" spans="1:8" x14ac:dyDescent="0.35">
      <c r="A71" s="32"/>
      <c r="B71" s="183"/>
      <c r="C71" s="2"/>
      <c r="D71" s="135"/>
      <c r="E71" s="135"/>
      <c r="F71" s="160">
        <f t="shared" si="1"/>
        <v>0</v>
      </c>
      <c r="G71" s="108"/>
      <c r="H71" s="383"/>
    </row>
    <row r="72" spans="1:8" x14ac:dyDescent="0.3">
      <c r="A72" s="130"/>
      <c r="B72" s="332" t="s">
        <v>127</v>
      </c>
      <c r="C72" s="160">
        <f>C50+C62</f>
        <v>139426</v>
      </c>
      <c r="D72" s="160">
        <f>D50+D62</f>
        <v>137951</v>
      </c>
      <c r="E72" s="160">
        <f>E50+E62</f>
        <v>15514</v>
      </c>
      <c r="F72" s="160">
        <f t="shared" si="1"/>
        <v>153465</v>
      </c>
      <c r="G72" s="160">
        <f>G50+G62</f>
        <v>144622</v>
      </c>
      <c r="H72" s="383">
        <f>G72/F72</f>
        <v>0.94237774085296322</v>
      </c>
    </row>
    <row r="73" spans="1:8" x14ac:dyDescent="0.3">
      <c r="A73" s="130"/>
      <c r="B73" s="332"/>
      <c r="C73" s="333"/>
      <c r="D73" s="135"/>
      <c r="E73" s="135"/>
      <c r="F73" s="160">
        <f t="shared" si="1"/>
        <v>0</v>
      </c>
      <c r="G73" s="108"/>
      <c r="H73" s="383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60">
        <f t="shared" si="1"/>
        <v>0</v>
      </c>
      <c r="G74" s="108"/>
      <c r="H74" s="383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1"/>
        <v>0</v>
      </c>
      <c r="G75" s="108"/>
      <c r="H75" s="383"/>
    </row>
    <row r="76" spans="1:8" ht="36" x14ac:dyDescent="0.3">
      <c r="A76" s="132"/>
      <c r="B76" s="323" t="s">
        <v>105</v>
      </c>
      <c r="C76" s="308"/>
      <c r="D76" s="135"/>
      <c r="E76" s="135"/>
      <c r="F76" s="160">
        <f t="shared" si="1"/>
        <v>0</v>
      </c>
      <c r="G76" s="108"/>
      <c r="H76" s="383"/>
    </row>
    <row r="77" spans="1:8" x14ac:dyDescent="0.3">
      <c r="A77" s="140"/>
      <c r="B77" s="179" t="s">
        <v>248</v>
      </c>
      <c r="C77" s="160">
        <f>C50+C62+C74</f>
        <v>139426</v>
      </c>
      <c r="D77" s="160">
        <f>D50+D62+D74</f>
        <v>137951</v>
      </c>
      <c r="E77" s="160">
        <f>E50+E62+E74</f>
        <v>15514</v>
      </c>
      <c r="F77" s="160">
        <f t="shared" si="1"/>
        <v>153465</v>
      </c>
      <c r="G77" s="160">
        <f>G50+G62+G74</f>
        <v>144622</v>
      </c>
      <c r="H77" s="383">
        <f>G77/F77</f>
        <v>0.94237774085296322</v>
      </c>
    </row>
    <row r="78" spans="1:8" x14ac:dyDescent="0.3">
      <c r="A78" s="141"/>
      <c r="B78" s="334"/>
      <c r="C78" s="152"/>
      <c r="D78" s="135"/>
      <c r="E78" s="135"/>
      <c r="F78" s="160">
        <f t="shared" si="1"/>
        <v>0</v>
      </c>
      <c r="G78" s="108"/>
      <c r="H78" s="383"/>
    </row>
    <row r="79" spans="1:8" x14ac:dyDescent="0.3">
      <c r="A79" s="142"/>
      <c r="B79" s="335" t="s">
        <v>132</v>
      </c>
      <c r="C79" s="336">
        <v>23.75</v>
      </c>
      <c r="D79" s="336">
        <v>23.75</v>
      </c>
      <c r="E79" s="336"/>
      <c r="F79" s="336">
        <f t="shared" si="1"/>
        <v>23.75</v>
      </c>
      <c r="G79" s="108"/>
      <c r="H79" s="383"/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f t="shared" si="1"/>
        <v>0</v>
      </c>
      <c r="G80" s="108"/>
      <c r="H80" s="383"/>
    </row>
    <row r="84" spans="1:3" x14ac:dyDescent="0.25">
      <c r="B84" s="331" t="s">
        <v>250</v>
      </c>
      <c r="C84" s="280" t="s">
        <v>46</v>
      </c>
    </row>
    <row r="85" spans="1:3" x14ac:dyDescent="0.25">
      <c r="A85" s="280" t="s">
        <v>251</v>
      </c>
      <c r="B85" s="331"/>
    </row>
    <row r="86" spans="1:3" x14ac:dyDescent="0.25">
      <c r="A86" s="340" t="s">
        <v>254</v>
      </c>
      <c r="B86" s="280" t="s">
        <v>295</v>
      </c>
      <c r="C86" s="338">
        <f>2*173913/1000</f>
        <v>347.82600000000002</v>
      </c>
    </row>
    <row r="87" spans="1:3" x14ac:dyDescent="0.25">
      <c r="B87" s="280" t="s">
        <v>276</v>
      </c>
      <c r="C87" s="338">
        <f>C86*0.15</f>
        <v>52.173900000000003</v>
      </c>
    </row>
    <row r="88" spans="1:3" x14ac:dyDescent="0.25">
      <c r="A88" s="340" t="s">
        <v>296</v>
      </c>
      <c r="B88" s="280" t="s">
        <v>297</v>
      </c>
      <c r="C88" s="338">
        <f>13*113043/1000</f>
        <v>1469.559</v>
      </c>
    </row>
    <row r="89" spans="1:3" x14ac:dyDescent="0.25">
      <c r="B89" s="280" t="s">
        <v>276</v>
      </c>
      <c r="C89" s="338">
        <f>C88*0.15</f>
        <v>220.43384999999998</v>
      </c>
    </row>
    <row r="90" spans="1:3" x14ac:dyDescent="0.25">
      <c r="A90" s="280">
        <v>8.75</v>
      </c>
      <c r="B90" s="280" t="s">
        <v>298</v>
      </c>
      <c r="C90" s="280">
        <f>8.75*72</f>
        <v>630</v>
      </c>
    </row>
    <row r="91" spans="1:3" x14ac:dyDescent="0.25">
      <c r="B91" s="280" t="s">
        <v>276</v>
      </c>
      <c r="C91" s="338">
        <f>C90*0.15</f>
        <v>94.5</v>
      </c>
    </row>
    <row r="92" spans="1:3" x14ac:dyDescent="0.25">
      <c r="C92" s="338">
        <f>SUM(C86:C91)</f>
        <v>2814.4927499999999</v>
      </c>
    </row>
    <row r="93" spans="1:3" ht="36" x14ac:dyDescent="0.25">
      <c r="B93" s="331" t="s">
        <v>299</v>
      </c>
      <c r="C93" s="343">
        <f>C86+C88+C90</f>
        <v>2447.3850000000002</v>
      </c>
    </row>
    <row r="94" spans="1:3" ht="36" x14ac:dyDescent="0.25">
      <c r="B94" s="331" t="s">
        <v>300</v>
      </c>
      <c r="C94" s="343">
        <f>C87+C89+C91</f>
        <v>367.10775000000001</v>
      </c>
    </row>
    <row r="95" spans="1:3" x14ac:dyDescent="0.25">
      <c r="B95" s="344" t="s">
        <v>261</v>
      </c>
      <c r="C95" s="343">
        <f>SUM(C93:C94)</f>
        <v>2814.4927500000003</v>
      </c>
    </row>
  </sheetData>
  <sheetProtection selectLockedCells="1" selectUnlockedCells="1"/>
  <mergeCells count="2">
    <mergeCell ref="D6:F6"/>
    <mergeCell ref="D48:F48"/>
  </mergeCells>
  <pageMargins left="0.78749999999999998" right="0.78749999999999998" top="0.90555555555555556" bottom="0.90555555555555556" header="0.51180555555555551" footer="0.51180555555555551"/>
  <pageSetup paperSize="9" scale="44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0"/>
  <sheetViews>
    <sheetView topLeftCell="A25" zoomScale="65" zoomScaleNormal="65" zoomScaleSheetLayoutView="80" workbookViewId="0">
      <selection activeCell="D42" sqref="D42"/>
    </sheetView>
  </sheetViews>
  <sheetFormatPr defaultRowHeight="13.2" x14ac:dyDescent="0.25"/>
  <cols>
    <col min="1" max="1" width="9.109375" style="1" customWidth="1"/>
    <col min="2" max="2" width="69.6640625" style="1" customWidth="1"/>
    <col min="3" max="3" width="42" style="1" customWidth="1"/>
    <col min="4" max="4" width="26.44140625" style="1" customWidth="1"/>
    <col min="5" max="5" width="12" style="1" customWidth="1"/>
    <col min="6" max="6" width="10" style="1" customWidth="1"/>
    <col min="7" max="8" width="9.109375" style="1" customWidth="1"/>
    <col min="9" max="9" width="11" style="1" customWidth="1"/>
    <col min="10" max="10" width="10" style="1" customWidth="1"/>
    <col min="11" max="28" width="9.109375" style="1" customWidth="1"/>
  </cols>
  <sheetData>
    <row r="1" spans="1:9" ht="51.75" customHeight="1" x14ac:dyDescent="0.35">
      <c r="A1" s="2"/>
      <c r="B1" s="3" t="s">
        <v>447</v>
      </c>
      <c r="C1" s="30"/>
      <c r="D1" s="31" t="s">
        <v>448</v>
      </c>
      <c r="E1" s="32" t="s">
        <v>30</v>
      </c>
    </row>
    <row r="2" spans="1:9" ht="18" x14ac:dyDescent="0.35">
      <c r="A2" s="2"/>
      <c r="B2" s="33"/>
      <c r="C2" s="6" t="s">
        <v>1</v>
      </c>
      <c r="D2" s="34"/>
      <c r="E2" s="32"/>
    </row>
    <row r="3" spans="1:9" ht="18" x14ac:dyDescent="0.35">
      <c r="A3" s="2"/>
      <c r="B3" s="35" t="s">
        <v>31</v>
      </c>
      <c r="C3" s="9"/>
      <c r="D3" s="14"/>
      <c r="E3" s="21"/>
      <c r="F3" s="13"/>
      <c r="G3" s="13"/>
      <c r="H3" s="13"/>
      <c r="I3" s="13"/>
    </row>
    <row r="4" spans="1:9" ht="36" x14ac:dyDescent="0.35">
      <c r="A4" s="2"/>
      <c r="B4" s="38" t="s">
        <v>100</v>
      </c>
      <c r="C4" s="14"/>
      <c r="D4" s="4">
        <v>2</v>
      </c>
      <c r="E4" s="32"/>
    </row>
    <row r="5" spans="1:9" ht="18" x14ac:dyDescent="0.35">
      <c r="A5" s="2"/>
      <c r="B5" s="14" t="s">
        <v>32</v>
      </c>
      <c r="C5" s="14"/>
      <c r="D5" s="36">
        <v>-2</v>
      </c>
      <c r="E5" s="32"/>
    </row>
    <row r="6" spans="1:9" ht="18" x14ac:dyDescent="0.35">
      <c r="A6" s="2"/>
      <c r="B6" s="14"/>
      <c r="C6" s="14"/>
      <c r="D6" s="4"/>
      <c r="E6" s="32"/>
    </row>
    <row r="7" spans="1:9" ht="18" x14ac:dyDescent="0.35">
      <c r="A7" s="2"/>
      <c r="B7" s="37" t="s">
        <v>33</v>
      </c>
      <c r="C7" s="14"/>
      <c r="D7" s="4"/>
      <c r="E7" s="32"/>
    </row>
    <row r="8" spans="1:9" ht="18" x14ac:dyDescent="0.35">
      <c r="A8" s="2"/>
      <c r="B8" s="14" t="s">
        <v>34</v>
      </c>
      <c r="C8" s="14"/>
      <c r="D8" s="4">
        <v>4494</v>
      </c>
      <c r="E8" s="32"/>
    </row>
    <row r="9" spans="1:9" ht="18" x14ac:dyDescent="0.35">
      <c r="A9" s="2"/>
      <c r="B9" s="14" t="s">
        <v>477</v>
      </c>
      <c r="C9" s="14"/>
      <c r="D9" s="4">
        <v>-4470</v>
      </c>
      <c r="E9" s="32"/>
    </row>
    <row r="10" spans="1:9" ht="18" x14ac:dyDescent="0.35">
      <c r="A10" s="502"/>
      <c r="B10" s="503" t="s">
        <v>35</v>
      </c>
      <c r="C10" s="503"/>
      <c r="D10" s="4">
        <v>-24</v>
      </c>
      <c r="E10" s="501"/>
    </row>
    <row r="11" spans="1:9" ht="18" x14ac:dyDescent="0.35">
      <c r="A11" s="2"/>
      <c r="B11" s="14" t="s">
        <v>454</v>
      </c>
      <c r="C11" s="14"/>
      <c r="D11" s="4">
        <v>126</v>
      </c>
      <c r="E11" s="32"/>
    </row>
    <row r="12" spans="1:9" ht="18" x14ac:dyDescent="0.35">
      <c r="A12" s="2"/>
      <c r="B12" s="14" t="s">
        <v>455</v>
      </c>
      <c r="C12" s="14"/>
      <c r="D12" s="4">
        <v>22</v>
      </c>
      <c r="E12" s="32"/>
    </row>
    <row r="13" spans="1:9" ht="36" x14ac:dyDescent="0.35">
      <c r="A13" s="2"/>
      <c r="B13" s="38" t="s">
        <v>100</v>
      </c>
      <c r="C13" s="14"/>
      <c r="D13" s="4">
        <v>-1</v>
      </c>
      <c r="E13" s="32"/>
    </row>
    <row r="14" spans="1:9" ht="18" x14ac:dyDescent="0.35">
      <c r="A14" s="2"/>
      <c r="B14" s="14" t="s">
        <v>32</v>
      </c>
      <c r="C14" s="14"/>
      <c r="D14" s="36">
        <f>SUM(D8:D13)</f>
        <v>147</v>
      </c>
      <c r="E14" s="32"/>
    </row>
    <row r="15" spans="1:9" ht="18" x14ac:dyDescent="0.35">
      <c r="A15" s="2"/>
      <c r="B15" s="38"/>
      <c r="C15" s="14"/>
      <c r="D15" s="4"/>
      <c r="E15" s="32"/>
    </row>
    <row r="16" spans="1:9" ht="18" x14ac:dyDescent="0.35">
      <c r="A16" s="2"/>
      <c r="B16" s="37" t="s">
        <v>39</v>
      </c>
      <c r="C16" s="14"/>
      <c r="D16" s="4"/>
      <c r="E16" s="32"/>
    </row>
    <row r="17" spans="1:5" ht="18" x14ac:dyDescent="0.35">
      <c r="A17" s="2"/>
      <c r="B17" s="17"/>
      <c r="C17" s="14"/>
      <c r="D17" s="4"/>
      <c r="E17" s="32"/>
    </row>
    <row r="18" spans="1:5" ht="30.6" customHeight="1" x14ac:dyDescent="0.35">
      <c r="A18" s="2"/>
      <c r="B18" s="38" t="s">
        <v>100</v>
      </c>
      <c r="C18" s="14"/>
      <c r="D18" s="4">
        <v>1</v>
      </c>
      <c r="E18" s="32"/>
    </row>
    <row r="19" spans="1:5" ht="18" x14ac:dyDescent="0.35">
      <c r="A19" s="2"/>
      <c r="B19" s="14"/>
      <c r="C19" s="14"/>
      <c r="D19" s="4"/>
      <c r="E19" s="32"/>
    </row>
    <row r="20" spans="1:5" ht="18" x14ac:dyDescent="0.35">
      <c r="A20" s="2"/>
      <c r="B20" s="14" t="s">
        <v>32</v>
      </c>
      <c r="C20" s="14"/>
      <c r="D20" s="36">
        <f>SUM(D17:D19)</f>
        <v>1</v>
      </c>
      <c r="E20" s="39"/>
    </row>
    <row r="21" spans="1:5" ht="18" x14ac:dyDescent="0.35">
      <c r="A21" s="2"/>
      <c r="B21" s="14"/>
      <c r="C21" s="14"/>
      <c r="D21" s="4"/>
      <c r="E21" s="32"/>
    </row>
    <row r="22" spans="1:5" ht="18" x14ac:dyDescent="0.35">
      <c r="A22" s="2"/>
      <c r="B22" s="37" t="s">
        <v>40</v>
      </c>
      <c r="C22" s="14"/>
      <c r="D22" s="4"/>
      <c r="E22" s="32"/>
    </row>
    <row r="23" spans="1:5" ht="18" x14ac:dyDescent="0.35">
      <c r="A23" s="2"/>
      <c r="B23" s="17" t="s">
        <v>452</v>
      </c>
      <c r="C23" s="14"/>
      <c r="D23" s="4">
        <v>6</v>
      </c>
      <c r="E23" s="32"/>
    </row>
    <row r="24" spans="1:5" ht="18" x14ac:dyDescent="0.35">
      <c r="A24" s="2"/>
      <c r="B24" s="17" t="s">
        <v>453</v>
      </c>
      <c r="C24" s="14"/>
      <c r="D24" s="4">
        <v>1</v>
      </c>
      <c r="E24" s="32"/>
    </row>
    <row r="25" spans="1:5" ht="36" x14ac:dyDescent="0.35">
      <c r="A25" s="2"/>
      <c r="B25" s="38" t="s">
        <v>100</v>
      </c>
      <c r="C25" s="14"/>
      <c r="D25" s="41">
        <v>-1</v>
      </c>
      <c r="E25" s="32"/>
    </row>
    <row r="26" spans="1:5" ht="36" x14ac:dyDescent="0.35">
      <c r="A26" s="2"/>
      <c r="B26" s="496" t="s">
        <v>478</v>
      </c>
      <c r="C26" s="14"/>
      <c r="D26" s="4">
        <v>2584</v>
      </c>
      <c r="E26" s="32"/>
    </row>
    <row r="27" spans="1:5" ht="36" x14ac:dyDescent="0.35">
      <c r="A27" s="2"/>
      <c r="B27" s="496" t="s">
        <v>479</v>
      </c>
      <c r="C27" s="14"/>
      <c r="D27" s="4">
        <v>452</v>
      </c>
      <c r="E27" s="32"/>
    </row>
    <row r="28" spans="1:5" ht="18" x14ac:dyDescent="0.35">
      <c r="A28" s="2"/>
      <c r="C28" s="14"/>
      <c r="D28" s="4"/>
      <c r="E28" s="32"/>
    </row>
    <row r="29" spans="1:5" ht="18" x14ac:dyDescent="0.35">
      <c r="A29" s="2"/>
      <c r="B29" s="14" t="s">
        <v>32</v>
      </c>
      <c r="C29" s="14"/>
      <c r="D29" s="36">
        <f>SUM(D23:D28)</f>
        <v>3042</v>
      </c>
      <c r="E29" s="32"/>
    </row>
    <row r="30" spans="1:5" ht="18" x14ac:dyDescent="0.35">
      <c r="A30" s="2"/>
      <c r="B30" s="14"/>
      <c r="C30" s="14"/>
      <c r="D30" s="36"/>
      <c r="E30" s="32"/>
    </row>
    <row r="31" spans="1:5" ht="18" x14ac:dyDescent="0.35">
      <c r="A31" s="2"/>
      <c r="B31" s="37" t="s">
        <v>41</v>
      </c>
      <c r="C31" s="14"/>
      <c r="D31" s="4"/>
      <c r="E31" s="32"/>
    </row>
    <row r="32" spans="1:5" ht="18" x14ac:dyDescent="0.35">
      <c r="A32" s="2"/>
      <c r="B32" s="17" t="s">
        <v>452</v>
      </c>
      <c r="C32" s="14"/>
      <c r="D32" s="4">
        <v>18</v>
      </c>
      <c r="E32" s="32"/>
    </row>
    <row r="33" spans="1:5" ht="18" x14ac:dyDescent="0.35">
      <c r="A33" s="2"/>
      <c r="B33" s="17" t="s">
        <v>453</v>
      </c>
      <c r="C33" s="14"/>
      <c r="D33" s="4">
        <v>3</v>
      </c>
      <c r="E33" s="32"/>
    </row>
    <row r="34" spans="1:5" ht="36" x14ac:dyDescent="0.35">
      <c r="A34" s="2"/>
      <c r="B34" s="38" t="s">
        <v>100</v>
      </c>
      <c r="C34" s="14"/>
      <c r="D34" s="4">
        <v>515</v>
      </c>
      <c r="E34" s="32"/>
    </row>
    <row r="35" spans="1:5" ht="18" x14ac:dyDescent="0.35">
      <c r="A35" s="2"/>
      <c r="B35" s="1" t="s">
        <v>463</v>
      </c>
      <c r="C35" s="40"/>
      <c r="D35" s="4">
        <v>15493</v>
      </c>
      <c r="E35" s="32"/>
    </row>
    <row r="36" spans="1:5" ht="18" x14ac:dyDescent="0.35">
      <c r="A36" s="2"/>
      <c r="B36" s="14"/>
      <c r="C36" s="40"/>
      <c r="D36" s="4"/>
      <c r="E36" s="32"/>
    </row>
    <row r="37" spans="1:5" ht="18" x14ac:dyDescent="0.35">
      <c r="A37" s="14"/>
      <c r="B37" s="14" t="s">
        <v>32</v>
      </c>
      <c r="C37" s="14"/>
      <c r="D37" s="36">
        <f>SUM(D31:D36)</f>
        <v>16029</v>
      </c>
      <c r="E37" s="32"/>
    </row>
    <row r="38" spans="1:5" ht="18" x14ac:dyDescent="0.35">
      <c r="A38" s="14"/>
      <c r="B38" s="14"/>
      <c r="C38" s="14"/>
      <c r="D38" s="4"/>
      <c r="E38" s="32"/>
    </row>
    <row r="39" spans="1:5" ht="18" x14ac:dyDescent="0.35">
      <c r="A39" s="14"/>
      <c r="B39" s="18" t="s">
        <v>42</v>
      </c>
      <c r="C39" s="14"/>
      <c r="D39" s="4"/>
      <c r="E39" s="32"/>
    </row>
    <row r="40" spans="1:5" ht="18" x14ac:dyDescent="0.35">
      <c r="A40" s="14"/>
      <c r="B40" s="14"/>
      <c r="C40" s="14"/>
      <c r="D40" s="4"/>
      <c r="E40" s="32"/>
    </row>
    <row r="41" spans="1:5" ht="18" x14ac:dyDescent="0.35">
      <c r="A41" s="14"/>
      <c r="B41" s="14" t="s">
        <v>458</v>
      </c>
      <c r="C41" s="14"/>
      <c r="D41" s="4">
        <v>-102</v>
      </c>
      <c r="E41" s="32"/>
    </row>
    <row r="42" spans="1:5" ht="18" x14ac:dyDescent="0.35">
      <c r="A42" s="14"/>
      <c r="B42" s="14" t="s">
        <v>456</v>
      </c>
      <c r="C42" s="14"/>
      <c r="D42" s="4">
        <v>-53</v>
      </c>
      <c r="E42" s="32"/>
    </row>
    <row r="43" spans="1:5" ht="18" x14ac:dyDescent="0.35">
      <c r="A43" s="14"/>
      <c r="B43" s="14" t="s">
        <v>457</v>
      </c>
      <c r="C43" s="14"/>
      <c r="D43" s="4">
        <v>53</v>
      </c>
      <c r="E43" s="32"/>
    </row>
    <row r="44" spans="1:5" ht="18" x14ac:dyDescent="0.35">
      <c r="A44" s="496"/>
      <c r="B44" s="496" t="s">
        <v>459</v>
      </c>
      <c r="C44" s="496"/>
      <c r="D44" s="4">
        <v>27</v>
      </c>
      <c r="E44" s="494"/>
    </row>
    <row r="45" spans="1:5" ht="18" x14ac:dyDescent="0.35">
      <c r="A45" s="496"/>
      <c r="B45" s="496" t="s">
        <v>459</v>
      </c>
      <c r="C45" s="496"/>
      <c r="D45" s="4">
        <v>-27</v>
      </c>
      <c r="E45" s="494"/>
    </row>
    <row r="46" spans="1:5" ht="36" x14ac:dyDescent="0.35">
      <c r="A46" s="14"/>
      <c r="B46" s="38" t="s">
        <v>100</v>
      </c>
      <c r="C46" s="14"/>
      <c r="D46" s="4">
        <v>-1</v>
      </c>
      <c r="E46" s="32"/>
    </row>
    <row r="47" spans="1:5" ht="18" x14ac:dyDescent="0.35">
      <c r="A47" s="14"/>
      <c r="B47" s="14" t="s">
        <v>36</v>
      </c>
      <c r="C47" s="14"/>
      <c r="D47" s="4">
        <v>61</v>
      </c>
      <c r="E47" s="32"/>
    </row>
    <row r="48" spans="1:5" ht="18" x14ac:dyDescent="0.35">
      <c r="A48" s="14"/>
      <c r="B48" s="14" t="s">
        <v>37</v>
      </c>
      <c r="C48" s="14"/>
      <c r="D48" s="4">
        <v>11</v>
      </c>
      <c r="E48" s="32"/>
    </row>
    <row r="49" spans="1:5" ht="18" x14ac:dyDescent="0.35">
      <c r="A49" s="14"/>
      <c r="B49" s="14" t="s">
        <v>38</v>
      </c>
      <c r="C49" s="14"/>
      <c r="D49" s="4">
        <v>229</v>
      </c>
      <c r="E49" s="32"/>
    </row>
    <row r="50" spans="1:5" ht="18" x14ac:dyDescent="0.35">
      <c r="A50" s="14"/>
      <c r="B50" s="504" t="s">
        <v>480</v>
      </c>
      <c r="C50" s="14"/>
      <c r="D50" s="4">
        <v>-229</v>
      </c>
      <c r="E50" s="32"/>
    </row>
    <row r="51" spans="1:5" ht="18" x14ac:dyDescent="0.35">
      <c r="A51" s="42"/>
      <c r="B51" s="14" t="s">
        <v>32</v>
      </c>
      <c r="C51" s="14"/>
      <c r="D51" s="36">
        <f>SUM(D40:D50)</f>
        <v>-31</v>
      </c>
      <c r="E51" s="32"/>
    </row>
    <row r="52" spans="1:5" ht="18" x14ac:dyDescent="0.35">
      <c r="A52" s="37"/>
      <c r="B52" s="14"/>
      <c r="C52" s="4"/>
      <c r="D52" s="37"/>
    </row>
    <row r="53" spans="1:5" ht="18" x14ac:dyDescent="0.35">
      <c r="A53" s="17"/>
      <c r="B53" s="18" t="s">
        <v>43</v>
      </c>
      <c r="C53" s="4"/>
      <c r="D53" s="17"/>
    </row>
    <row r="54" spans="1:5" ht="18" x14ac:dyDescent="0.35">
      <c r="A54" s="17"/>
      <c r="B54" s="40"/>
      <c r="C54" s="4"/>
      <c r="D54" s="41"/>
    </row>
    <row r="55" spans="1:5" ht="18" x14ac:dyDescent="0.35">
      <c r="A55" s="17"/>
      <c r="B55" s="17" t="s">
        <v>452</v>
      </c>
      <c r="C55" s="4"/>
      <c r="D55" s="41">
        <v>25</v>
      </c>
    </row>
    <row r="56" spans="1:5" ht="18" x14ac:dyDescent="0.35">
      <c r="A56" s="17"/>
      <c r="B56" s="17" t="s">
        <v>453</v>
      </c>
      <c r="C56" s="4"/>
      <c r="D56" s="41">
        <v>4</v>
      </c>
    </row>
    <row r="57" spans="1:5" ht="18" x14ac:dyDescent="0.35">
      <c r="A57" s="14"/>
      <c r="B57" s="40"/>
      <c r="C57" s="4"/>
      <c r="D57" s="43"/>
    </row>
    <row r="58" spans="1:5" ht="18" x14ac:dyDescent="0.35">
      <c r="A58" s="14"/>
      <c r="B58" s="14" t="s">
        <v>32</v>
      </c>
      <c r="C58" s="36"/>
      <c r="D58" s="44">
        <f>SUM(D54:D57)</f>
        <v>29</v>
      </c>
      <c r="E58" s="13">
        <f>D14+D20+D29+D37+D51+D58+D5</f>
        <v>19215</v>
      </c>
    </row>
    <row r="59" spans="1:5" ht="18" x14ac:dyDescent="0.35">
      <c r="A59" s="14"/>
      <c r="B59" s="14"/>
      <c r="C59" s="4"/>
      <c r="D59" s="43"/>
    </row>
    <row r="60" spans="1:5" ht="18" x14ac:dyDescent="0.35">
      <c r="A60" s="18"/>
      <c r="B60" s="14"/>
      <c r="C60" s="4"/>
      <c r="D60" s="44"/>
    </row>
  </sheetData>
  <sheetProtection selectLockedCells="1" selectUnlockedCells="1"/>
  <pageMargins left="0.2361111111111111" right="0.2361111111111111" top="0.74861111111111112" bottom="0.74791666666666667" header="0.31527777777777777" footer="0.51180555555555551"/>
  <pageSetup paperSize="9" scale="40" firstPageNumber="0" orientation="portrait" horizontalDpi="300" verticalDpi="300" r:id="rId1"/>
  <headerFooter alignWithMargins="0">
    <oddHeader xml:space="preserve">&amp;RA2 melléklet a    /2021.() 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B95"/>
  <sheetViews>
    <sheetView topLeftCell="A85" zoomScale="65" zoomScaleNormal="65" workbookViewId="0">
      <selection activeCell="C1" sqref="C1"/>
    </sheetView>
  </sheetViews>
  <sheetFormatPr defaultColWidth="9.109375" defaultRowHeight="18" x14ac:dyDescent="0.25"/>
  <cols>
    <col min="1" max="1" width="11.44140625" style="280" customWidth="1"/>
    <col min="2" max="2" width="61.6640625" style="280" customWidth="1"/>
    <col min="3" max="3" width="21.44140625" style="280" customWidth="1"/>
    <col min="4" max="4" width="13.6640625" style="280" customWidth="1"/>
    <col min="5" max="5" width="21.5546875" style="280" customWidth="1"/>
    <col min="6" max="6" width="19.5546875" style="280" customWidth="1"/>
    <col min="7" max="7" width="21" style="280" customWidth="1"/>
    <col min="8" max="8" width="26.109375" style="280" customWidth="1"/>
    <col min="9" max="28" width="9.109375" style="280"/>
    <col min="29" max="16384" width="9.109375" style="281"/>
  </cols>
  <sheetData>
    <row r="1" spans="1:28" s="352" customFormat="1" ht="21" customHeight="1" x14ac:dyDescent="0.25">
      <c r="A1" s="284"/>
      <c r="B1" s="345"/>
      <c r="C1" s="346" t="s">
        <v>473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5">
      <c r="A2" s="289"/>
      <c r="B2" s="290" t="s">
        <v>277</v>
      </c>
      <c r="C2" s="347" t="s">
        <v>294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ht="17.399999999999999" x14ac:dyDescent="0.25">
      <c r="A3" s="292"/>
      <c r="B3" s="290" t="s">
        <v>43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" customHeight="1" x14ac:dyDescent="0.35">
      <c r="A4" s="294"/>
      <c r="B4" s="294"/>
      <c r="C4" s="295" t="s">
        <v>165</v>
      </c>
      <c r="D4" s="303"/>
      <c r="E4" s="303"/>
      <c r="F4" s="303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6" customHeight="1" x14ac:dyDescent="0.25">
      <c r="A5" s="289"/>
      <c r="B5" s="296" t="s">
        <v>234</v>
      </c>
      <c r="C5" s="296" t="s">
        <v>235</v>
      </c>
      <c r="D5" s="303"/>
      <c r="E5" s="303"/>
      <c r="F5" s="303"/>
    </row>
    <row r="6" spans="1:28" s="354" customFormat="1" ht="19.649999999999999" customHeight="1" x14ac:dyDescent="0.25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55.2" customHeight="1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324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5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x14ac:dyDescent="0.25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6" x14ac:dyDescent="0.25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6" x14ac:dyDescent="0.25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6" x14ac:dyDescent="0.25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5">
      <c r="A13" s="128"/>
      <c r="B13" s="152" t="s">
        <v>134</v>
      </c>
      <c r="C13" s="306"/>
      <c r="D13" s="135"/>
      <c r="E13" s="135"/>
      <c r="F13" s="135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5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4.799999999999997" x14ac:dyDescent="0.25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6" x14ac:dyDescent="0.25">
      <c r="A16" s="151"/>
      <c r="B16" s="152" t="s">
        <v>135</v>
      </c>
      <c r="C16" s="160"/>
      <c r="D16" s="307"/>
      <c r="E16" s="307"/>
      <c r="F16" s="307"/>
      <c r="G16" s="108"/>
      <c r="H16" s="307"/>
    </row>
    <row r="17" spans="1:28" s="355" customFormat="1" ht="36" x14ac:dyDescent="0.25">
      <c r="A17" s="128"/>
      <c r="B17" s="152" t="s">
        <v>136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6" x14ac:dyDescent="0.25">
      <c r="A18" s="128"/>
      <c r="B18" s="152" t="s">
        <v>158</v>
      </c>
      <c r="C18" s="306"/>
      <c r="D18" s="307"/>
      <c r="E18" s="307"/>
      <c r="F18" s="307"/>
      <c r="G18" s="108"/>
      <c r="H18" s="307"/>
    </row>
    <row r="19" spans="1:28" ht="36" x14ac:dyDescent="0.25">
      <c r="A19" s="128"/>
      <c r="B19" s="152" t="s">
        <v>69</v>
      </c>
      <c r="C19" s="306"/>
      <c r="D19" s="307"/>
      <c r="E19" s="307"/>
      <c r="F19" s="307"/>
      <c r="G19" s="108"/>
      <c r="H19" s="307"/>
    </row>
    <row r="20" spans="1:28" ht="34.799999999999997" x14ac:dyDescent="0.25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6" x14ac:dyDescent="0.25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5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6" x14ac:dyDescent="0.25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5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5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72" x14ac:dyDescent="0.25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0</v>
      </c>
      <c r="D27" s="308">
        <f>D28+D29+D30+D31+D32</f>
        <v>335</v>
      </c>
      <c r="E27" s="308">
        <f>E28+E29+E30+E31+E32</f>
        <v>0</v>
      </c>
      <c r="F27" s="308">
        <f t="shared" ref="F27:F40" si="0">D27+E27</f>
        <v>335</v>
      </c>
      <c r="G27" s="308">
        <f>G28+G29+G30+G31+G32</f>
        <v>187</v>
      </c>
      <c r="H27" s="383">
        <f>G27/F27</f>
        <v>0.55820895522388059</v>
      </c>
    </row>
    <row r="28" spans="1:28" ht="54" x14ac:dyDescent="0.3">
      <c r="A28" s="128"/>
      <c r="B28" s="152" t="s">
        <v>137</v>
      </c>
      <c r="C28" s="306"/>
      <c r="D28" s="306">
        <v>335</v>
      </c>
      <c r="E28" s="135"/>
      <c r="F28" s="306">
        <f t="shared" si="0"/>
        <v>335</v>
      </c>
      <c r="G28" s="306">
        <v>187</v>
      </c>
      <c r="H28" s="383">
        <f>G28/F28</f>
        <v>0.55820895522388059</v>
      </c>
    </row>
    <row r="29" spans="1:28" x14ac:dyDescent="0.3">
      <c r="A29" s="128"/>
      <c r="B29" s="152" t="s">
        <v>82</v>
      </c>
      <c r="C29" s="306"/>
      <c r="D29" s="306"/>
      <c r="E29" s="307"/>
      <c r="F29" s="308">
        <f t="shared" si="0"/>
        <v>0</v>
      </c>
      <c r="G29" s="306"/>
      <c r="H29" s="383"/>
    </row>
    <row r="30" spans="1:28" x14ac:dyDescent="0.3">
      <c r="A30" s="128"/>
      <c r="B30" s="152" t="s">
        <v>83</v>
      </c>
      <c r="C30" s="306"/>
      <c r="D30" s="307"/>
      <c r="E30" s="307"/>
      <c r="F30" s="308">
        <f t="shared" si="0"/>
        <v>0</v>
      </c>
      <c r="G30" s="306"/>
      <c r="H30" s="383"/>
    </row>
    <row r="31" spans="1:28" s="354" customFormat="1" x14ac:dyDescent="0.3">
      <c r="A31" s="128"/>
      <c r="B31" s="152" t="s">
        <v>84</v>
      </c>
      <c r="C31" s="306"/>
      <c r="D31" s="307"/>
      <c r="E31" s="307"/>
      <c r="F31" s="308">
        <f t="shared" si="0"/>
        <v>0</v>
      </c>
      <c r="G31" s="306"/>
      <c r="H31" s="383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0"/>
        <v>0</v>
      </c>
      <c r="G32" s="306"/>
      <c r="H32" s="38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0"/>
        <v>0</v>
      </c>
      <c r="G33" s="306"/>
      <c r="H33" s="383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0"/>
        <v>0</v>
      </c>
      <c r="G34" s="306"/>
      <c r="H34" s="383"/>
    </row>
    <row r="35" spans="1:28" x14ac:dyDescent="0.3">
      <c r="A35" s="130"/>
      <c r="B35" s="152" t="s">
        <v>268</v>
      </c>
      <c r="C35" s="160"/>
      <c r="D35" s="307"/>
      <c r="E35" s="307"/>
      <c r="F35" s="308">
        <f t="shared" si="0"/>
        <v>0</v>
      </c>
      <c r="G35" s="306"/>
      <c r="H35" s="383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308">
        <f t="shared" si="0"/>
        <v>0</v>
      </c>
      <c r="G36" s="306"/>
      <c r="H36" s="383"/>
    </row>
    <row r="37" spans="1:28" x14ac:dyDescent="0.3">
      <c r="A37" s="132"/>
      <c r="B37" s="152" t="s">
        <v>239</v>
      </c>
      <c r="C37" s="306"/>
      <c r="D37" s="135"/>
      <c r="E37" s="135"/>
      <c r="F37" s="308">
        <f t="shared" si="0"/>
        <v>0</v>
      </c>
      <c r="G37" s="306"/>
      <c r="H37" s="383"/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8">
        <f t="shared" si="0"/>
        <v>0</v>
      </c>
      <c r="G38" s="306"/>
      <c r="H38" s="383"/>
    </row>
    <row r="39" spans="1:28" s="355" customFormat="1" ht="54" x14ac:dyDescent="0.3">
      <c r="A39" s="132"/>
      <c r="B39" s="38" t="s">
        <v>269</v>
      </c>
      <c r="C39" s="306"/>
      <c r="D39" s="135"/>
      <c r="E39" s="135"/>
      <c r="F39" s="308">
        <f t="shared" si="0"/>
        <v>0</v>
      </c>
      <c r="G39" s="306"/>
      <c r="H39" s="38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307"/>
      <c r="E40" s="307"/>
      <c r="F40" s="308">
        <f t="shared" si="0"/>
        <v>0</v>
      </c>
      <c r="G40" s="306"/>
      <c r="H40" s="383"/>
    </row>
    <row r="41" spans="1:28" ht="41.85" customHeight="1" x14ac:dyDescent="0.3">
      <c r="A41" s="132"/>
      <c r="B41" s="161" t="s">
        <v>96</v>
      </c>
      <c r="C41" s="308">
        <f>C8+C15+C20+C22+C27+C33+C36+C38</f>
        <v>0</v>
      </c>
      <c r="D41" s="308">
        <f>D8+D15+D20+D22+D27+D33+D36+D38</f>
        <v>335</v>
      </c>
      <c r="E41" s="308">
        <f t="shared" ref="E41:G41" si="1">E8+E15+E20+E22+E27+E33+E36+E38</f>
        <v>0</v>
      </c>
      <c r="F41" s="308">
        <f t="shared" si="1"/>
        <v>335</v>
      </c>
      <c r="G41" s="308">
        <f t="shared" si="1"/>
        <v>187</v>
      </c>
      <c r="H41" s="383">
        <f>G41/F41</f>
        <v>0.55820895522388059</v>
      </c>
    </row>
    <row r="42" spans="1:28" x14ac:dyDescent="0.3">
      <c r="A42" s="312" t="s">
        <v>97</v>
      </c>
      <c r="B42" s="161" t="s">
        <v>271</v>
      </c>
      <c r="C42" s="160"/>
      <c r="D42" s="160">
        <f>D77-D43-D41</f>
        <v>11930</v>
      </c>
      <c r="E42" s="160">
        <f>E77-E41</f>
        <v>29</v>
      </c>
      <c r="F42" s="308">
        <f>F50-F41-F43</f>
        <v>11959</v>
      </c>
      <c r="G42" s="160">
        <v>10504</v>
      </c>
      <c r="H42" s="383">
        <f>G42/F42</f>
        <v>0.87833430888870312</v>
      </c>
    </row>
    <row r="43" spans="1:28" ht="34.799999999999997" x14ac:dyDescent="0.3">
      <c r="A43" s="312" t="s">
        <v>99</v>
      </c>
      <c r="B43" s="161" t="s">
        <v>100</v>
      </c>
      <c r="C43" s="306"/>
      <c r="D43" s="306"/>
      <c r="E43" s="307"/>
      <c r="F43" s="308">
        <f>D43+E43</f>
        <v>0</v>
      </c>
      <c r="G43" s="160"/>
      <c r="H43" s="383"/>
    </row>
    <row r="44" spans="1:28" ht="34.799999999999997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383"/>
    </row>
    <row r="45" spans="1:28" x14ac:dyDescent="0.3">
      <c r="A45" s="132"/>
      <c r="B45" s="161" t="s">
        <v>103</v>
      </c>
      <c r="C45" s="308">
        <f>C42+C43+C44</f>
        <v>0</v>
      </c>
      <c r="D45" s="308">
        <f>D42+D43+D44</f>
        <v>11930</v>
      </c>
      <c r="E45" s="308">
        <f>E42+E43+E44</f>
        <v>29</v>
      </c>
      <c r="F45" s="308">
        <f>D45+E45</f>
        <v>11959</v>
      </c>
      <c r="G45" s="308">
        <f>G42+G43+G44</f>
        <v>10504</v>
      </c>
      <c r="H45" s="383">
        <f>G45/F45</f>
        <v>0.87833430888870312</v>
      </c>
    </row>
    <row r="46" spans="1:28" ht="15" customHeight="1" x14ac:dyDescent="0.3">
      <c r="A46" s="132"/>
      <c r="B46" s="163" t="s">
        <v>106</v>
      </c>
      <c r="C46" s="308">
        <f>C41+C45</f>
        <v>0</v>
      </c>
      <c r="D46" s="308">
        <f>D41+D45</f>
        <v>12265</v>
      </c>
      <c r="E46" s="308">
        <f>E41+E45</f>
        <v>29</v>
      </c>
      <c r="F46" s="308">
        <f>D46+E46</f>
        <v>12294</v>
      </c>
      <c r="G46" s="308">
        <f>G41+G45</f>
        <v>10691</v>
      </c>
      <c r="H46" s="383">
        <f>G46/F46</f>
        <v>0.86961119245160245</v>
      </c>
    </row>
    <row r="47" spans="1:28" ht="14.25" customHeight="1" x14ac:dyDescent="0.3">
      <c r="A47" s="316"/>
      <c r="B47" s="317"/>
      <c r="C47" s="318"/>
      <c r="D47" s="303"/>
      <c r="E47" s="303"/>
      <c r="F47" s="303"/>
      <c r="H47" s="383"/>
    </row>
    <row r="48" spans="1:28" ht="17.399999999999999" customHeight="1" x14ac:dyDescent="0.25">
      <c r="A48" s="141"/>
      <c r="B48" s="141"/>
      <c r="C48" s="152"/>
      <c r="D48" s="522" t="s">
        <v>50</v>
      </c>
      <c r="E48" s="522"/>
      <c r="F48" s="522"/>
    </row>
    <row r="49" spans="1:8" ht="65.400000000000006" customHeight="1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324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0</v>
      </c>
      <c r="D50" s="160">
        <f>D51+D52+D53+D56+D57</f>
        <v>12265</v>
      </c>
      <c r="E50" s="160">
        <f>E51+E52+E53+E56+E57</f>
        <v>29</v>
      </c>
      <c r="F50" s="160">
        <f t="shared" ref="F50:F80" si="2">D50+E50</f>
        <v>12294</v>
      </c>
      <c r="G50" s="160">
        <f>G51+G52+G53+G56+G57</f>
        <v>10054</v>
      </c>
      <c r="H50" s="383">
        <f>G50/F50</f>
        <v>0.81779729949568891</v>
      </c>
    </row>
    <row r="51" spans="1:8" x14ac:dyDescent="0.3">
      <c r="A51" s="137"/>
      <c r="B51" s="323" t="s">
        <v>109</v>
      </c>
      <c r="C51" s="306"/>
      <c r="D51" s="306">
        <v>8761</v>
      </c>
      <c r="E51" s="306">
        <f>25</f>
        <v>25</v>
      </c>
      <c r="F51" s="160">
        <f t="shared" si="2"/>
        <v>8786</v>
      </c>
      <c r="G51" s="153">
        <v>7755</v>
      </c>
      <c r="H51" s="383">
        <f>G51/F51</f>
        <v>0.8826542226269064</v>
      </c>
    </row>
    <row r="52" spans="1:8" ht="36" x14ac:dyDescent="0.3">
      <c r="A52" s="132"/>
      <c r="B52" s="174" t="s">
        <v>110</v>
      </c>
      <c r="C52" s="306"/>
      <c r="D52" s="306">
        <v>1340</v>
      </c>
      <c r="E52" s="306">
        <f>4</f>
        <v>4</v>
      </c>
      <c r="F52" s="160">
        <f t="shared" si="2"/>
        <v>1344</v>
      </c>
      <c r="G52" s="153">
        <v>1199</v>
      </c>
      <c r="H52" s="383">
        <f>G52/F52</f>
        <v>0.89211309523809523</v>
      </c>
    </row>
    <row r="53" spans="1:8" x14ac:dyDescent="0.3">
      <c r="A53" s="132"/>
      <c r="B53" s="174" t="s">
        <v>111</v>
      </c>
      <c r="C53" s="306"/>
      <c r="D53" s="306">
        <v>2164</v>
      </c>
      <c r="E53" s="306"/>
      <c r="F53" s="160">
        <f t="shared" si="2"/>
        <v>2164</v>
      </c>
      <c r="G53" s="153">
        <v>1100</v>
      </c>
      <c r="H53" s="383">
        <f>G53/F53</f>
        <v>0.50831792975970425</v>
      </c>
    </row>
    <row r="54" spans="1:8" ht="36" x14ac:dyDescent="0.3">
      <c r="A54" s="132"/>
      <c r="B54" s="174" t="s">
        <v>273</v>
      </c>
      <c r="C54" s="306"/>
      <c r="D54" s="135"/>
      <c r="E54" s="135"/>
      <c r="F54" s="160">
        <f t="shared" si="2"/>
        <v>0</v>
      </c>
      <c r="G54" s="108"/>
      <c r="H54" s="383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2"/>
        <v>0</v>
      </c>
      <c r="G55" s="108"/>
      <c r="H55" s="383"/>
    </row>
    <row r="56" spans="1:8" x14ac:dyDescent="0.3">
      <c r="A56" s="132"/>
      <c r="B56" s="174" t="s">
        <v>114</v>
      </c>
      <c r="C56" s="306"/>
      <c r="D56" s="306"/>
      <c r="E56" s="135"/>
      <c r="F56" s="160">
        <f t="shared" si="2"/>
        <v>0</v>
      </c>
      <c r="G56" s="108"/>
      <c r="H56" s="383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2"/>
        <v>0</v>
      </c>
      <c r="G57" s="108"/>
      <c r="H57" s="383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2"/>
        <v>0</v>
      </c>
      <c r="G58" s="108"/>
      <c r="H58" s="383"/>
    </row>
    <row r="59" spans="1:8" ht="36" x14ac:dyDescent="0.3">
      <c r="A59" s="132"/>
      <c r="B59" s="174" t="s">
        <v>117</v>
      </c>
      <c r="C59" s="306"/>
      <c r="D59" s="135"/>
      <c r="E59" s="135"/>
      <c r="F59" s="160">
        <f t="shared" si="2"/>
        <v>0</v>
      </c>
      <c r="G59" s="108"/>
      <c r="H59" s="383"/>
    </row>
    <row r="60" spans="1:8" ht="36" x14ac:dyDescent="0.3">
      <c r="A60" s="132"/>
      <c r="B60" s="174" t="s">
        <v>118</v>
      </c>
      <c r="C60" s="306"/>
      <c r="D60" s="135"/>
      <c r="E60" s="135"/>
      <c r="F60" s="160">
        <f t="shared" si="2"/>
        <v>0</v>
      </c>
      <c r="G60" s="108"/>
      <c r="H60" s="383"/>
    </row>
    <row r="61" spans="1:8" x14ac:dyDescent="0.35">
      <c r="A61" s="132"/>
      <c r="B61" s="328"/>
      <c r="C61" s="306"/>
      <c r="D61" s="135"/>
      <c r="E61" s="135"/>
      <c r="F61" s="160">
        <f t="shared" si="2"/>
        <v>0</v>
      </c>
      <c r="G61" s="108"/>
      <c r="H61" s="383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>E63+E66+E67+E70</f>
        <v>0</v>
      </c>
      <c r="F62" s="160">
        <f t="shared" si="2"/>
        <v>0</v>
      </c>
      <c r="G62" s="108"/>
      <c r="H62" s="383"/>
    </row>
    <row r="63" spans="1:8" x14ac:dyDescent="0.3">
      <c r="A63" s="137"/>
      <c r="B63" s="173" t="s">
        <v>120</v>
      </c>
      <c r="C63" s="306"/>
      <c r="D63" s="135"/>
      <c r="E63" s="135"/>
      <c r="F63" s="160">
        <f t="shared" si="2"/>
        <v>0</v>
      </c>
      <c r="G63" s="108"/>
      <c r="H63" s="383"/>
    </row>
    <row r="64" spans="1:8" ht="36" x14ac:dyDescent="0.3">
      <c r="A64" s="137"/>
      <c r="B64" s="174" t="s">
        <v>245</v>
      </c>
      <c r="C64" s="306"/>
      <c r="D64" s="135"/>
      <c r="E64" s="135"/>
      <c r="F64" s="160">
        <f t="shared" si="2"/>
        <v>0</v>
      </c>
      <c r="G64" s="108"/>
      <c r="H64" s="383"/>
    </row>
    <row r="65" spans="1:8" ht="36" x14ac:dyDescent="0.3">
      <c r="A65" s="137"/>
      <c r="B65" s="174" t="s">
        <v>246</v>
      </c>
      <c r="C65" s="306"/>
      <c r="D65" s="135"/>
      <c r="E65" s="135"/>
      <c r="F65" s="160">
        <f t="shared" si="2"/>
        <v>0</v>
      </c>
      <c r="G65" s="108"/>
      <c r="H65" s="383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2"/>
        <v>0</v>
      </c>
      <c r="G66" s="108"/>
      <c r="H66" s="383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2"/>
        <v>0</v>
      </c>
      <c r="G67" s="108"/>
      <c r="H67" s="383"/>
    </row>
    <row r="68" spans="1:8" ht="36" x14ac:dyDescent="0.3">
      <c r="A68" s="132"/>
      <c r="B68" s="174" t="s">
        <v>125</v>
      </c>
      <c r="C68" s="306"/>
      <c r="D68" s="135"/>
      <c r="E68" s="135"/>
      <c r="F68" s="160">
        <f t="shared" si="2"/>
        <v>0</v>
      </c>
      <c r="G68" s="108"/>
      <c r="H68" s="383"/>
    </row>
    <row r="69" spans="1:8" ht="36" x14ac:dyDescent="0.3">
      <c r="A69" s="132"/>
      <c r="B69" s="174" t="s">
        <v>126</v>
      </c>
      <c r="C69" s="306"/>
      <c r="D69" s="135"/>
      <c r="E69" s="135"/>
      <c r="F69" s="160">
        <f t="shared" si="2"/>
        <v>0</v>
      </c>
      <c r="G69" s="108"/>
      <c r="H69" s="383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2"/>
        <v>0</v>
      </c>
      <c r="G70" s="108"/>
      <c r="H70" s="383"/>
    </row>
    <row r="71" spans="1:8" x14ac:dyDescent="0.35">
      <c r="A71" s="32"/>
      <c r="B71" s="183"/>
      <c r="C71" s="2"/>
      <c r="D71" s="135"/>
      <c r="E71" s="135"/>
      <c r="F71" s="160">
        <f t="shared" si="2"/>
        <v>0</v>
      </c>
      <c r="G71" s="108"/>
      <c r="H71" s="383"/>
    </row>
    <row r="72" spans="1:8" x14ac:dyDescent="0.3">
      <c r="A72" s="130"/>
      <c r="B72" s="332" t="s">
        <v>127</v>
      </c>
      <c r="C72" s="160">
        <f>C50+C62</f>
        <v>0</v>
      </c>
      <c r="D72" s="160">
        <f>D50+D62</f>
        <v>12265</v>
      </c>
      <c r="E72" s="160">
        <f>E50+E62</f>
        <v>29</v>
      </c>
      <c r="F72" s="160">
        <f t="shared" si="2"/>
        <v>12294</v>
      </c>
      <c r="G72" s="160">
        <f>G50+G62</f>
        <v>10054</v>
      </c>
      <c r="H72" s="383">
        <f>G72/F72</f>
        <v>0.81779729949568891</v>
      </c>
    </row>
    <row r="73" spans="1:8" x14ac:dyDescent="0.3">
      <c r="A73" s="130"/>
      <c r="B73" s="332"/>
      <c r="C73" s="333"/>
      <c r="D73" s="135"/>
      <c r="E73" s="135"/>
      <c r="F73" s="160">
        <f t="shared" si="2"/>
        <v>0</v>
      </c>
      <c r="G73" s="108"/>
      <c r="H73" s="383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60">
        <f t="shared" si="2"/>
        <v>0</v>
      </c>
      <c r="G74" s="108"/>
      <c r="H74" s="383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2"/>
        <v>0</v>
      </c>
      <c r="G75" s="108"/>
      <c r="H75" s="383"/>
    </row>
    <row r="76" spans="1:8" ht="36" x14ac:dyDescent="0.3">
      <c r="A76" s="132"/>
      <c r="B76" s="323" t="s">
        <v>105</v>
      </c>
      <c r="C76" s="308"/>
      <c r="D76" s="135"/>
      <c r="E76" s="135"/>
      <c r="F76" s="160">
        <f t="shared" si="2"/>
        <v>0</v>
      </c>
      <c r="G76" s="108"/>
      <c r="H76" s="383"/>
    </row>
    <row r="77" spans="1:8" x14ac:dyDescent="0.3">
      <c r="A77" s="140"/>
      <c r="B77" s="179" t="s">
        <v>248</v>
      </c>
      <c r="C77" s="160">
        <f>C50+C62+C74</f>
        <v>0</v>
      </c>
      <c r="D77" s="160">
        <f>D50+D62+D74</f>
        <v>12265</v>
      </c>
      <c r="E77" s="160">
        <f>E50+E62+E74</f>
        <v>29</v>
      </c>
      <c r="F77" s="160">
        <f t="shared" si="2"/>
        <v>12294</v>
      </c>
      <c r="G77" s="160">
        <f>G50+G62+G74</f>
        <v>10054</v>
      </c>
      <c r="H77" s="383">
        <f>G77/F77</f>
        <v>0.81779729949568891</v>
      </c>
    </row>
    <row r="78" spans="1:8" x14ac:dyDescent="0.3">
      <c r="A78" s="141"/>
      <c r="B78" s="334"/>
      <c r="C78" s="152"/>
      <c r="D78" s="135"/>
      <c r="E78" s="135"/>
      <c r="F78" s="160">
        <f t="shared" si="2"/>
        <v>0</v>
      </c>
      <c r="G78" s="108"/>
      <c r="H78" s="383"/>
    </row>
    <row r="79" spans="1:8" x14ac:dyDescent="0.3">
      <c r="A79" s="142"/>
      <c r="B79" s="335" t="s">
        <v>132</v>
      </c>
      <c r="C79" s="336">
        <v>6</v>
      </c>
      <c r="D79" s="336">
        <v>6</v>
      </c>
      <c r="E79" s="336"/>
      <c r="F79" s="336">
        <f t="shared" si="2"/>
        <v>6</v>
      </c>
      <c r="G79" s="108"/>
      <c r="H79" s="383"/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f t="shared" si="2"/>
        <v>0</v>
      </c>
      <c r="G80" s="108"/>
      <c r="H80" s="383"/>
    </row>
    <row r="84" spans="1:3" x14ac:dyDescent="0.25">
      <c r="B84" s="331" t="s">
        <v>250</v>
      </c>
      <c r="C84" s="280" t="s">
        <v>46</v>
      </c>
    </row>
    <row r="85" spans="1:3" x14ac:dyDescent="0.25">
      <c r="A85" s="280" t="s">
        <v>251</v>
      </c>
      <c r="B85" s="331"/>
    </row>
    <row r="86" spans="1:3" x14ac:dyDescent="0.25">
      <c r="A86" s="340" t="s">
        <v>254</v>
      </c>
      <c r="B86" s="280" t="s">
        <v>295</v>
      </c>
      <c r="C86" s="338">
        <f>2*173913/1000</f>
        <v>347.82600000000002</v>
      </c>
    </row>
    <row r="87" spans="1:3" x14ac:dyDescent="0.25">
      <c r="B87" s="280" t="s">
        <v>276</v>
      </c>
      <c r="C87" s="338">
        <f>C86*0.15</f>
        <v>52.173900000000003</v>
      </c>
    </row>
    <row r="88" spans="1:3" x14ac:dyDescent="0.25">
      <c r="A88" s="340" t="s">
        <v>296</v>
      </c>
      <c r="B88" s="280" t="s">
        <v>297</v>
      </c>
      <c r="C88" s="338">
        <f>13*113043/1000</f>
        <v>1469.559</v>
      </c>
    </row>
    <row r="89" spans="1:3" x14ac:dyDescent="0.25">
      <c r="B89" s="280" t="s">
        <v>276</v>
      </c>
      <c r="C89" s="338">
        <f>C88*0.15</f>
        <v>220.43384999999998</v>
      </c>
    </row>
    <row r="90" spans="1:3" x14ac:dyDescent="0.25">
      <c r="A90" s="280">
        <v>8.75</v>
      </c>
      <c r="B90" s="280" t="s">
        <v>298</v>
      </c>
      <c r="C90" s="280">
        <f>8.75*72</f>
        <v>630</v>
      </c>
    </row>
    <row r="91" spans="1:3" x14ac:dyDescent="0.25">
      <c r="B91" s="280" t="s">
        <v>276</v>
      </c>
      <c r="C91" s="338">
        <f>C90*0.15</f>
        <v>94.5</v>
      </c>
    </row>
    <row r="92" spans="1:3" x14ac:dyDescent="0.25">
      <c r="C92" s="338">
        <f>SUM(C86:C91)</f>
        <v>2814.4927499999999</v>
      </c>
    </row>
    <row r="93" spans="1:3" ht="36" x14ac:dyDescent="0.25">
      <c r="B93" s="331" t="s">
        <v>299</v>
      </c>
      <c r="C93" s="343">
        <f>C86+C88+C90</f>
        <v>2447.3850000000002</v>
      </c>
    </row>
    <row r="94" spans="1:3" ht="36" x14ac:dyDescent="0.25">
      <c r="B94" s="331" t="s">
        <v>300</v>
      </c>
      <c r="C94" s="343">
        <f>C87+C89+C91</f>
        <v>367.10775000000001</v>
      </c>
    </row>
    <row r="95" spans="1:3" x14ac:dyDescent="0.25">
      <c r="B95" s="344" t="s">
        <v>261</v>
      </c>
      <c r="C95" s="343">
        <f>SUM(C93:C94)</f>
        <v>2814.4927500000003</v>
      </c>
    </row>
  </sheetData>
  <sheetProtection selectLockedCells="1" selectUnlockedCells="1"/>
  <mergeCells count="2">
    <mergeCell ref="D6:F6"/>
    <mergeCell ref="D48:F48"/>
  </mergeCells>
  <pageMargins left="0.78749999999999998" right="0.78749999999999998" top="0.90555555555555556" bottom="0.90555555555555556" header="0.51180555555555551" footer="0.51180555555555551"/>
  <pageSetup paperSize="9" scale="44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B25"/>
  <sheetViews>
    <sheetView zoomScale="65" zoomScaleNormal="65" zoomScaleSheetLayoutView="70" workbookViewId="0">
      <selection activeCell="F20" sqref="F20"/>
    </sheetView>
  </sheetViews>
  <sheetFormatPr defaultColWidth="9" defaultRowHeight="18" x14ac:dyDescent="0.35"/>
  <cols>
    <col min="1" max="1" width="57.5546875" style="32" customWidth="1"/>
    <col min="2" max="2" width="9.44140625" style="32" customWidth="1"/>
    <col min="3" max="3" width="21" style="32" customWidth="1"/>
    <col min="4" max="4" width="20.5546875" style="32" customWidth="1"/>
    <col min="5" max="5" width="15.6640625" style="32" customWidth="1"/>
    <col min="6" max="6" width="19.33203125" style="32" customWidth="1"/>
    <col min="7" max="7" width="23" style="32" customWidth="1"/>
    <col min="8" max="28" width="9" style="32"/>
    <col min="29" max="16384" width="9" style="144"/>
  </cols>
  <sheetData>
    <row r="1" spans="1:7" x14ac:dyDescent="0.35">
      <c r="A1" s="384" t="s">
        <v>301</v>
      </c>
      <c r="B1" s="274"/>
      <c r="C1" s="274"/>
      <c r="D1" s="274"/>
      <c r="E1" s="274"/>
    </row>
    <row r="2" spans="1:7" x14ac:dyDescent="0.35">
      <c r="A2" s="385" t="s">
        <v>302</v>
      </c>
      <c r="B2" s="274"/>
      <c r="C2" s="275"/>
      <c r="D2" s="275"/>
      <c r="E2" s="274"/>
    </row>
    <row r="3" spans="1:7" x14ac:dyDescent="0.35">
      <c r="A3" s="385"/>
      <c r="B3" s="274"/>
      <c r="C3" s="274"/>
      <c r="D3" s="274"/>
      <c r="E3" s="274"/>
    </row>
    <row r="4" spans="1:7" x14ac:dyDescent="0.35">
      <c r="A4" s="386"/>
      <c r="B4" s="274"/>
      <c r="C4" s="274"/>
      <c r="D4" s="274"/>
      <c r="E4" s="274"/>
    </row>
    <row r="5" spans="1:7" ht="72.599999999999994" customHeight="1" x14ac:dyDescent="0.35">
      <c r="A5" s="387" t="s">
        <v>303</v>
      </c>
      <c r="B5" s="388" t="s">
        <v>50</v>
      </c>
      <c r="C5" s="362" t="s">
        <v>188</v>
      </c>
      <c r="D5" s="362" t="s">
        <v>53</v>
      </c>
      <c r="E5" s="362" t="s">
        <v>54</v>
      </c>
      <c r="F5" s="58" t="s">
        <v>323</v>
      </c>
      <c r="G5" s="58" t="s">
        <v>55</v>
      </c>
    </row>
    <row r="6" spans="1:7" x14ac:dyDescent="0.35">
      <c r="A6" s="389" t="s">
        <v>304</v>
      </c>
      <c r="B6" s="390">
        <v>400</v>
      </c>
      <c r="C6" s="390">
        <v>400</v>
      </c>
      <c r="D6" s="390"/>
      <c r="E6" s="390">
        <f t="shared" ref="E6:E22" si="0">C6+D6</f>
        <v>400</v>
      </c>
      <c r="F6" s="390">
        <f>200+200</f>
        <v>400</v>
      </c>
      <c r="G6" s="66">
        <f t="shared" ref="G6:G19" si="1">F6/E6</f>
        <v>1</v>
      </c>
    </row>
    <row r="7" spans="1:7" x14ac:dyDescent="0.35">
      <c r="A7" s="389" t="s">
        <v>305</v>
      </c>
      <c r="B7" s="390">
        <v>2000</v>
      </c>
      <c r="C7" s="390">
        <v>2000</v>
      </c>
      <c r="D7" s="390"/>
      <c r="E7" s="390">
        <f t="shared" si="0"/>
        <v>2000</v>
      </c>
      <c r="F7" s="390">
        <f>1000+1000</f>
        <v>2000</v>
      </c>
      <c r="G7" s="66">
        <f t="shared" si="1"/>
        <v>1</v>
      </c>
    </row>
    <row r="8" spans="1:7" x14ac:dyDescent="0.35">
      <c r="A8" s="389" t="s">
        <v>306</v>
      </c>
      <c r="B8" s="390">
        <v>250</v>
      </c>
      <c r="C8" s="390">
        <v>250</v>
      </c>
      <c r="D8" s="390"/>
      <c r="E8" s="390">
        <f t="shared" si="0"/>
        <v>250</v>
      </c>
      <c r="F8" s="390"/>
      <c r="G8" s="66">
        <f t="shared" si="1"/>
        <v>0</v>
      </c>
    </row>
    <row r="9" spans="1:7" x14ac:dyDescent="0.35">
      <c r="A9" s="389" t="s">
        <v>307</v>
      </c>
      <c r="B9" s="390">
        <v>50</v>
      </c>
      <c r="C9" s="390">
        <v>50</v>
      </c>
      <c r="D9" s="390"/>
      <c r="E9" s="390">
        <f t="shared" si="0"/>
        <v>50</v>
      </c>
      <c r="F9" s="390">
        <v>50</v>
      </c>
      <c r="G9" s="66">
        <f t="shared" si="1"/>
        <v>1</v>
      </c>
    </row>
    <row r="10" spans="1:7" x14ac:dyDescent="0.35">
      <c r="A10" s="389" t="s">
        <v>308</v>
      </c>
      <c r="B10" s="390">
        <v>300</v>
      </c>
      <c r="C10" s="390">
        <v>300</v>
      </c>
      <c r="D10" s="390"/>
      <c r="E10" s="390">
        <f t="shared" si="0"/>
        <v>300</v>
      </c>
      <c r="F10" s="390"/>
      <c r="G10" s="66">
        <f t="shared" si="1"/>
        <v>0</v>
      </c>
    </row>
    <row r="11" spans="1:7" x14ac:dyDescent="0.35">
      <c r="A11" s="389" t="s">
        <v>309</v>
      </c>
      <c r="B11" s="390">
        <v>2500</v>
      </c>
      <c r="C11" s="390">
        <v>2500</v>
      </c>
      <c r="D11" s="390"/>
      <c r="E11" s="390">
        <f t="shared" si="0"/>
        <v>2500</v>
      </c>
      <c r="F11" s="390"/>
      <c r="G11" s="66">
        <f t="shared" si="1"/>
        <v>0</v>
      </c>
    </row>
    <row r="12" spans="1:7" x14ac:dyDescent="0.35">
      <c r="A12" s="389" t="s">
        <v>310</v>
      </c>
      <c r="B12" s="390">
        <v>500</v>
      </c>
      <c r="C12" s="390">
        <v>500</v>
      </c>
      <c r="D12" s="390"/>
      <c r="E12" s="390">
        <f t="shared" si="0"/>
        <v>500</v>
      </c>
      <c r="F12" s="27">
        <f>500-100</f>
        <v>400</v>
      </c>
      <c r="G12" s="66">
        <f t="shared" si="1"/>
        <v>0.8</v>
      </c>
    </row>
    <row r="13" spans="1:7" x14ac:dyDescent="0.35">
      <c r="A13" s="389" t="s">
        <v>311</v>
      </c>
      <c r="B13" s="390">
        <v>1500</v>
      </c>
      <c r="C13" s="390">
        <v>1500</v>
      </c>
      <c r="D13" s="390"/>
      <c r="E13" s="390">
        <f t="shared" si="0"/>
        <v>1500</v>
      </c>
      <c r="F13" s="390">
        <v>600</v>
      </c>
      <c r="G13" s="66">
        <f t="shared" si="1"/>
        <v>0.4</v>
      </c>
    </row>
    <row r="14" spans="1:7" x14ac:dyDescent="0.35">
      <c r="A14" s="389" t="s">
        <v>312</v>
      </c>
      <c r="B14" s="390">
        <v>200</v>
      </c>
      <c r="C14" s="390">
        <v>200</v>
      </c>
      <c r="D14" s="390"/>
      <c r="E14" s="390">
        <f t="shared" si="0"/>
        <v>200</v>
      </c>
      <c r="F14" s="390"/>
      <c r="G14" s="66">
        <f t="shared" si="1"/>
        <v>0</v>
      </c>
    </row>
    <row r="15" spans="1:7" ht="36" x14ac:dyDescent="0.35">
      <c r="A15" s="391" t="s">
        <v>313</v>
      </c>
      <c r="B15" s="390">
        <v>100</v>
      </c>
      <c r="C15" s="390">
        <v>100</v>
      </c>
      <c r="D15" s="390"/>
      <c r="E15" s="390">
        <f t="shared" si="0"/>
        <v>100</v>
      </c>
      <c r="F15" s="390"/>
      <c r="G15" s="66">
        <f t="shared" si="1"/>
        <v>0</v>
      </c>
    </row>
    <row r="16" spans="1:7" x14ac:dyDescent="0.35">
      <c r="A16" s="389" t="s">
        <v>314</v>
      </c>
      <c r="B16" s="390">
        <v>1000</v>
      </c>
      <c r="C16" s="390">
        <v>1000</v>
      </c>
      <c r="D16" s="390"/>
      <c r="E16" s="390">
        <f t="shared" si="0"/>
        <v>1000</v>
      </c>
      <c r="F16" s="390">
        <v>1000</v>
      </c>
      <c r="G16" s="66">
        <f t="shared" si="1"/>
        <v>1</v>
      </c>
    </row>
    <row r="17" spans="1:7" x14ac:dyDescent="0.35">
      <c r="A17" s="389" t="s">
        <v>315</v>
      </c>
      <c r="B17" s="390">
        <v>200</v>
      </c>
      <c r="C17" s="390">
        <v>200</v>
      </c>
      <c r="D17" s="390"/>
      <c r="E17" s="390">
        <f t="shared" si="0"/>
        <v>200</v>
      </c>
      <c r="F17" s="390"/>
      <c r="G17" s="66">
        <f t="shared" si="1"/>
        <v>0</v>
      </c>
    </row>
    <row r="18" spans="1:7" x14ac:dyDescent="0.35">
      <c r="A18" s="389" t="s">
        <v>316</v>
      </c>
      <c r="B18" s="390">
        <v>3000</v>
      </c>
      <c r="C18" s="390">
        <v>3000</v>
      </c>
      <c r="D18" s="390"/>
      <c r="E18" s="390">
        <f t="shared" si="0"/>
        <v>3000</v>
      </c>
      <c r="F18" s="390">
        <v>260</v>
      </c>
      <c r="G18" s="66">
        <f t="shared" si="1"/>
        <v>8.666666666666667E-2</v>
      </c>
    </row>
    <row r="19" spans="1:7" x14ac:dyDescent="0.35">
      <c r="A19" s="389" t="s">
        <v>317</v>
      </c>
      <c r="B19" s="390">
        <v>2670</v>
      </c>
      <c r="C19" s="390">
        <v>2670</v>
      </c>
      <c r="D19" s="390"/>
      <c r="E19" s="390">
        <f t="shared" si="0"/>
        <v>2670</v>
      </c>
      <c r="F19" s="390">
        <v>818</v>
      </c>
      <c r="G19" s="66">
        <f t="shared" si="1"/>
        <v>0.30636704119850189</v>
      </c>
    </row>
    <row r="20" spans="1:7" x14ac:dyDescent="0.35">
      <c r="A20" s="389" t="s">
        <v>318</v>
      </c>
      <c r="B20" s="390">
        <v>50</v>
      </c>
      <c r="C20" s="390">
        <v>50</v>
      </c>
      <c r="D20" s="390"/>
      <c r="E20" s="390">
        <f t="shared" si="0"/>
        <v>50</v>
      </c>
      <c r="F20" s="390"/>
      <c r="G20" s="66"/>
    </row>
    <row r="21" spans="1:7" ht="36" x14ac:dyDescent="0.35">
      <c r="A21" s="391" t="s">
        <v>319</v>
      </c>
      <c r="B21" s="390">
        <v>1500</v>
      </c>
      <c r="C21" s="390">
        <v>1500</v>
      </c>
      <c r="D21" s="390"/>
      <c r="E21" s="390">
        <f t="shared" si="0"/>
        <v>1500</v>
      </c>
      <c r="F21" s="390"/>
      <c r="G21" s="66">
        <f>F21/E21</f>
        <v>0</v>
      </c>
    </row>
    <row r="22" spans="1:7" x14ac:dyDescent="0.35">
      <c r="A22" s="389" t="s">
        <v>320</v>
      </c>
      <c r="B22" s="390">
        <v>1500</v>
      </c>
      <c r="C22" s="390">
        <v>1500</v>
      </c>
      <c r="D22" s="390"/>
      <c r="E22" s="390">
        <f t="shared" si="0"/>
        <v>1500</v>
      </c>
      <c r="F22" s="390">
        <v>1500</v>
      </c>
      <c r="G22" s="66">
        <f>F22/E22</f>
        <v>1</v>
      </c>
    </row>
    <row r="23" spans="1:7" x14ac:dyDescent="0.35">
      <c r="A23" s="392" t="s">
        <v>321</v>
      </c>
      <c r="B23" s="392">
        <f>SUM(B6:B22)</f>
        <v>17720</v>
      </c>
      <c r="C23" s="392">
        <f>SUM(C6:C22)</f>
        <v>17720</v>
      </c>
      <c r="D23" s="392">
        <f>SUM(D6:D22)</f>
        <v>0</v>
      </c>
      <c r="E23" s="392">
        <f>SUM(E6:E22)</f>
        <v>17720</v>
      </c>
      <c r="F23" s="392">
        <f>SUM(F6:F22)</f>
        <v>7028</v>
      </c>
      <c r="G23" s="68">
        <f>F23/E23</f>
        <v>0.39661399548532733</v>
      </c>
    </row>
    <row r="24" spans="1:7" x14ac:dyDescent="0.35">
      <c r="A24" s="260"/>
      <c r="B24" s="393"/>
      <c r="F24" s="394"/>
    </row>
    <row r="25" spans="1:7" x14ac:dyDescent="0.35">
      <c r="F25" s="395"/>
    </row>
  </sheetData>
  <sheetProtection selectLockedCells="1" selectUnlockedCells="1"/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79" firstPageNumber="0" orientation="landscape" horizontalDpi="300" verticalDpi="300" r:id="rId1"/>
  <headerFooter alignWithMargins="0">
    <oddHeader xml:space="preserve">&amp;R17
17.sz.melléklet a    /2020.(.)  önkormányzati rendelethez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FC4A-C4A8-4E03-8877-D4F5702AF3C6}">
  <dimension ref="A1:H47"/>
  <sheetViews>
    <sheetView workbookViewId="0">
      <selection activeCell="A20" sqref="A20"/>
    </sheetView>
  </sheetViews>
  <sheetFormatPr defaultRowHeight="15" x14ac:dyDescent="0.25"/>
  <cols>
    <col min="1" max="1" width="8.88671875" style="444" customWidth="1"/>
    <col min="2" max="2" width="48.5546875" style="444" customWidth="1"/>
    <col min="3" max="3" width="10.5546875" style="444" bestFit="1" customWidth="1"/>
    <col min="4" max="4" width="13" style="444" customWidth="1"/>
    <col min="5" max="5" width="12" style="444" customWidth="1"/>
    <col min="6" max="6" width="11.6640625" style="444" customWidth="1"/>
    <col min="7" max="7" width="11" style="444" customWidth="1"/>
  </cols>
  <sheetData>
    <row r="1" spans="1:8" ht="15.6" x14ac:dyDescent="0.3">
      <c r="A1" s="422"/>
      <c r="B1" s="423" t="s">
        <v>329</v>
      </c>
      <c r="C1" s="422"/>
      <c r="D1" s="422"/>
      <c r="E1" s="422"/>
      <c r="F1" s="422"/>
      <c r="G1" s="422"/>
    </row>
    <row r="2" spans="1:8" ht="16.2" x14ac:dyDescent="0.35">
      <c r="A2" s="424" t="s">
        <v>330</v>
      </c>
      <c r="B2" s="422"/>
      <c r="C2" s="543" t="s">
        <v>331</v>
      </c>
      <c r="D2" s="543"/>
      <c r="E2" s="543"/>
      <c r="F2" s="543"/>
      <c r="G2" s="543"/>
      <c r="H2" s="416"/>
    </row>
    <row r="3" spans="1:8" ht="15.6" x14ac:dyDescent="0.3">
      <c r="A3" s="422"/>
      <c r="B3" s="422"/>
      <c r="C3" s="422"/>
      <c r="D3" s="422"/>
      <c r="E3" s="422"/>
      <c r="F3" s="422"/>
      <c r="G3" s="422"/>
      <c r="H3" s="416"/>
    </row>
    <row r="4" spans="1:8" ht="16.2" x14ac:dyDescent="0.35">
      <c r="A4" s="424" t="s">
        <v>332</v>
      </c>
      <c r="B4" s="422"/>
      <c r="C4" s="543" t="s">
        <v>331</v>
      </c>
      <c r="D4" s="543"/>
      <c r="E4" s="543"/>
      <c r="F4" s="543"/>
      <c r="G4" s="422"/>
      <c r="H4" s="416"/>
    </row>
    <row r="5" spans="1:8" ht="15.6" x14ac:dyDescent="0.3">
      <c r="A5" s="422"/>
      <c r="B5" s="422"/>
      <c r="C5" s="422"/>
      <c r="D5" s="422"/>
      <c r="E5" s="422"/>
      <c r="F5" s="422"/>
      <c r="G5" s="422"/>
      <c r="H5" s="417"/>
    </row>
    <row r="6" spans="1:8" ht="15.6" x14ac:dyDescent="0.3">
      <c r="A6" s="425" t="s">
        <v>333</v>
      </c>
      <c r="B6" s="426"/>
      <c r="C6" s="426"/>
      <c r="D6" s="422"/>
      <c r="E6" s="422"/>
      <c r="F6" s="422"/>
      <c r="G6" s="422"/>
      <c r="H6" s="418"/>
    </row>
    <row r="7" spans="1:8" ht="15.6" x14ac:dyDescent="0.3">
      <c r="A7" s="425" t="s">
        <v>334</v>
      </c>
      <c r="B7" s="422"/>
      <c r="C7" s="422"/>
      <c r="D7" s="422"/>
      <c r="E7" s="422"/>
      <c r="F7" s="422"/>
      <c r="G7" s="422"/>
      <c r="H7" s="418"/>
    </row>
    <row r="8" spans="1:8" ht="46.8" x14ac:dyDescent="0.25">
      <c r="A8" s="427" t="s">
        <v>335</v>
      </c>
      <c r="B8" s="427" t="s">
        <v>336</v>
      </c>
      <c r="C8" s="427" t="s">
        <v>337</v>
      </c>
      <c r="D8" s="427" t="s">
        <v>338</v>
      </c>
      <c r="E8" s="427" t="s">
        <v>339</v>
      </c>
      <c r="F8" s="427" t="s">
        <v>340</v>
      </c>
      <c r="G8" s="427" t="s">
        <v>341</v>
      </c>
      <c r="H8" s="419"/>
    </row>
    <row r="9" spans="1:8" ht="15.6" x14ac:dyDescent="0.25">
      <c r="A9" s="428" t="s">
        <v>178</v>
      </c>
      <c r="B9" s="429" t="s">
        <v>342</v>
      </c>
      <c r="C9" s="430"/>
      <c r="D9" s="430"/>
      <c r="E9" s="430"/>
      <c r="F9" s="430"/>
      <c r="G9" s="431">
        <f t="shared" ref="G9:G15" si="0">SUM(C9:F9)</f>
        <v>0</v>
      </c>
    </row>
    <row r="10" spans="1:8" ht="15.6" x14ac:dyDescent="0.25">
      <c r="A10" s="432" t="s">
        <v>180</v>
      </c>
      <c r="B10" s="433" t="s">
        <v>343</v>
      </c>
      <c r="C10" s="434"/>
      <c r="D10" s="434"/>
      <c r="E10" s="434"/>
      <c r="F10" s="434"/>
      <c r="G10" s="435">
        <f t="shared" si="0"/>
        <v>0</v>
      </c>
    </row>
    <row r="11" spans="1:8" ht="15.6" x14ac:dyDescent="0.25">
      <c r="A11" s="432" t="s">
        <v>181</v>
      </c>
      <c r="B11" s="433" t="s">
        <v>344</v>
      </c>
      <c r="C11" s="434"/>
      <c r="D11" s="434"/>
      <c r="E11" s="434"/>
      <c r="F11" s="434"/>
      <c r="G11" s="435">
        <f t="shared" si="0"/>
        <v>0</v>
      </c>
    </row>
    <row r="12" spans="1:8" ht="15.6" x14ac:dyDescent="0.25">
      <c r="A12" s="432" t="s">
        <v>182</v>
      </c>
      <c r="B12" s="433" t="s">
        <v>345</v>
      </c>
      <c r="C12" s="434"/>
      <c r="D12" s="434"/>
      <c r="E12" s="434"/>
      <c r="F12" s="434"/>
      <c r="G12" s="435">
        <f t="shared" si="0"/>
        <v>0</v>
      </c>
    </row>
    <row r="13" spans="1:8" ht="31.2" x14ac:dyDescent="0.25">
      <c r="A13" s="432" t="s">
        <v>183</v>
      </c>
      <c r="B13" s="433" t="s">
        <v>346</v>
      </c>
      <c r="C13" s="434"/>
      <c r="D13" s="434"/>
      <c r="E13" s="434"/>
      <c r="F13" s="434"/>
      <c r="G13" s="435">
        <f t="shared" si="0"/>
        <v>0</v>
      </c>
    </row>
    <row r="14" spans="1:8" ht="15.6" x14ac:dyDescent="0.25">
      <c r="A14" s="436" t="s">
        <v>184</v>
      </c>
      <c r="B14" s="437" t="s">
        <v>347</v>
      </c>
      <c r="C14" s="438"/>
      <c r="D14" s="438"/>
      <c r="E14" s="438"/>
      <c r="F14" s="438"/>
      <c r="G14" s="439">
        <f t="shared" si="0"/>
        <v>0</v>
      </c>
    </row>
    <row r="15" spans="1:8" ht="15.6" x14ac:dyDescent="0.25">
      <c r="A15" s="440" t="s">
        <v>348</v>
      </c>
      <c r="B15" s="441" t="s">
        <v>341</v>
      </c>
      <c r="C15" s="435">
        <f>SUM(C9:C14)</f>
        <v>0</v>
      </c>
      <c r="D15" s="435">
        <f>SUM(D9:D14)</f>
        <v>0</v>
      </c>
      <c r="E15" s="435">
        <f>SUM(E9:E14)</f>
        <v>0</v>
      </c>
      <c r="F15" s="435">
        <f>SUM(F9:F14)</f>
        <v>0</v>
      </c>
      <c r="G15" s="435">
        <f t="shared" si="0"/>
        <v>0</v>
      </c>
      <c r="H15" s="421"/>
    </row>
    <row r="16" spans="1:8" ht="15.6" x14ac:dyDescent="0.3">
      <c r="A16" s="422"/>
      <c r="B16" s="422"/>
      <c r="C16" s="422"/>
      <c r="D16" s="422"/>
      <c r="E16" s="422"/>
      <c r="F16" s="422"/>
      <c r="G16" s="422"/>
      <c r="H16" s="417"/>
    </row>
    <row r="17" spans="1:8" ht="15.6" x14ac:dyDescent="0.3">
      <c r="A17" s="422"/>
      <c r="B17" s="422"/>
      <c r="C17" s="422"/>
      <c r="D17" s="422"/>
      <c r="E17" s="422"/>
      <c r="F17" s="422"/>
      <c r="G17" s="422"/>
      <c r="H17" s="417"/>
    </row>
    <row r="18" spans="1:8" ht="15.6" x14ac:dyDescent="0.3">
      <c r="A18" s="422"/>
      <c r="B18" s="422"/>
      <c r="C18" s="422"/>
      <c r="D18" s="422"/>
      <c r="E18" s="422"/>
      <c r="F18" s="422"/>
      <c r="G18" s="422"/>
      <c r="H18" s="417"/>
    </row>
    <row r="19" spans="1:8" ht="15.6" x14ac:dyDescent="0.3">
      <c r="A19" s="426" t="s">
        <v>350</v>
      </c>
      <c r="B19" s="422"/>
      <c r="C19" s="422"/>
      <c r="D19" s="422"/>
      <c r="E19" s="422"/>
      <c r="F19" s="422"/>
      <c r="G19" s="422"/>
      <c r="H19" s="417"/>
    </row>
    <row r="20" spans="1:8" ht="15.6" x14ac:dyDescent="0.3">
      <c r="A20" s="422"/>
      <c r="B20" s="422"/>
      <c r="C20" s="422"/>
      <c r="D20" s="422"/>
      <c r="E20" s="422"/>
      <c r="F20" s="422"/>
      <c r="G20" s="422"/>
      <c r="H20" s="417"/>
    </row>
    <row r="21" spans="1:8" ht="15.6" x14ac:dyDescent="0.3">
      <c r="A21" s="422"/>
      <c r="B21" s="422"/>
      <c r="C21" s="422"/>
      <c r="D21" s="422"/>
      <c r="E21" s="422"/>
      <c r="F21" s="422"/>
      <c r="G21" s="422"/>
    </row>
    <row r="22" spans="1:8" ht="15.6" x14ac:dyDescent="0.3">
      <c r="A22" s="422"/>
      <c r="B22" s="422"/>
      <c r="C22" s="426"/>
      <c r="D22" s="426"/>
      <c r="E22" s="426"/>
      <c r="F22" s="426"/>
      <c r="G22" s="422"/>
    </row>
    <row r="23" spans="1:8" ht="16.2" x14ac:dyDescent="0.35">
      <c r="A23" s="422"/>
      <c r="B23" s="422"/>
      <c r="C23" s="442"/>
      <c r="D23" s="443" t="s">
        <v>349</v>
      </c>
      <c r="E23" s="443"/>
      <c r="F23" s="442"/>
      <c r="G23" s="422"/>
    </row>
    <row r="47" spans="6:6" ht="15.6" x14ac:dyDescent="0.3">
      <c r="F47" s="445"/>
    </row>
  </sheetData>
  <mergeCells count="2">
    <mergeCell ref="C2:G2"/>
    <mergeCell ref="C4:F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3BE8-69E0-4287-8F4A-0496F947DE14}">
  <dimension ref="A1:R39"/>
  <sheetViews>
    <sheetView tabSelected="1" topLeftCell="B1" zoomScale="80" zoomScaleNormal="80" workbookViewId="0">
      <selection activeCell="H19" sqref="H19"/>
    </sheetView>
  </sheetViews>
  <sheetFormatPr defaultRowHeight="13.2" x14ac:dyDescent="0.25"/>
  <cols>
    <col min="1" max="1" width="9.109375" style="1"/>
    <col min="2" max="2" width="87.6640625" style="1" customWidth="1"/>
    <col min="3" max="3" width="18.6640625" style="1" bestFit="1" customWidth="1"/>
    <col min="4" max="5" width="16.5546875" style="1" customWidth="1"/>
    <col min="6" max="6" width="16.44140625" style="1" customWidth="1"/>
    <col min="7" max="7" width="15.109375" style="1" customWidth="1"/>
    <col min="8" max="8" width="23.44140625" style="1" customWidth="1"/>
    <col min="9" max="9" width="26.6640625" style="1" customWidth="1"/>
    <col min="10" max="10" width="17.6640625" style="1" customWidth="1"/>
    <col min="11" max="11" width="17.33203125" style="1" bestFit="1" customWidth="1"/>
    <col min="12" max="12" width="18" style="1" customWidth="1"/>
    <col min="13" max="13" width="11" style="1" bestFit="1" customWidth="1"/>
  </cols>
  <sheetData>
    <row r="1" spans="1:18" ht="18" x14ac:dyDescent="0.35">
      <c r="B1" s="143" t="s">
        <v>444</v>
      </c>
      <c r="C1" s="32"/>
      <c r="D1" s="32"/>
      <c r="E1" s="32"/>
      <c r="F1" s="32"/>
      <c r="G1" s="32"/>
      <c r="H1" s="32"/>
      <c r="I1" s="32"/>
      <c r="J1" s="32"/>
      <c r="K1" s="32" t="s">
        <v>351</v>
      </c>
      <c r="L1" s="32"/>
    </row>
    <row r="2" spans="1:18" ht="18" x14ac:dyDescent="0.35">
      <c r="B2" s="143" t="s">
        <v>352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8" ht="54" x14ac:dyDescent="0.35">
      <c r="B3" s="32"/>
      <c r="C3" s="446" t="s">
        <v>3</v>
      </c>
      <c r="D3" s="447" t="s">
        <v>353</v>
      </c>
      <c r="E3" s="447" t="s">
        <v>279</v>
      </c>
      <c r="F3" s="447" t="s">
        <v>281</v>
      </c>
      <c r="G3" s="447" t="s">
        <v>42</v>
      </c>
      <c r="H3" s="447" t="s">
        <v>443</v>
      </c>
      <c r="I3" s="447" t="s">
        <v>40</v>
      </c>
      <c r="J3" s="447" t="s">
        <v>379</v>
      </c>
      <c r="K3" s="447" t="s">
        <v>354</v>
      </c>
      <c r="L3" s="446" t="s">
        <v>355</v>
      </c>
      <c r="M3" s="448"/>
    </row>
    <row r="4" spans="1:18" ht="18" x14ac:dyDescent="0.3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8" ht="18" x14ac:dyDescent="0.35">
      <c r="A5" s="449"/>
      <c r="B5" s="450" t="s">
        <v>356</v>
      </c>
      <c r="C5" s="451">
        <v>1256653070</v>
      </c>
      <c r="D5" s="451">
        <v>1260087</v>
      </c>
      <c r="E5" s="451">
        <v>1</v>
      </c>
      <c r="F5" s="451">
        <v>4</v>
      </c>
      <c r="G5" s="451">
        <v>412572</v>
      </c>
      <c r="H5" s="451">
        <v>8060485</v>
      </c>
      <c r="I5" s="451">
        <v>2468289</v>
      </c>
      <c r="J5" s="451">
        <v>187400</v>
      </c>
      <c r="K5" s="451">
        <v>9920840</v>
      </c>
      <c r="L5" s="452">
        <f t="shared" ref="L5:L28" si="0">SUM(C5:K5)</f>
        <v>1278962748</v>
      </c>
      <c r="M5" s="449"/>
      <c r="N5" s="453"/>
      <c r="O5" s="453"/>
      <c r="P5" s="453"/>
      <c r="Q5" s="453"/>
      <c r="R5" s="453"/>
    </row>
    <row r="6" spans="1:18" ht="18" x14ac:dyDescent="0.35">
      <c r="B6" s="32" t="s">
        <v>357</v>
      </c>
      <c r="C6" s="395">
        <v>455269130</v>
      </c>
      <c r="D6" s="395">
        <v>162896169</v>
      </c>
      <c r="E6" s="395">
        <v>120067238</v>
      </c>
      <c r="F6" s="395">
        <v>73192205</v>
      </c>
      <c r="G6" s="395">
        <v>17990399</v>
      </c>
      <c r="H6" s="395">
        <v>51624445</v>
      </c>
      <c r="I6" s="395">
        <v>67653898</v>
      </c>
      <c r="J6" s="395">
        <v>10054090</v>
      </c>
      <c r="K6" s="395">
        <v>144622141</v>
      </c>
      <c r="L6" s="454">
        <f t="shared" si="0"/>
        <v>1103369715</v>
      </c>
    </row>
    <row r="7" spans="1:18" ht="17.399999999999999" x14ac:dyDescent="0.3">
      <c r="B7" s="143" t="s">
        <v>358</v>
      </c>
      <c r="C7" s="454">
        <f>$C$5-$C$6</f>
        <v>801383940</v>
      </c>
      <c r="D7" s="454">
        <f>$D$5-$D$6</f>
        <v>-161636082</v>
      </c>
      <c r="E7" s="454">
        <f>$E$5-$E$6</f>
        <v>-120067237</v>
      </c>
      <c r="F7" s="454">
        <f>$F$5-$F$6</f>
        <v>-73192201</v>
      </c>
      <c r="G7" s="454">
        <f>$G$5-$G$6</f>
        <v>-17577827</v>
      </c>
      <c r="H7" s="454">
        <f>$H$5-$H$6</f>
        <v>-43563960</v>
      </c>
      <c r="I7" s="454">
        <f>$I$5-$I$6</f>
        <v>-65185609</v>
      </c>
      <c r="J7" s="454">
        <f>$J$5-$J$6</f>
        <v>-9866690</v>
      </c>
      <c r="K7" s="454">
        <f>$K$5-$K$6</f>
        <v>-134701301</v>
      </c>
      <c r="L7" s="454">
        <f t="shared" si="0"/>
        <v>175593033</v>
      </c>
    </row>
    <row r="8" spans="1:18" ht="18" x14ac:dyDescent="0.35">
      <c r="A8" s="449"/>
      <c r="B8" s="450" t="s">
        <v>359</v>
      </c>
      <c r="C8" s="451">
        <v>252807109</v>
      </c>
      <c r="D8" s="451">
        <v>163319421</v>
      </c>
      <c r="E8" s="451">
        <v>120632625</v>
      </c>
      <c r="F8" s="451">
        <v>74264601</v>
      </c>
      <c r="G8" s="451">
        <v>17771011</v>
      </c>
      <c r="H8" s="451">
        <v>48336240</v>
      </c>
      <c r="I8" s="451">
        <v>65810304</v>
      </c>
      <c r="J8" s="451">
        <v>10504247</v>
      </c>
      <c r="K8" s="451">
        <v>136676675</v>
      </c>
      <c r="L8" s="452">
        <f t="shared" si="0"/>
        <v>890122233</v>
      </c>
      <c r="M8" s="449"/>
      <c r="N8" s="453"/>
      <c r="O8" s="453"/>
      <c r="P8" s="453"/>
      <c r="Q8" s="453"/>
      <c r="R8" s="453"/>
    </row>
    <row r="9" spans="1:18" ht="18" x14ac:dyDescent="0.35">
      <c r="B9" s="32" t="s">
        <v>360</v>
      </c>
      <c r="C9" s="395">
        <v>707808777</v>
      </c>
      <c r="D9" s="395"/>
      <c r="E9" s="395"/>
      <c r="F9" s="395"/>
      <c r="G9" s="395"/>
      <c r="H9" s="395"/>
      <c r="I9" s="395"/>
      <c r="J9" s="395"/>
      <c r="K9" s="395"/>
      <c r="L9" s="454">
        <f t="shared" si="0"/>
        <v>707808777</v>
      </c>
    </row>
    <row r="10" spans="1:18" ht="17.399999999999999" x14ac:dyDescent="0.3">
      <c r="B10" s="143" t="s">
        <v>361</v>
      </c>
      <c r="C10" s="454">
        <f>$C$8-$C$9</f>
        <v>-455001668</v>
      </c>
      <c r="D10" s="454">
        <f>$D$8-$D$9</f>
        <v>163319421</v>
      </c>
      <c r="E10" s="454">
        <f>$E$8-$E$9</f>
        <v>120632625</v>
      </c>
      <c r="F10" s="454">
        <f>$F$8-$F$9</f>
        <v>74264601</v>
      </c>
      <c r="G10" s="454">
        <f>$G$8-$G$9</f>
        <v>17771011</v>
      </c>
      <c r="H10" s="454">
        <f>$H$8-$H$9</f>
        <v>48336240</v>
      </c>
      <c r="I10" s="454">
        <f>$I$8-$I$9</f>
        <v>65810304</v>
      </c>
      <c r="J10" s="454">
        <f>$J$8-$J$9</f>
        <v>10504247</v>
      </c>
      <c r="K10" s="454">
        <f>$K$8-$K$9</f>
        <v>136676675</v>
      </c>
      <c r="L10" s="454">
        <f t="shared" si="0"/>
        <v>182313456</v>
      </c>
    </row>
    <row r="11" spans="1:18" ht="17.399999999999999" x14ac:dyDescent="0.3">
      <c r="B11" s="143" t="s">
        <v>362</v>
      </c>
      <c r="C11" s="454">
        <f>$C$7+$C$10</f>
        <v>346382272</v>
      </c>
      <c r="D11" s="454">
        <f>$D$7+$D$10</f>
        <v>1683339</v>
      </c>
      <c r="E11" s="454">
        <f>$E$7+$E$10</f>
        <v>565388</v>
      </c>
      <c r="F11" s="454">
        <f>$F$7+$F$10</f>
        <v>1072400</v>
      </c>
      <c r="G11" s="454">
        <f>$G$7+$G$10</f>
        <v>193184</v>
      </c>
      <c r="H11" s="454">
        <f>$H$7+$H$10</f>
        <v>4772280</v>
      </c>
      <c r="I11" s="454">
        <f>$I$7+$I$10</f>
        <v>624695</v>
      </c>
      <c r="J11" s="454">
        <f>$J$7+$J$10</f>
        <v>637557</v>
      </c>
      <c r="K11" s="454">
        <f>$K$7+$K$10</f>
        <v>1975374</v>
      </c>
      <c r="L11" s="454">
        <f t="shared" si="0"/>
        <v>357906489</v>
      </c>
    </row>
    <row r="12" spans="1:18" ht="18" x14ac:dyDescent="0.35">
      <c r="B12" s="32" t="s">
        <v>363</v>
      </c>
      <c r="C12" s="395"/>
      <c r="D12" s="395"/>
      <c r="E12" s="395"/>
      <c r="F12" s="395"/>
      <c r="G12" s="395"/>
      <c r="H12" s="395"/>
      <c r="I12" s="395"/>
      <c r="J12" s="395"/>
      <c r="K12" s="395"/>
      <c r="L12" s="454">
        <f t="shared" si="0"/>
        <v>0</v>
      </c>
    </row>
    <row r="13" spans="1:18" ht="18" x14ac:dyDescent="0.35">
      <c r="B13" s="32" t="s">
        <v>364</v>
      </c>
      <c r="C13" s="395"/>
      <c r="D13" s="395"/>
      <c r="E13" s="395"/>
      <c r="F13" s="395"/>
      <c r="G13" s="395"/>
      <c r="H13" s="395"/>
      <c r="I13" s="395"/>
      <c r="J13" s="395"/>
      <c r="K13" s="395"/>
      <c r="L13" s="454">
        <f t="shared" si="0"/>
        <v>0</v>
      </c>
    </row>
    <row r="14" spans="1:18" ht="18" x14ac:dyDescent="0.35">
      <c r="B14" s="143" t="s">
        <v>365</v>
      </c>
      <c r="C14" s="395">
        <f>$C$12-$C$13</f>
        <v>0</v>
      </c>
      <c r="D14" s="395">
        <f>$D$12-$D$13</f>
        <v>0</v>
      </c>
      <c r="E14" s="395">
        <f>$E$12-$E$13</f>
        <v>0</v>
      </c>
      <c r="F14" s="395">
        <f>$F$12-$F$13</f>
        <v>0</v>
      </c>
      <c r="G14" s="395">
        <f>$G$12-$G$13</f>
        <v>0</v>
      </c>
      <c r="H14" s="395">
        <f>$H$12-$H$13</f>
        <v>0</v>
      </c>
      <c r="I14" s="395">
        <f>$I$12-$I$13</f>
        <v>0</v>
      </c>
      <c r="J14" s="395">
        <f>$I$12-$I$13</f>
        <v>0</v>
      </c>
      <c r="K14" s="395">
        <f>$K$12-$K$13</f>
        <v>0</v>
      </c>
      <c r="L14" s="454">
        <f t="shared" si="0"/>
        <v>0</v>
      </c>
    </row>
    <row r="15" spans="1:18" ht="18" x14ac:dyDescent="0.35">
      <c r="B15" s="32" t="s">
        <v>366</v>
      </c>
      <c r="C15" s="395"/>
      <c r="D15" s="395"/>
      <c r="E15" s="395"/>
      <c r="F15" s="395"/>
      <c r="G15" s="395"/>
      <c r="H15" s="395"/>
      <c r="I15" s="395"/>
      <c r="J15" s="395"/>
      <c r="K15" s="395"/>
      <c r="L15" s="454">
        <f t="shared" si="0"/>
        <v>0</v>
      </c>
    </row>
    <row r="16" spans="1:18" ht="18" x14ac:dyDescent="0.35">
      <c r="B16" s="32" t="s">
        <v>367</v>
      </c>
      <c r="C16" s="395"/>
      <c r="D16" s="395"/>
      <c r="E16" s="395"/>
      <c r="F16" s="395"/>
      <c r="G16" s="395"/>
      <c r="H16" s="395"/>
      <c r="I16" s="395"/>
      <c r="J16" s="395"/>
      <c r="K16" s="395"/>
      <c r="L16" s="454">
        <f t="shared" si="0"/>
        <v>0</v>
      </c>
    </row>
    <row r="17" spans="1:13" ht="18" x14ac:dyDescent="0.35">
      <c r="B17" s="143" t="s">
        <v>368</v>
      </c>
      <c r="C17" s="395">
        <f>$C$15-$C$16</f>
        <v>0</v>
      </c>
      <c r="D17" s="395">
        <f>$D$15-$D$16</f>
        <v>0</v>
      </c>
      <c r="E17" s="395">
        <f>$E$15-$E$16</f>
        <v>0</v>
      </c>
      <c r="F17" s="395">
        <f>$F$15-$F$16</f>
        <v>0</v>
      </c>
      <c r="G17" s="395">
        <f>$G$15-$G$16</f>
        <v>0</v>
      </c>
      <c r="H17" s="395">
        <f>$H$15-$H$16</f>
        <v>0</v>
      </c>
      <c r="I17" s="395">
        <f>$I$15-$I$16</f>
        <v>0</v>
      </c>
      <c r="J17" s="395">
        <f>$J$15-$J$16</f>
        <v>0</v>
      </c>
      <c r="K17" s="395">
        <f>$K$15-$K$16</f>
        <v>0</v>
      </c>
      <c r="L17" s="454">
        <f t="shared" si="0"/>
        <v>0</v>
      </c>
    </row>
    <row r="18" spans="1:13" ht="18" x14ac:dyDescent="0.35">
      <c r="B18" s="143" t="s">
        <v>369</v>
      </c>
      <c r="C18" s="395">
        <f>$C$14+$C$17</f>
        <v>0</v>
      </c>
      <c r="D18" s="395">
        <f>$D$14+$D$17</f>
        <v>0</v>
      </c>
      <c r="E18" s="395">
        <f>$E$14+$E$17</f>
        <v>0</v>
      </c>
      <c r="F18" s="395">
        <f>$F$14+$F$17</f>
        <v>0</v>
      </c>
      <c r="G18" s="395">
        <f>$G$14+$G$17</f>
        <v>0</v>
      </c>
      <c r="H18" s="395">
        <f>$H$14+$H$17</f>
        <v>0</v>
      </c>
      <c r="I18" s="395">
        <f>$I$14+$I$17</f>
        <v>0</v>
      </c>
      <c r="J18" s="395">
        <f>$I$14+$I$17</f>
        <v>0</v>
      </c>
      <c r="K18" s="395">
        <f>$K$14+$K$17</f>
        <v>0</v>
      </c>
      <c r="L18" s="454">
        <f t="shared" si="0"/>
        <v>0</v>
      </c>
    </row>
    <row r="19" spans="1:13" ht="17.399999999999999" x14ac:dyDescent="0.3">
      <c r="B19" s="143" t="s">
        <v>370</v>
      </c>
      <c r="C19" s="454">
        <f>$C$11+$C$18</f>
        <v>346382272</v>
      </c>
      <c r="D19" s="454">
        <f>$D$11+$D$18</f>
        <v>1683339</v>
      </c>
      <c r="E19" s="454">
        <f>$E$11+$E$18</f>
        <v>565388</v>
      </c>
      <c r="F19" s="454">
        <f>$F$11+$F$18</f>
        <v>1072400</v>
      </c>
      <c r="G19" s="454">
        <f>$G$11+$G$18</f>
        <v>193184</v>
      </c>
      <c r="H19" s="454">
        <f>$H$11+$H$18</f>
        <v>4772280</v>
      </c>
      <c r="I19" s="454">
        <f>$I$11+$I$18</f>
        <v>624695</v>
      </c>
      <c r="J19" s="454">
        <f>$J$11+$J$18</f>
        <v>637557</v>
      </c>
      <c r="K19" s="454">
        <f>$K$11+$K$18</f>
        <v>1975374</v>
      </c>
      <c r="L19" s="454">
        <f t="shared" si="0"/>
        <v>357906489</v>
      </c>
      <c r="M19" s="455">
        <f>SUM(D19:K19)</f>
        <v>11524217</v>
      </c>
    </row>
    <row r="20" spans="1:13" ht="18" x14ac:dyDescent="0.35">
      <c r="B20" s="467" t="s">
        <v>371</v>
      </c>
      <c r="C20" s="395">
        <v>3204969</v>
      </c>
      <c r="D20" s="395">
        <v>82877</v>
      </c>
      <c r="E20" s="395">
        <v>0</v>
      </c>
      <c r="F20" s="395">
        <v>110817</v>
      </c>
      <c r="G20" s="395">
        <v>27000</v>
      </c>
      <c r="H20" s="395">
        <v>48878</v>
      </c>
      <c r="I20" s="395">
        <v>104762</v>
      </c>
      <c r="J20" s="395">
        <v>118630</v>
      </c>
      <c r="K20" s="395">
        <v>741662</v>
      </c>
      <c r="L20" s="454">
        <f t="shared" si="0"/>
        <v>4439595</v>
      </c>
      <c r="M20" s="455">
        <f>SUM(D20:K20)</f>
        <v>1234626</v>
      </c>
    </row>
    <row r="21" spans="1:13" ht="18" x14ac:dyDescent="0.35">
      <c r="B21" s="467" t="s">
        <v>372</v>
      </c>
      <c r="C21" s="395">
        <v>3048000</v>
      </c>
      <c r="D21" s="395"/>
      <c r="E21" s="395"/>
      <c r="F21" s="395" t="s">
        <v>44</v>
      </c>
      <c r="G21" s="395"/>
      <c r="H21" s="395"/>
      <c r="I21" s="395"/>
      <c r="J21" s="395"/>
      <c r="K21" s="395"/>
      <c r="L21" s="454">
        <f t="shared" si="0"/>
        <v>3048000</v>
      </c>
    </row>
    <row r="22" spans="1:13" ht="18" x14ac:dyDescent="0.35">
      <c r="B22" s="467" t="s">
        <v>203</v>
      </c>
      <c r="C22" s="395">
        <v>266700</v>
      </c>
      <c r="D22" s="395"/>
      <c r="E22" s="395"/>
      <c r="F22" s="395"/>
      <c r="G22" s="395"/>
      <c r="H22" s="395"/>
      <c r="I22" s="395"/>
      <c r="J22" s="395"/>
      <c r="K22" s="395"/>
      <c r="L22" s="454">
        <f t="shared" si="0"/>
        <v>266700</v>
      </c>
    </row>
    <row r="23" spans="1:13" ht="18" x14ac:dyDescent="0.35">
      <c r="B23" s="467" t="s">
        <v>204</v>
      </c>
      <c r="C23" s="395">
        <v>41950</v>
      </c>
      <c r="D23" s="395"/>
      <c r="E23" s="395"/>
      <c r="F23" s="395"/>
      <c r="G23" s="395"/>
      <c r="H23" s="395"/>
      <c r="I23" s="395"/>
      <c r="J23" s="395"/>
      <c r="K23" s="395"/>
      <c r="L23" s="454">
        <f t="shared" si="0"/>
        <v>41950</v>
      </c>
    </row>
    <row r="24" spans="1:13" ht="18" x14ac:dyDescent="0.35">
      <c r="B24" s="467" t="s">
        <v>373</v>
      </c>
      <c r="C24" s="395">
        <v>27793175</v>
      </c>
      <c r="D24" s="395"/>
      <c r="E24" s="395"/>
      <c r="F24" s="395"/>
      <c r="G24" s="395"/>
      <c r="H24" s="395"/>
      <c r="I24" s="395"/>
      <c r="J24" s="395"/>
      <c r="K24" s="395"/>
      <c r="L24" s="454">
        <f t="shared" si="0"/>
        <v>27793175</v>
      </c>
    </row>
    <row r="25" spans="1:13" ht="27.6" x14ac:dyDescent="0.45">
      <c r="A25" s="486"/>
      <c r="B25" s="487" t="s">
        <v>374</v>
      </c>
      <c r="C25" s="488">
        <v>137049000</v>
      </c>
      <c r="D25" s="395"/>
      <c r="E25" s="395"/>
      <c r="F25" s="395"/>
      <c r="G25" s="395"/>
      <c r="H25" s="395"/>
      <c r="I25" s="395"/>
      <c r="J25" s="395"/>
      <c r="K25" s="395"/>
      <c r="L25" s="454">
        <f t="shared" si="0"/>
        <v>137049000</v>
      </c>
    </row>
    <row r="26" spans="1:13" ht="17.399999999999999" x14ac:dyDescent="0.3">
      <c r="B26" s="143" t="s">
        <v>375</v>
      </c>
      <c r="C26" s="456">
        <f>SUM(C20:C25)</f>
        <v>171403794</v>
      </c>
      <c r="D26" s="454">
        <f>SUM($D$20:$D$25)</f>
        <v>82877</v>
      </c>
      <c r="E26" s="454">
        <f>SUM($E$20:$E$25)</f>
        <v>0</v>
      </c>
      <c r="F26" s="454">
        <f>SUM($F$20:$F$25)</f>
        <v>110817</v>
      </c>
      <c r="G26" s="454">
        <f>SUM($G$20:$G$25)</f>
        <v>27000</v>
      </c>
      <c r="H26" s="454">
        <f>SUM($H$20:$H$25)</f>
        <v>48878</v>
      </c>
      <c r="I26" s="454">
        <f>SUM($I$20:$I$25)</f>
        <v>104762</v>
      </c>
      <c r="J26" s="454">
        <f>SUM($I$20:$I$25)</f>
        <v>104762</v>
      </c>
      <c r="K26" s="454">
        <f>SUM($K$20:$K$25)</f>
        <v>741662</v>
      </c>
      <c r="L26" s="454">
        <f t="shared" si="0"/>
        <v>172624552</v>
      </c>
    </row>
    <row r="27" spans="1:13" ht="17.399999999999999" x14ac:dyDescent="0.3">
      <c r="B27" s="143" t="s">
        <v>481</v>
      </c>
      <c r="C27" s="500">
        <v>2287508</v>
      </c>
      <c r="D27" s="454"/>
      <c r="E27" s="454"/>
      <c r="F27" s="454"/>
      <c r="G27" s="454"/>
      <c r="H27" s="454"/>
      <c r="I27" s="454"/>
      <c r="J27" s="454"/>
      <c r="K27" s="454"/>
      <c r="L27" s="454">
        <f t="shared" si="0"/>
        <v>2287508</v>
      </c>
    </row>
    <row r="28" spans="1:13" ht="17.399999999999999" x14ac:dyDescent="0.3">
      <c r="B28" s="143" t="s">
        <v>376</v>
      </c>
      <c r="C28" s="454">
        <f>$C$19-$C$26-$C$27</f>
        <v>172690970</v>
      </c>
      <c r="D28" s="454">
        <f>$D$19-$D$26-$D$27</f>
        <v>1600462</v>
      </c>
      <c r="E28" s="454">
        <f>$E$19-$E$26-$E$27</f>
        <v>565388</v>
      </c>
      <c r="F28" s="454">
        <f>$F$19-$F$26-$F$27</f>
        <v>961583</v>
      </c>
      <c r="G28" s="454">
        <f>$G$19-$G$26-$G$27</f>
        <v>166184</v>
      </c>
      <c r="H28" s="454">
        <f>$H$19-$H$26-$H$27</f>
        <v>4723402</v>
      </c>
      <c r="I28" s="454">
        <f>$I$19-$I$26-$I$27</f>
        <v>519933</v>
      </c>
      <c r="J28" s="454">
        <f>$I$19-$I$26-$I$27</f>
        <v>519933</v>
      </c>
      <c r="K28" s="454">
        <f>$K$19-$K$26-$K$27</f>
        <v>1233712</v>
      </c>
      <c r="L28" s="454">
        <f t="shared" si="0"/>
        <v>182981567</v>
      </c>
    </row>
    <row r="29" spans="1:13" ht="18" x14ac:dyDescent="0.35">
      <c r="B29" s="143" t="s">
        <v>377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3" ht="18" x14ac:dyDescent="0.35">
      <c r="B30" s="143" t="s">
        <v>378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9" spans="6:6" ht="21" x14ac:dyDescent="0.4">
      <c r="F39" s="50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" max="2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FDEA-325D-4E89-BE0B-F6351B3C4E7E}">
  <dimension ref="A1:Y24"/>
  <sheetViews>
    <sheetView zoomScale="70" zoomScaleNormal="70" workbookViewId="0">
      <selection activeCell="C8" sqref="C8"/>
    </sheetView>
  </sheetViews>
  <sheetFormatPr defaultRowHeight="13.2" x14ac:dyDescent="0.25"/>
  <cols>
    <col min="1" max="1" width="30.88671875" bestFit="1" customWidth="1"/>
    <col min="2" max="2" width="20.44140625" bestFit="1" customWidth="1"/>
    <col min="3" max="3" width="18.109375" bestFit="1" customWidth="1"/>
    <col min="4" max="4" width="50.33203125" bestFit="1" customWidth="1"/>
    <col min="5" max="5" width="32.6640625" bestFit="1" customWidth="1"/>
    <col min="6" max="6" width="45.6640625" bestFit="1" customWidth="1"/>
    <col min="7" max="7" width="52.5546875" bestFit="1" customWidth="1"/>
    <col min="8" max="8" width="52.88671875" bestFit="1" customWidth="1"/>
  </cols>
  <sheetData>
    <row r="1" spans="1:25" s="459" customFormat="1" ht="21" x14ac:dyDescent="0.25">
      <c r="A1" s="544" t="s">
        <v>420</v>
      </c>
      <c r="B1" s="544"/>
      <c r="C1" s="544"/>
      <c r="D1" s="544"/>
      <c r="E1" s="544"/>
      <c r="F1" s="544"/>
      <c r="G1" s="544"/>
      <c r="H1" s="457"/>
      <c r="I1" s="457"/>
      <c r="J1" s="458"/>
      <c r="K1" s="458"/>
    </row>
    <row r="2" spans="1:25" s="461" customFormat="1" ht="21" x14ac:dyDescent="0.35">
      <c r="A2" s="460" t="s">
        <v>380</v>
      </c>
      <c r="B2" s="121"/>
      <c r="C2" s="121"/>
      <c r="D2" s="121"/>
      <c r="E2" s="121" t="s">
        <v>381</v>
      </c>
      <c r="F2" s="121"/>
      <c r="G2" s="32" t="s">
        <v>421</v>
      </c>
      <c r="H2" s="32"/>
      <c r="I2" s="121"/>
      <c r="J2" s="458"/>
      <c r="K2" s="458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</row>
    <row r="3" spans="1:25" s="461" customFormat="1" ht="21" x14ac:dyDescent="0.25">
      <c r="A3" s="545" t="s">
        <v>382</v>
      </c>
      <c r="B3" s="546" t="s">
        <v>383</v>
      </c>
      <c r="C3" s="546"/>
      <c r="D3" s="546"/>
      <c r="E3" s="546"/>
      <c r="F3" s="546"/>
      <c r="G3" s="546"/>
      <c r="H3" s="462"/>
      <c r="I3" s="462"/>
      <c r="J3" s="458"/>
      <c r="K3" s="458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</row>
    <row r="4" spans="1:25" s="461" customFormat="1" ht="21" x14ac:dyDescent="0.35">
      <c r="A4" s="545"/>
      <c r="B4" s="545"/>
      <c r="C4" s="546"/>
      <c r="D4" s="546"/>
      <c r="E4" s="546"/>
      <c r="F4" s="546"/>
      <c r="G4" s="546"/>
      <c r="H4" s="121"/>
      <c r="I4" s="121"/>
      <c r="J4" s="458"/>
      <c r="K4" s="458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</row>
    <row r="5" spans="1:25" s="459" customFormat="1" ht="21" x14ac:dyDescent="0.35">
      <c r="A5" s="545"/>
      <c r="B5" s="546"/>
      <c r="C5" s="546"/>
      <c r="D5" s="546"/>
      <c r="E5" s="546"/>
      <c r="F5" s="546"/>
      <c r="G5" s="546"/>
      <c r="H5" s="121"/>
      <c r="I5" s="121"/>
      <c r="J5" s="458"/>
      <c r="K5" s="458"/>
    </row>
    <row r="6" spans="1:25" s="459" customFormat="1" ht="21" x14ac:dyDescent="0.35">
      <c r="A6" s="545"/>
      <c r="B6" s="547" t="s">
        <v>384</v>
      </c>
      <c r="C6" s="546" t="s">
        <v>385</v>
      </c>
      <c r="D6" s="547" t="s">
        <v>386</v>
      </c>
      <c r="E6" s="548" t="s">
        <v>387</v>
      </c>
      <c r="F6" s="547" t="s">
        <v>388</v>
      </c>
      <c r="G6" s="549" t="s">
        <v>389</v>
      </c>
      <c r="H6" s="549" t="s">
        <v>383</v>
      </c>
      <c r="I6" s="121"/>
      <c r="J6" s="458"/>
      <c r="K6" s="458"/>
    </row>
    <row r="7" spans="1:25" s="459" customFormat="1" ht="21" x14ac:dyDescent="0.35">
      <c r="A7" s="545"/>
      <c r="B7" s="547"/>
      <c r="C7" s="546"/>
      <c r="D7" s="547"/>
      <c r="E7" s="548"/>
      <c r="F7" s="547"/>
      <c r="G7" s="549"/>
      <c r="H7" s="549"/>
      <c r="I7" s="121"/>
      <c r="J7" s="458"/>
      <c r="K7" s="458"/>
    </row>
    <row r="8" spans="1:25" s="459" customFormat="1" ht="21" x14ac:dyDescent="0.35">
      <c r="A8" s="545"/>
      <c r="B8" s="463">
        <f>'21. melléklet'!G7</f>
        <v>8447</v>
      </c>
      <c r="C8" s="464">
        <f>'21. melléklet'!G8</f>
        <v>8162535</v>
      </c>
      <c r="D8" s="464">
        <f>'21. melléklet'!G9</f>
        <v>39276</v>
      </c>
      <c r="E8" s="464">
        <f>'21. melléklet'!G10</f>
        <v>297676</v>
      </c>
      <c r="F8" s="464">
        <f>'21. melléklet'!G11</f>
        <v>8630</v>
      </c>
      <c r="G8" s="464">
        <f>'21. melléklet'!G12</f>
        <v>52860</v>
      </c>
      <c r="H8" s="464">
        <f>B8+C8+D8+E8+F8+G8</f>
        <v>8569424</v>
      </c>
      <c r="I8" s="460"/>
      <c r="J8" s="458"/>
      <c r="K8" s="458"/>
    </row>
    <row r="9" spans="1:25" s="459" customFormat="1" ht="21" x14ac:dyDescent="0.25">
      <c r="A9" s="545"/>
      <c r="B9" s="547" t="s">
        <v>390</v>
      </c>
      <c r="C9" s="547"/>
      <c r="D9" s="546" t="s">
        <v>391</v>
      </c>
      <c r="E9" s="546" t="s">
        <v>392</v>
      </c>
      <c r="F9" s="549" t="s">
        <v>393</v>
      </c>
      <c r="G9" s="550" t="s">
        <v>394</v>
      </c>
      <c r="H9" s="551" t="s">
        <v>395</v>
      </c>
      <c r="I9" s="462"/>
      <c r="J9" s="458"/>
      <c r="K9" s="458"/>
    </row>
    <row r="10" spans="1:25" s="459" customFormat="1" ht="21" x14ac:dyDescent="0.25">
      <c r="A10" s="545"/>
      <c r="B10" s="547"/>
      <c r="C10" s="547"/>
      <c r="D10" s="546"/>
      <c r="E10" s="546"/>
      <c r="F10" s="549"/>
      <c r="G10" s="550"/>
      <c r="H10" s="551"/>
      <c r="I10" s="462"/>
      <c r="J10" s="458"/>
      <c r="K10" s="458"/>
    </row>
    <row r="11" spans="1:25" s="459" customFormat="1" ht="21" x14ac:dyDescent="0.25">
      <c r="A11" s="545"/>
      <c r="B11" s="552" t="s">
        <v>396</v>
      </c>
      <c r="C11" s="552" t="s">
        <v>397</v>
      </c>
      <c r="D11" s="546"/>
      <c r="E11" s="546"/>
      <c r="F11" s="549"/>
      <c r="G11" s="550"/>
      <c r="H11" s="551"/>
      <c r="I11" s="462"/>
      <c r="J11" s="458"/>
      <c r="K11" s="458"/>
    </row>
    <row r="12" spans="1:25" s="459" customFormat="1" ht="21" x14ac:dyDescent="0.25">
      <c r="A12" s="545"/>
      <c r="B12" s="552"/>
      <c r="C12" s="552"/>
      <c r="D12" s="546"/>
      <c r="E12" s="546"/>
      <c r="F12" s="549"/>
      <c r="G12" s="550"/>
      <c r="H12" s="551"/>
      <c r="I12" s="462"/>
      <c r="J12" s="458"/>
      <c r="K12" s="458"/>
    </row>
    <row r="13" spans="1:25" s="459" customFormat="1" ht="21" x14ac:dyDescent="0.25">
      <c r="A13" s="545"/>
      <c r="B13" s="552"/>
      <c r="C13" s="552"/>
      <c r="D13" s="546"/>
      <c r="E13" s="546"/>
      <c r="F13" s="549"/>
      <c r="G13" s="550"/>
      <c r="H13" s="551"/>
      <c r="I13" s="462"/>
      <c r="J13" s="458"/>
      <c r="K13" s="458"/>
    </row>
    <row r="14" spans="1:25" s="459" customFormat="1" ht="21" x14ac:dyDescent="0.35">
      <c r="A14" s="545"/>
      <c r="B14" s="464">
        <f>'21. melléklet'!G14</f>
        <v>0</v>
      </c>
      <c r="C14" s="464">
        <f>'21. melléklet'!G15</f>
        <v>0</v>
      </c>
      <c r="D14" s="464">
        <f>'21. melléklet'!G16</f>
        <v>418370</v>
      </c>
      <c r="E14" s="464">
        <f>'21. melléklet'!G17</f>
        <v>303573</v>
      </c>
      <c r="F14" s="464">
        <f>'21. melléklet'!G18</f>
        <v>2360</v>
      </c>
      <c r="G14" s="464">
        <f>'21. melléklet'!G19</f>
        <v>0</v>
      </c>
      <c r="H14" s="464">
        <f>H8+B14+C14+D14+E14+F14+G14</f>
        <v>9293727</v>
      </c>
      <c r="I14" s="460"/>
      <c r="J14" s="458"/>
      <c r="K14" s="458"/>
    </row>
    <row r="15" spans="1:25" s="459" customFormat="1" ht="21" x14ac:dyDescent="0.35">
      <c r="A15" s="460"/>
      <c r="B15" s="460"/>
      <c r="C15" s="460"/>
      <c r="D15" s="460"/>
      <c r="E15" s="460"/>
      <c r="F15" s="460"/>
      <c r="G15" s="460"/>
      <c r="H15" s="460"/>
      <c r="I15" s="460"/>
      <c r="J15" s="458"/>
      <c r="K15" s="458"/>
    </row>
    <row r="16" spans="1:25" s="459" customFormat="1" ht="21" x14ac:dyDescent="0.35">
      <c r="A16" s="460" t="s">
        <v>398</v>
      </c>
      <c r="B16" s="121"/>
      <c r="C16" s="121"/>
      <c r="D16" s="121"/>
      <c r="E16" s="121"/>
      <c r="F16" s="121"/>
      <c r="G16" s="121"/>
      <c r="H16" s="121"/>
      <c r="I16" s="121"/>
      <c r="J16" s="458"/>
      <c r="K16" s="458"/>
    </row>
    <row r="17" spans="1:11" s="459" customFormat="1" ht="21" x14ac:dyDescent="0.25">
      <c r="A17" s="545" t="s">
        <v>399</v>
      </c>
      <c r="B17" s="555" t="s">
        <v>400</v>
      </c>
      <c r="C17" s="555" t="s">
        <v>401</v>
      </c>
      <c r="D17" s="556" t="s">
        <v>402</v>
      </c>
      <c r="E17" s="556" t="s">
        <v>403</v>
      </c>
      <c r="F17" s="557" t="s">
        <v>404</v>
      </c>
      <c r="G17" s="553"/>
      <c r="H17" s="553"/>
      <c r="I17" s="553"/>
      <c r="J17" s="458"/>
      <c r="K17" s="458"/>
    </row>
    <row r="18" spans="1:11" s="459" customFormat="1" ht="21" x14ac:dyDescent="0.25">
      <c r="A18" s="545"/>
      <c r="B18" s="555"/>
      <c r="C18" s="555"/>
      <c r="D18" s="556"/>
      <c r="E18" s="556"/>
      <c r="F18" s="556"/>
      <c r="G18" s="554"/>
      <c r="H18" s="554"/>
      <c r="I18" s="554"/>
      <c r="J18" s="458"/>
      <c r="K18" s="458"/>
    </row>
    <row r="19" spans="1:11" s="459" customFormat="1" ht="21" x14ac:dyDescent="0.25">
      <c r="A19" s="545"/>
      <c r="B19" s="555"/>
      <c r="C19" s="555"/>
      <c r="D19" s="556"/>
      <c r="E19" s="556"/>
      <c r="F19" s="556"/>
      <c r="G19" s="554"/>
      <c r="H19" s="554"/>
      <c r="I19" s="554"/>
      <c r="J19" s="458"/>
      <c r="K19" s="458"/>
    </row>
    <row r="20" spans="1:11" s="459" customFormat="1" ht="21" x14ac:dyDescent="0.25">
      <c r="A20" s="545"/>
      <c r="B20" s="555"/>
      <c r="C20" s="555"/>
      <c r="D20" s="556"/>
      <c r="E20" s="556"/>
      <c r="F20" s="556"/>
      <c r="G20" s="554"/>
      <c r="H20" s="554"/>
      <c r="I20" s="554"/>
      <c r="J20" s="458"/>
      <c r="K20" s="458"/>
    </row>
    <row r="21" spans="1:11" s="459" customFormat="1" ht="21" x14ac:dyDescent="0.25">
      <c r="A21" s="545"/>
      <c r="B21" s="555"/>
      <c r="C21" s="555"/>
      <c r="D21" s="556"/>
      <c r="E21" s="556"/>
      <c r="F21" s="556"/>
      <c r="G21" s="554"/>
      <c r="H21" s="554"/>
      <c r="I21" s="554"/>
      <c r="J21" s="458"/>
      <c r="K21" s="458"/>
    </row>
    <row r="22" spans="1:11" s="459" customFormat="1" ht="21" x14ac:dyDescent="0.25">
      <c r="A22" s="545"/>
      <c r="B22" s="555"/>
      <c r="C22" s="555"/>
      <c r="D22" s="556"/>
      <c r="E22" s="556"/>
      <c r="F22" s="557"/>
      <c r="G22" s="554"/>
      <c r="H22" s="554"/>
      <c r="I22" s="554"/>
      <c r="J22" s="458"/>
      <c r="K22" s="458"/>
    </row>
    <row r="23" spans="1:11" s="459" customFormat="1" ht="21" x14ac:dyDescent="0.35">
      <c r="A23" s="545"/>
      <c r="B23" s="464">
        <f>'21. melléklet'!G22</f>
        <v>9145467</v>
      </c>
      <c r="C23" s="464">
        <f>'21. melléklet'!G23</f>
        <v>100568</v>
      </c>
      <c r="D23" s="464">
        <f>'21. melléklet'!G24</f>
        <v>0</v>
      </c>
      <c r="E23" s="464">
        <f>'21. melléklet'!G25</f>
        <v>47692</v>
      </c>
      <c r="F23" s="464">
        <f>SUM(B23:E23)</f>
        <v>9293727</v>
      </c>
      <c r="G23" s="460"/>
      <c r="H23" s="460"/>
      <c r="I23" s="460"/>
      <c r="J23" s="458"/>
      <c r="K23" s="458"/>
    </row>
    <row r="24" spans="1:11" s="459" customFormat="1" ht="21" x14ac:dyDescent="0.25">
      <c r="A24" s="465"/>
      <c r="B24" s="466"/>
      <c r="C24" s="466"/>
      <c r="D24" s="466"/>
      <c r="E24" s="466"/>
      <c r="F24" s="466"/>
      <c r="G24" s="466"/>
      <c r="H24" s="466"/>
      <c r="I24" s="466"/>
      <c r="J24" s="458"/>
      <c r="K24" s="458"/>
    </row>
  </sheetData>
  <mergeCells count="28">
    <mergeCell ref="G17:I17"/>
    <mergeCell ref="G18:G22"/>
    <mergeCell ref="H18:H22"/>
    <mergeCell ref="I18:I22"/>
    <mergeCell ref="A17:A23"/>
    <mergeCell ref="B17:B22"/>
    <mergeCell ref="C17:C22"/>
    <mergeCell ref="D17:D22"/>
    <mergeCell ref="E17:E22"/>
    <mergeCell ref="F17:F22"/>
    <mergeCell ref="H6:H7"/>
    <mergeCell ref="B9:C10"/>
    <mergeCell ref="D9:D13"/>
    <mergeCell ref="E9:E13"/>
    <mergeCell ref="F9:F13"/>
    <mergeCell ref="G9:G13"/>
    <mergeCell ref="H9:H13"/>
    <mergeCell ref="B11:B13"/>
    <mergeCell ref="C11:C13"/>
    <mergeCell ref="A1:G1"/>
    <mergeCell ref="A3:A14"/>
    <mergeCell ref="B3:G5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7913-F893-41FB-B097-324F28871814}">
  <dimension ref="A1:G47"/>
  <sheetViews>
    <sheetView topLeftCell="A10" workbookViewId="0">
      <selection activeCell="A5" sqref="A5:E5"/>
    </sheetView>
  </sheetViews>
  <sheetFormatPr defaultRowHeight="18" x14ac:dyDescent="0.35"/>
  <cols>
    <col min="1" max="1" width="12.33203125" style="32" customWidth="1"/>
    <col min="2" max="2" width="10.6640625" style="32" customWidth="1"/>
    <col min="3" max="3" width="12.6640625" style="32" customWidth="1"/>
    <col min="4" max="4" width="18.6640625" style="32" customWidth="1"/>
    <col min="5" max="5" width="18" style="32" customWidth="1"/>
    <col min="6" max="6" width="26" style="143" customWidth="1"/>
    <col min="7" max="7" width="26" style="32" customWidth="1"/>
  </cols>
  <sheetData>
    <row r="1" spans="1:7" x14ac:dyDescent="0.35">
      <c r="E1" s="559" t="s">
        <v>418</v>
      </c>
      <c r="F1" s="559"/>
      <c r="G1" s="559"/>
    </row>
    <row r="2" spans="1:7" ht="17.399999999999999" x14ac:dyDescent="0.3">
      <c r="A2" s="560" t="s">
        <v>419</v>
      </c>
      <c r="B2" s="560"/>
      <c r="C2" s="560"/>
      <c r="D2" s="560"/>
      <c r="E2" s="560"/>
      <c r="F2" s="560"/>
      <c r="G2" s="560"/>
    </row>
    <row r="3" spans="1:7" x14ac:dyDescent="0.35">
      <c r="A3" s="561"/>
      <c r="B3" s="561"/>
      <c r="C3" s="561"/>
      <c r="D3" s="561"/>
      <c r="E3" s="561"/>
      <c r="F3" s="561"/>
      <c r="G3" s="561"/>
    </row>
    <row r="4" spans="1:7" x14ac:dyDescent="0.35">
      <c r="A4" s="561"/>
      <c r="B4" s="561"/>
      <c r="C4" s="561"/>
      <c r="D4" s="561"/>
      <c r="E4" s="561"/>
      <c r="F4" s="562" t="s">
        <v>445</v>
      </c>
      <c r="G4" s="562"/>
    </row>
    <row r="5" spans="1:7" ht="34.799999999999997" x14ac:dyDescent="0.25">
      <c r="A5" s="558" t="s">
        <v>405</v>
      </c>
      <c r="B5" s="558"/>
      <c r="C5" s="558"/>
      <c r="D5" s="558"/>
      <c r="E5" s="558"/>
      <c r="F5" s="34" t="s">
        <v>406</v>
      </c>
      <c r="G5" s="34" t="s">
        <v>407</v>
      </c>
    </row>
    <row r="6" spans="1:7" ht="17.399999999999999" x14ac:dyDescent="0.3">
      <c r="A6" s="564" t="s">
        <v>383</v>
      </c>
      <c r="B6" s="564"/>
      <c r="C6" s="564"/>
      <c r="D6" s="564"/>
      <c r="E6" s="564"/>
      <c r="F6" s="468">
        <f>SUM(F7:F12)</f>
        <v>8723364</v>
      </c>
      <c r="G6" s="468">
        <f>SUM(G7:G12)</f>
        <v>8569424</v>
      </c>
    </row>
    <row r="7" spans="1:7" x14ac:dyDescent="0.35">
      <c r="A7" s="563" t="s">
        <v>408</v>
      </c>
      <c r="B7" s="563"/>
      <c r="C7" s="563"/>
      <c r="D7" s="563"/>
      <c r="E7" s="563"/>
      <c r="F7" s="469">
        <v>26283</v>
      </c>
      <c r="G7" s="469">
        <v>8447</v>
      </c>
    </row>
    <row r="8" spans="1:7" x14ac:dyDescent="0.35">
      <c r="A8" s="563" t="s">
        <v>409</v>
      </c>
      <c r="B8" s="563"/>
      <c r="C8" s="563"/>
      <c r="D8" s="563"/>
      <c r="E8" s="563"/>
      <c r="F8" s="469">
        <v>8024047</v>
      </c>
      <c r="G8" s="469">
        <v>8162535</v>
      </c>
    </row>
    <row r="9" spans="1:7" x14ac:dyDescent="0.35">
      <c r="A9" s="563" t="s">
        <v>410</v>
      </c>
      <c r="B9" s="563"/>
      <c r="C9" s="563"/>
      <c r="D9" s="563"/>
      <c r="E9" s="563"/>
      <c r="F9" s="469">
        <v>58453</v>
      </c>
      <c r="G9" s="469">
        <v>39276</v>
      </c>
    </row>
    <row r="10" spans="1:7" x14ac:dyDescent="0.35">
      <c r="A10" s="563" t="s">
        <v>411</v>
      </c>
      <c r="B10" s="563"/>
      <c r="C10" s="563"/>
      <c r="D10" s="563"/>
      <c r="E10" s="563"/>
      <c r="F10" s="469">
        <v>553171</v>
      </c>
      <c r="G10" s="469">
        <v>297676</v>
      </c>
    </row>
    <row r="11" spans="1:7" x14ac:dyDescent="0.35">
      <c r="A11" s="563" t="s">
        <v>412</v>
      </c>
      <c r="B11" s="563"/>
      <c r="C11" s="563"/>
      <c r="D11" s="563"/>
      <c r="E11" s="563"/>
      <c r="F11" s="469">
        <v>8630</v>
      </c>
      <c r="G11" s="469">
        <v>8630</v>
      </c>
    </row>
    <row r="12" spans="1:7" x14ac:dyDescent="0.35">
      <c r="A12" s="563" t="s">
        <v>413</v>
      </c>
      <c r="B12" s="563"/>
      <c r="C12" s="563"/>
      <c r="D12" s="563"/>
      <c r="E12" s="563"/>
      <c r="F12" s="469">
        <v>52780</v>
      </c>
      <c r="G12" s="469">
        <v>52860</v>
      </c>
    </row>
    <row r="13" spans="1:7" ht="17.399999999999999" x14ac:dyDescent="0.3">
      <c r="A13" s="564" t="s">
        <v>414</v>
      </c>
      <c r="B13" s="564"/>
      <c r="C13" s="564"/>
      <c r="D13" s="564"/>
      <c r="E13" s="564"/>
      <c r="F13" s="468">
        <f>F14+F15+F16+F17+F18+F19</f>
        <v>474067</v>
      </c>
      <c r="G13" s="468">
        <f>G14+G15+G16+G17+G18+G19</f>
        <v>724303</v>
      </c>
    </row>
    <row r="14" spans="1:7" x14ac:dyDescent="0.35">
      <c r="A14" s="563" t="s">
        <v>415</v>
      </c>
      <c r="B14" s="563"/>
      <c r="C14" s="563"/>
      <c r="D14" s="563"/>
      <c r="E14" s="563"/>
      <c r="F14" s="469">
        <v>0</v>
      </c>
      <c r="G14" s="469">
        <v>0</v>
      </c>
    </row>
    <row r="15" spans="1:7" x14ac:dyDescent="0.35">
      <c r="A15" s="563" t="s">
        <v>416</v>
      </c>
      <c r="B15" s="563"/>
      <c r="C15" s="563"/>
      <c r="D15" s="563"/>
      <c r="E15" s="563"/>
      <c r="F15" s="469">
        <v>0</v>
      </c>
      <c r="G15" s="469">
        <v>0</v>
      </c>
    </row>
    <row r="16" spans="1:7" x14ac:dyDescent="0.35">
      <c r="A16" s="563" t="s">
        <v>391</v>
      </c>
      <c r="B16" s="563"/>
      <c r="C16" s="563"/>
      <c r="D16" s="563"/>
      <c r="E16" s="563"/>
      <c r="F16" s="469">
        <v>227243</v>
      </c>
      <c r="G16" s="469">
        <v>418370</v>
      </c>
    </row>
    <row r="17" spans="1:7" x14ac:dyDescent="0.35">
      <c r="A17" s="563" t="s">
        <v>392</v>
      </c>
      <c r="B17" s="563"/>
      <c r="C17" s="563"/>
      <c r="D17" s="563"/>
      <c r="E17" s="563"/>
      <c r="F17" s="469">
        <v>242275</v>
      </c>
      <c r="G17" s="469">
        <v>303573</v>
      </c>
    </row>
    <row r="18" spans="1:7" x14ac:dyDescent="0.35">
      <c r="A18" s="563" t="s">
        <v>393</v>
      </c>
      <c r="B18" s="563"/>
      <c r="C18" s="563"/>
      <c r="D18" s="563"/>
      <c r="E18" s="563"/>
      <c r="F18" s="470">
        <v>4549</v>
      </c>
      <c r="G18" s="470">
        <v>2360</v>
      </c>
    </row>
    <row r="19" spans="1:7" x14ac:dyDescent="0.35">
      <c r="A19" s="567" t="s">
        <v>394</v>
      </c>
      <c r="B19" s="567"/>
      <c r="C19" s="567"/>
      <c r="D19" s="567"/>
      <c r="E19" s="567"/>
      <c r="F19" s="471">
        <v>0</v>
      </c>
      <c r="G19" s="471">
        <v>0</v>
      </c>
    </row>
    <row r="20" spans="1:7" ht="17.399999999999999" x14ac:dyDescent="0.3">
      <c r="A20" s="568" t="s">
        <v>355</v>
      </c>
      <c r="B20" s="568"/>
      <c r="C20" s="568"/>
      <c r="D20" s="568"/>
      <c r="E20" s="568"/>
      <c r="F20" s="468">
        <f>F6+F13</f>
        <v>9197431</v>
      </c>
      <c r="G20" s="468">
        <f>SUM(G6,G13)</f>
        <v>9293727</v>
      </c>
    </row>
    <row r="21" spans="1:7" ht="34.799999999999997" x14ac:dyDescent="0.25">
      <c r="A21" s="569" t="s">
        <v>417</v>
      </c>
      <c r="B21" s="569"/>
      <c r="C21" s="569"/>
      <c r="D21" s="569"/>
      <c r="E21" s="569"/>
      <c r="F21" s="34" t="s">
        <v>406</v>
      </c>
      <c r="G21" s="34" t="s">
        <v>407</v>
      </c>
    </row>
    <row r="22" spans="1:7" x14ac:dyDescent="0.35">
      <c r="A22" s="563" t="s">
        <v>400</v>
      </c>
      <c r="B22" s="563"/>
      <c r="C22" s="563"/>
      <c r="D22" s="563"/>
      <c r="E22" s="563"/>
      <c r="F22" s="470">
        <v>9044958</v>
      </c>
      <c r="G22" s="470">
        <v>9145467</v>
      </c>
    </row>
    <row r="23" spans="1:7" x14ac:dyDescent="0.35">
      <c r="A23" s="565" t="s">
        <v>401</v>
      </c>
      <c r="B23" s="565"/>
      <c r="C23" s="565"/>
      <c r="D23" s="565"/>
      <c r="E23" s="565"/>
      <c r="F23" s="470">
        <v>98670</v>
      </c>
      <c r="G23" s="470">
        <v>100568</v>
      </c>
    </row>
    <row r="24" spans="1:7" x14ac:dyDescent="0.35">
      <c r="A24" s="565" t="s">
        <v>402</v>
      </c>
      <c r="B24" s="565"/>
      <c r="C24" s="565"/>
      <c r="D24" s="565"/>
      <c r="E24" s="565"/>
      <c r="F24" s="470">
        <v>0</v>
      </c>
      <c r="G24" s="470">
        <v>0</v>
      </c>
    </row>
    <row r="25" spans="1:7" x14ac:dyDescent="0.35">
      <c r="A25" s="565" t="s">
        <v>403</v>
      </c>
      <c r="B25" s="565"/>
      <c r="C25" s="565"/>
      <c r="D25" s="565"/>
      <c r="E25" s="565"/>
      <c r="F25" s="470">
        <v>53803</v>
      </c>
      <c r="G25" s="470">
        <v>47692</v>
      </c>
    </row>
    <row r="26" spans="1:7" ht="17.399999999999999" x14ac:dyDescent="0.3">
      <c r="A26" s="566" t="s">
        <v>355</v>
      </c>
      <c r="B26" s="566"/>
      <c r="C26" s="566"/>
      <c r="D26" s="566"/>
      <c r="E26" s="566"/>
      <c r="F26" s="471">
        <f>SUM(F22:F25)</f>
        <v>9197431</v>
      </c>
      <c r="G26" s="471">
        <f>SUM(G22:G25)</f>
        <v>9293727</v>
      </c>
    </row>
    <row r="27" spans="1:7" x14ac:dyDescent="0.35">
      <c r="A27" s="472"/>
      <c r="F27" s="32"/>
    </row>
    <row r="28" spans="1:7" x14ac:dyDescent="0.35">
      <c r="A28" s="472"/>
      <c r="F28" s="32"/>
    </row>
    <row r="47" spans="6:6" x14ac:dyDescent="0.35">
      <c r="F47" s="473"/>
    </row>
  </sheetData>
  <mergeCells count="27">
    <mergeCell ref="A24:E24"/>
    <mergeCell ref="A25:E25"/>
    <mergeCell ref="A26:E26"/>
    <mergeCell ref="A18:E18"/>
    <mergeCell ref="A19:E19"/>
    <mergeCell ref="A20:E20"/>
    <mergeCell ref="A21:E21"/>
    <mergeCell ref="A22:E22"/>
    <mergeCell ref="A23:E23"/>
    <mergeCell ref="A17:E17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5:E5"/>
    <mergeCell ref="E1:G1"/>
    <mergeCell ref="A2:G2"/>
    <mergeCell ref="A3:G3"/>
    <mergeCell ref="A4:E4"/>
    <mergeCell ref="F4:G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53B1-BA1E-44F2-B030-CBE42B8F5533}">
  <dimension ref="B1:I37"/>
  <sheetViews>
    <sheetView topLeftCell="B13" workbookViewId="0">
      <selection activeCell="H34" sqref="H34"/>
    </sheetView>
  </sheetViews>
  <sheetFormatPr defaultRowHeight="18" x14ac:dyDescent="0.35"/>
  <cols>
    <col min="1" max="1" width="0" hidden="1" customWidth="1"/>
    <col min="2" max="2" width="47.44140625" style="121" customWidth="1"/>
    <col min="3" max="5" width="9.6640625" style="121" customWidth="1"/>
    <col min="6" max="6" width="11.5546875" style="121" customWidth="1"/>
    <col min="7" max="7" width="13.6640625" style="121" customWidth="1"/>
    <col min="8" max="8" width="15.109375" style="121" customWidth="1"/>
    <col min="9" max="9" width="13.6640625" style="121" customWidth="1"/>
  </cols>
  <sheetData>
    <row r="1" spans="2:9" ht="17.399999999999999" x14ac:dyDescent="0.3">
      <c r="B1" s="474"/>
      <c r="C1" s="571" t="s">
        <v>436</v>
      </c>
      <c r="D1" s="571"/>
      <c r="E1" s="571"/>
      <c r="F1" s="571"/>
      <c r="G1" s="571"/>
      <c r="H1" s="571"/>
      <c r="I1" s="571"/>
    </row>
    <row r="2" spans="2:9" ht="22.8" x14ac:dyDescent="0.4">
      <c r="B2" s="475"/>
      <c r="C2" s="475"/>
      <c r="D2" s="475"/>
      <c r="E2" s="475"/>
      <c r="F2" s="475"/>
      <c r="G2" s="475"/>
      <c r="H2" s="475"/>
      <c r="I2" s="475"/>
    </row>
    <row r="3" spans="2:9" x14ac:dyDescent="0.35">
      <c r="B3" s="32"/>
      <c r="C3" s="32"/>
      <c r="D3" s="32"/>
      <c r="E3" s="32"/>
      <c r="F3" s="32"/>
      <c r="G3" s="32"/>
      <c r="H3" s="32" t="s">
        <v>214</v>
      </c>
      <c r="I3" s="32"/>
    </row>
    <row r="4" spans="2:9" x14ac:dyDescent="0.35">
      <c r="B4" s="32"/>
      <c r="C4" s="32"/>
      <c r="D4" s="32"/>
      <c r="E4" s="32"/>
      <c r="F4" s="32"/>
      <c r="G4" s="32"/>
      <c r="H4" s="32"/>
      <c r="I4" s="32"/>
    </row>
    <row r="5" spans="2:9" ht="17.399999999999999" x14ac:dyDescent="0.25">
      <c r="B5" s="420"/>
      <c r="C5" s="420"/>
      <c r="D5" s="420"/>
      <c r="E5" s="420"/>
      <c r="F5" s="420"/>
      <c r="G5" s="420" t="s">
        <v>422</v>
      </c>
      <c r="H5" s="420" t="s">
        <v>423</v>
      </c>
      <c r="I5" s="572" t="s">
        <v>424</v>
      </c>
    </row>
    <row r="6" spans="2:9" ht="17.399999999999999" x14ac:dyDescent="0.25">
      <c r="B6" s="420"/>
      <c r="C6" s="420"/>
      <c r="D6" s="420"/>
      <c r="E6" s="420"/>
      <c r="F6" s="420"/>
      <c r="G6" s="572" t="s">
        <v>425</v>
      </c>
      <c r="H6" s="572"/>
      <c r="I6" s="572"/>
    </row>
    <row r="7" spans="2:9" x14ac:dyDescent="0.35">
      <c r="B7" s="570" t="str">
        <f>'[1]1_sz_melléklet'!B51</f>
        <v>Személyi  juttatások</v>
      </c>
      <c r="C7" s="570"/>
      <c r="D7" s="570"/>
      <c r="E7" s="570"/>
      <c r="F7" s="570"/>
      <c r="G7" s="159">
        <f>'1.melléklet'!C51</f>
        <v>582135</v>
      </c>
      <c r="H7" s="159">
        <f>'1.melléklet'!F51</f>
        <v>599460</v>
      </c>
      <c r="I7" s="159">
        <f>'1.melléklet'!G51</f>
        <v>545786</v>
      </c>
    </row>
    <row r="8" spans="2:9" x14ac:dyDescent="0.35">
      <c r="B8" s="570" t="s">
        <v>426</v>
      </c>
      <c r="C8" s="570"/>
      <c r="D8" s="570"/>
      <c r="E8" s="570"/>
      <c r="F8" s="570"/>
      <c r="G8" s="159">
        <f>'1.melléklet'!C52</f>
        <v>104663</v>
      </c>
      <c r="H8" s="159">
        <f>'1.melléklet'!F52</f>
        <v>101980</v>
      </c>
      <c r="I8" s="159">
        <f>'1.melléklet'!G52</f>
        <v>94100</v>
      </c>
    </row>
    <row r="9" spans="2:9" x14ac:dyDescent="0.35">
      <c r="B9" s="570" t="s">
        <v>427</v>
      </c>
      <c r="C9" s="570"/>
      <c r="D9" s="570"/>
      <c r="E9" s="570"/>
      <c r="F9" s="570"/>
      <c r="G9" s="159">
        <f>'1.melléklet'!C53</f>
        <v>447315</v>
      </c>
      <c r="H9" s="159">
        <f>'1.melléklet'!F53</f>
        <v>478259</v>
      </c>
      <c r="I9" s="159">
        <f>'1.melléklet'!G53</f>
        <v>380983</v>
      </c>
    </row>
    <row r="10" spans="2:9" x14ac:dyDescent="0.35">
      <c r="B10" s="570" t="s">
        <v>114</v>
      </c>
      <c r="C10" s="570"/>
      <c r="D10" s="570"/>
      <c r="E10" s="570"/>
      <c r="F10" s="570"/>
      <c r="G10" s="159">
        <f>'1.melléklet'!C56</f>
        <v>28020</v>
      </c>
      <c r="H10" s="159">
        <f>'1.melléklet'!F56</f>
        <v>17653</v>
      </c>
      <c r="I10" s="159">
        <f>'1.melléklet'!G56</f>
        <v>8206</v>
      </c>
    </row>
    <row r="11" spans="2:9" x14ac:dyDescent="0.35">
      <c r="B11" s="570" t="s">
        <v>115</v>
      </c>
      <c r="C11" s="570"/>
      <c r="D11" s="570"/>
      <c r="E11" s="570"/>
      <c r="F11" s="570"/>
      <c r="G11" s="159">
        <f>'1.melléklet'!C57</f>
        <v>47720</v>
      </c>
      <c r="H11" s="159">
        <f>'1.melléklet'!F57</f>
        <v>49915</v>
      </c>
      <c r="I11" s="159">
        <f>'1.melléklet'!G57</f>
        <v>8354</v>
      </c>
    </row>
    <row r="12" spans="2:9" x14ac:dyDescent="0.35">
      <c r="B12" s="573" t="s">
        <v>428</v>
      </c>
      <c r="C12" s="573"/>
      <c r="D12" s="573"/>
      <c r="E12" s="573"/>
      <c r="F12" s="573"/>
      <c r="G12" s="159">
        <f>'1.melléklet'!C63</f>
        <v>318694</v>
      </c>
      <c r="H12" s="159">
        <f>'1.melléklet'!F63</f>
        <v>295485</v>
      </c>
      <c r="I12" s="159">
        <f>'1.melléklet'!G63</f>
        <v>45987</v>
      </c>
    </row>
    <row r="13" spans="2:9" x14ac:dyDescent="0.35">
      <c r="B13" s="573" t="s">
        <v>429</v>
      </c>
      <c r="C13" s="573"/>
      <c r="D13" s="573"/>
      <c r="E13" s="573"/>
      <c r="F13" s="573"/>
      <c r="G13" s="159">
        <f>'1.melléklet'!C66</f>
        <v>846</v>
      </c>
      <c r="H13" s="159">
        <f>'1.melléklet'!F66</f>
        <v>23017</v>
      </c>
      <c r="I13" s="159">
        <f>'1.melléklet'!G66</f>
        <v>19953</v>
      </c>
    </row>
    <row r="14" spans="2:9" x14ac:dyDescent="0.35">
      <c r="B14" s="574" t="s">
        <v>148</v>
      </c>
      <c r="C14" s="574"/>
      <c r="D14" s="574"/>
      <c r="E14" s="574"/>
      <c r="F14" s="574"/>
      <c r="G14" s="159">
        <f>'1.melléklet'!C67</f>
        <v>0</v>
      </c>
      <c r="H14" s="159">
        <f>'1.melléklet'!F67</f>
        <v>0</v>
      </c>
      <c r="I14" s="159">
        <f>'1.melléklet'!G67</f>
        <v>0</v>
      </c>
    </row>
    <row r="15" spans="2:9" x14ac:dyDescent="0.35">
      <c r="B15" s="574" t="s">
        <v>10</v>
      </c>
      <c r="C15" s="574"/>
      <c r="D15" s="574"/>
      <c r="E15" s="574"/>
      <c r="F15" s="574"/>
      <c r="G15" s="159">
        <f>'1.melléklet'!C70</f>
        <v>30000</v>
      </c>
      <c r="H15" s="159">
        <f>'1.melléklet'!F70</f>
        <v>418</v>
      </c>
      <c r="I15" s="159">
        <f>'1.melléklet'!G70</f>
        <v>0</v>
      </c>
    </row>
    <row r="16" spans="2:9" x14ac:dyDescent="0.35">
      <c r="B16" s="574" t="s">
        <v>430</v>
      </c>
      <c r="C16" s="574"/>
      <c r="D16" s="574"/>
      <c r="E16" s="574"/>
      <c r="F16" s="574"/>
      <c r="G16" s="159">
        <f>'1.melléklet'!C74</f>
        <v>703913</v>
      </c>
      <c r="H16" s="159">
        <f>'1.melléklet'!F74</f>
        <v>783196</v>
      </c>
      <c r="I16" s="159">
        <f>'1.melléklet'!G74</f>
        <v>707809</v>
      </c>
    </row>
    <row r="17" spans="2:9" ht="17.399999999999999" x14ac:dyDescent="0.3">
      <c r="B17" s="576" t="s">
        <v>431</v>
      </c>
      <c r="C17" s="576"/>
      <c r="D17" s="576"/>
      <c r="E17" s="576"/>
      <c r="F17" s="576"/>
      <c r="G17" s="477">
        <f>SUM(G7:G16)</f>
        <v>2263306</v>
      </c>
      <c r="H17" s="477">
        <f>SUM(H7:H16)</f>
        <v>2349383</v>
      </c>
      <c r="I17" s="477">
        <f>SUM(I7:I16)</f>
        <v>1811178</v>
      </c>
    </row>
    <row r="18" spans="2:9" x14ac:dyDescent="0.35">
      <c r="B18" s="478"/>
      <c r="C18" s="478"/>
      <c r="D18" s="478"/>
      <c r="E18" s="478"/>
      <c r="F18" s="478"/>
      <c r="G18" s="479"/>
      <c r="H18" s="479"/>
      <c r="I18" s="479"/>
    </row>
    <row r="19" spans="2:9" x14ac:dyDescent="0.35">
      <c r="B19" s="32"/>
      <c r="C19" s="32"/>
      <c r="D19" s="32"/>
      <c r="E19" s="32"/>
      <c r="F19" s="32"/>
      <c r="G19" s="395"/>
      <c r="H19" s="395"/>
      <c r="I19" s="395"/>
    </row>
    <row r="20" spans="2:9" x14ac:dyDescent="0.35">
      <c r="B20" s="575" t="s">
        <v>57</v>
      </c>
      <c r="C20" s="575"/>
      <c r="D20" s="575"/>
      <c r="E20" s="575"/>
      <c r="F20" s="575"/>
      <c r="G20" s="159">
        <f>'1.melléklet'!C6</f>
        <v>632038</v>
      </c>
      <c r="H20" s="159">
        <f>'1.melléklet'!F6</f>
        <v>664040</v>
      </c>
      <c r="I20" s="159">
        <f>'1.melléklet'!G6</f>
        <v>664040</v>
      </c>
    </row>
    <row r="21" spans="2:9" x14ac:dyDescent="0.35">
      <c r="B21" s="575" t="s">
        <v>65</v>
      </c>
      <c r="C21" s="575"/>
      <c r="D21" s="575"/>
      <c r="E21" s="575"/>
      <c r="F21" s="575"/>
      <c r="G21" s="159">
        <f>'1.melléklet'!C13</f>
        <v>55450</v>
      </c>
      <c r="H21" s="159">
        <f>'1.melléklet'!F13</f>
        <v>78051</v>
      </c>
      <c r="I21" s="159">
        <f>'1.melléklet'!G13</f>
        <v>77448</v>
      </c>
    </row>
    <row r="22" spans="2:9" x14ac:dyDescent="0.35">
      <c r="B22" s="575" t="s">
        <v>71</v>
      </c>
      <c r="C22" s="575"/>
      <c r="D22" s="575"/>
      <c r="E22" s="575"/>
      <c r="F22" s="575"/>
      <c r="G22" s="159">
        <f>'1.melléklet'!C18</f>
        <v>0</v>
      </c>
      <c r="H22" s="159">
        <f>'1.melléklet'!F18</f>
        <v>2433</v>
      </c>
      <c r="I22" s="159">
        <f>'1.melléklet'!E18</f>
        <v>2433</v>
      </c>
    </row>
    <row r="23" spans="2:9" x14ac:dyDescent="0.35">
      <c r="B23" s="575" t="s">
        <v>74</v>
      </c>
      <c r="C23" s="575"/>
      <c r="D23" s="575"/>
      <c r="E23" s="575"/>
      <c r="F23" s="575"/>
      <c r="G23" s="159">
        <f>'1.melléklet'!C20</f>
        <v>354300</v>
      </c>
      <c r="H23" s="159">
        <f>'1.melléklet'!F20</f>
        <v>325220</v>
      </c>
      <c r="I23" s="159">
        <f>'1.melléklet'!G20</f>
        <v>368443</v>
      </c>
    </row>
    <row r="24" spans="2:9" x14ac:dyDescent="0.35">
      <c r="B24" s="575" t="s">
        <v>80</v>
      </c>
      <c r="C24" s="575"/>
      <c r="D24" s="575"/>
      <c r="E24" s="575"/>
      <c r="F24" s="575"/>
      <c r="G24" s="159">
        <f>'1.melléklet'!C25</f>
        <v>113342</v>
      </c>
      <c r="H24" s="159">
        <f>'1.melléklet'!F25</f>
        <v>105248</v>
      </c>
      <c r="I24" s="159">
        <f>'1.melléklet'!G25</f>
        <v>87330</v>
      </c>
    </row>
    <row r="25" spans="2:9" x14ac:dyDescent="0.35">
      <c r="B25" s="575" t="s">
        <v>87</v>
      </c>
      <c r="C25" s="575"/>
      <c r="D25" s="575"/>
      <c r="E25" s="575"/>
      <c r="F25" s="575"/>
      <c r="G25" s="159">
        <f>'1.melléklet'!C31</f>
        <v>0</v>
      </c>
      <c r="H25" s="159">
        <f>'1.melléklet'!F31</f>
        <v>2946</v>
      </c>
      <c r="I25" s="159">
        <f>'1.melléklet'!G31</f>
        <v>2400</v>
      </c>
    </row>
    <row r="26" spans="2:9" x14ac:dyDescent="0.35">
      <c r="B26" s="575" t="s">
        <v>90</v>
      </c>
      <c r="C26" s="575"/>
      <c r="D26" s="575"/>
      <c r="E26" s="575"/>
      <c r="F26" s="575"/>
      <c r="G26" s="159">
        <f>'1.melléklet'!C34</f>
        <v>0</v>
      </c>
      <c r="H26" s="159">
        <f>'1.melléklet'!F34</f>
        <v>5837</v>
      </c>
      <c r="I26" s="159">
        <f>'1.melléklet'!G34</f>
        <v>5809</v>
      </c>
    </row>
    <row r="27" spans="2:9" x14ac:dyDescent="0.35">
      <c r="B27" s="575" t="s">
        <v>93</v>
      </c>
      <c r="C27" s="575"/>
      <c r="D27" s="575"/>
      <c r="E27" s="575"/>
      <c r="F27" s="575"/>
      <c r="G27" s="159">
        <f>'1.melléklet'!C36</f>
        <v>145522</v>
      </c>
      <c r="H27" s="159">
        <f>'1.melléklet'!F36</f>
        <v>147550</v>
      </c>
      <c r="I27" s="159">
        <f>'1.melléklet'!G36</f>
        <v>71059</v>
      </c>
    </row>
    <row r="28" spans="2:9" x14ac:dyDescent="0.35">
      <c r="B28" s="575" t="s">
        <v>432</v>
      </c>
      <c r="C28" s="575"/>
      <c r="D28" s="575"/>
      <c r="E28" s="575"/>
      <c r="F28" s="575"/>
      <c r="G28" s="159">
        <f>'1.melléklet'!C40-G29</f>
        <v>24243</v>
      </c>
      <c r="H28" s="159">
        <f>'1.melléklet'!F40-H29</f>
        <v>27793</v>
      </c>
      <c r="I28" s="159">
        <f>'1.melléklet'!G40-I29</f>
        <v>27792</v>
      </c>
    </row>
    <row r="29" spans="2:9" x14ac:dyDescent="0.35">
      <c r="B29" s="575" t="s">
        <v>433</v>
      </c>
      <c r="C29" s="575"/>
      <c r="D29" s="575"/>
      <c r="E29" s="575"/>
      <c r="F29" s="575"/>
      <c r="G29" s="159">
        <v>52781</v>
      </c>
      <c r="H29" s="159">
        <v>115561</v>
      </c>
      <c r="I29" s="159">
        <v>62781</v>
      </c>
    </row>
    <row r="30" spans="2:9" x14ac:dyDescent="0.35">
      <c r="B30" s="575" t="s">
        <v>100</v>
      </c>
      <c r="C30" s="575"/>
      <c r="D30" s="575"/>
      <c r="E30" s="575"/>
      <c r="F30" s="575"/>
      <c r="G30" s="159">
        <f>'1.melléklet'!C41</f>
        <v>58942</v>
      </c>
      <c r="H30" s="159">
        <f>'1.melléklet'!F41</f>
        <v>62076</v>
      </c>
      <c r="I30" s="159">
        <f>'1.melléklet'!G41</f>
        <v>62076</v>
      </c>
    </row>
    <row r="31" spans="2:9" x14ac:dyDescent="0.35">
      <c r="B31" s="575" t="s">
        <v>102</v>
      </c>
      <c r="C31" s="575"/>
      <c r="D31" s="575"/>
      <c r="E31" s="575"/>
      <c r="F31" s="575"/>
      <c r="G31" s="159">
        <f>'1.melléklet'!C42</f>
        <v>148107</v>
      </c>
      <c r="H31" s="159">
        <f>'1.melléklet'!F42</f>
        <v>107624</v>
      </c>
      <c r="I31" s="159">
        <f>'1.melléklet'!G42</f>
        <v>107623</v>
      </c>
    </row>
    <row r="32" spans="2:9" x14ac:dyDescent="0.35">
      <c r="B32" s="575" t="s">
        <v>434</v>
      </c>
      <c r="C32" s="575"/>
      <c r="D32" s="575"/>
      <c r="E32" s="575"/>
      <c r="F32" s="575"/>
      <c r="G32" s="159">
        <f>'1.melléklet'!C45</f>
        <v>678581</v>
      </c>
      <c r="H32" s="159">
        <f>'1.melléklet'!F45</f>
        <v>705004</v>
      </c>
      <c r="I32" s="159">
        <f>'1.melléklet'!G45</f>
        <v>629850</v>
      </c>
    </row>
    <row r="33" spans="2:9" x14ac:dyDescent="0.35">
      <c r="B33" s="480" t="s">
        <v>435</v>
      </c>
      <c r="C33" s="481"/>
      <c r="D33" s="481"/>
      <c r="E33" s="481"/>
      <c r="F33" s="482"/>
      <c r="G33" s="477">
        <f>SUM(G20:G32)</f>
        <v>2263306</v>
      </c>
      <c r="H33" s="477">
        <f>SUM(H20:H32)</f>
        <v>2349383</v>
      </c>
      <c r="I33" s="477">
        <f>SUM(I20:I32)</f>
        <v>2169084</v>
      </c>
    </row>
    <row r="34" spans="2:9" ht="17.399999999999999" x14ac:dyDescent="0.3">
      <c r="B34" s="577"/>
      <c r="C34" s="577"/>
      <c r="D34" s="577"/>
      <c r="E34" s="577"/>
      <c r="F34" s="577"/>
      <c r="G34" s="454">
        <f>G17-G33</f>
        <v>0</v>
      </c>
      <c r="H34" s="454">
        <f>H17-H33</f>
        <v>0</v>
      </c>
      <c r="I34" s="454">
        <f>I17-I33</f>
        <v>-357906</v>
      </c>
    </row>
    <row r="35" spans="2:9" x14ac:dyDescent="0.35">
      <c r="B35" s="32"/>
      <c r="C35" s="32"/>
      <c r="D35" s="32"/>
      <c r="E35" s="32"/>
      <c r="F35" s="32"/>
      <c r="G35" s="32"/>
      <c r="H35" s="32"/>
      <c r="I35" s="32"/>
    </row>
    <row r="36" spans="2:9" x14ac:dyDescent="0.35">
      <c r="B36" s="561"/>
      <c r="C36" s="561"/>
      <c r="D36" s="561"/>
      <c r="E36" s="561"/>
      <c r="F36" s="561"/>
      <c r="G36" s="32"/>
      <c r="H36" s="32"/>
      <c r="I36" s="32"/>
    </row>
    <row r="37" spans="2:9" x14ac:dyDescent="0.35">
      <c r="B37" s="561"/>
      <c r="C37" s="561"/>
      <c r="D37" s="561"/>
      <c r="E37" s="561"/>
      <c r="F37" s="561"/>
      <c r="G37" s="32"/>
      <c r="H37" s="32"/>
      <c r="I37" s="32"/>
    </row>
  </sheetData>
  <mergeCells count="30">
    <mergeCell ref="B37:F37"/>
    <mergeCell ref="B29:F29"/>
    <mergeCell ref="B30:F30"/>
    <mergeCell ref="B31:F31"/>
    <mergeCell ref="B32:F32"/>
    <mergeCell ref="B34:F34"/>
    <mergeCell ref="B36:F36"/>
    <mergeCell ref="B28:F28"/>
    <mergeCell ref="B15:F15"/>
    <mergeCell ref="B16:F16"/>
    <mergeCell ref="B17:F17"/>
    <mergeCell ref="B20:F20"/>
    <mergeCell ref="B21:F21"/>
    <mergeCell ref="B22:F22"/>
    <mergeCell ref="B23:F23"/>
    <mergeCell ref="B24:F24"/>
    <mergeCell ref="B25:F25"/>
    <mergeCell ref="B26:F26"/>
    <mergeCell ref="B27:F27"/>
    <mergeCell ref="B10:F10"/>
    <mergeCell ref="B11:F11"/>
    <mergeCell ref="B12:F12"/>
    <mergeCell ref="B13:F13"/>
    <mergeCell ref="B14:F14"/>
    <mergeCell ref="B9:F9"/>
    <mergeCell ref="C1:I1"/>
    <mergeCell ref="I5:I6"/>
    <mergeCell ref="G6:H6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0988-5A63-4583-9375-FEA42CD1D128}">
  <sheetPr>
    <pageSetUpPr fitToPage="1"/>
  </sheetPr>
  <dimension ref="A1:E14"/>
  <sheetViews>
    <sheetView zoomScale="80" zoomScaleNormal="80" workbookViewId="0">
      <selection activeCell="C14" sqref="C14"/>
    </sheetView>
  </sheetViews>
  <sheetFormatPr defaultRowHeight="13.2" x14ac:dyDescent="0.25"/>
  <cols>
    <col min="1" max="1" width="104.6640625" customWidth="1"/>
    <col min="2" max="2" width="22.33203125" customWidth="1"/>
    <col min="3" max="3" width="21.6640625" customWidth="1"/>
    <col min="4" max="4" width="31.6640625" customWidth="1"/>
  </cols>
  <sheetData>
    <row r="1" spans="1:5" ht="17.399999999999999" x14ac:dyDescent="0.3">
      <c r="A1" s="143" t="s">
        <v>437</v>
      </c>
      <c r="B1" s="143"/>
      <c r="C1" s="143" t="s">
        <v>442</v>
      </c>
      <c r="E1" s="144"/>
    </row>
    <row r="2" spans="1:5" ht="18" x14ac:dyDescent="0.35">
      <c r="A2" s="32"/>
      <c r="B2" s="32" t="s">
        <v>46</v>
      </c>
      <c r="C2" s="32"/>
      <c r="D2" s="32"/>
      <c r="E2" s="144"/>
    </row>
    <row r="3" spans="1:5" ht="18" x14ac:dyDescent="0.35">
      <c r="A3" s="32"/>
      <c r="B3" s="32"/>
      <c r="C3" s="32"/>
      <c r="D3" s="32"/>
      <c r="E3" s="144"/>
    </row>
    <row r="4" spans="1:5" ht="18" x14ac:dyDescent="0.35">
      <c r="A4" s="420" t="s">
        <v>438</v>
      </c>
      <c r="B4" s="420" t="s">
        <v>439</v>
      </c>
      <c r="C4" s="420" t="s">
        <v>440</v>
      </c>
      <c r="D4" s="32"/>
      <c r="E4" s="144"/>
    </row>
    <row r="5" spans="1:5" ht="18" x14ac:dyDescent="0.35">
      <c r="A5" s="2" t="s">
        <v>232</v>
      </c>
      <c r="B5" s="483">
        <v>221113</v>
      </c>
      <c r="C5" s="483">
        <v>408842</v>
      </c>
      <c r="D5" s="1"/>
    </row>
    <row r="6" spans="1:5" ht="18" x14ac:dyDescent="0.35">
      <c r="A6" s="2" t="s">
        <v>443</v>
      </c>
      <c r="B6" s="483">
        <v>1982</v>
      </c>
      <c r="C6" s="483">
        <v>4772</v>
      </c>
      <c r="D6" s="1"/>
    </row>
    <row r="7" spans="1:5" ht="18" x14ac:dyDescent="0.35">
      <c r="A7" s="2" t="s">
        <v>281</v>
      </c>
      <c r="B7" s="483">
        <v>2062</v>
      </c>
      <c r="C7" s="483">
        <v>1072</v>
      </c>
      <c r="D7" s="1"/>
    </row>
    <row r="8" spans="1:5" ht="18" x14ac:dyDescent="0.35">
      <c r="A8" s="2" t="s">
        <v>42</v>
      </c>
      <c r="B8" s="483">
        <v>568</v>
      </c>
      <c r="C8" s="483">
        <v>193</v>
      </c>
      <c r="D8" s="1"/>
    </row>
    <row r="9" spans="1:5" ht="18" x14ac:dyDescent="0.35">
      <c r="A9" s="2" t="s">
        <v>279</v>
      </c>
      <c r="B9" s="483">
        <v>17</v>
      </c>
      <c r="C9" s="483">
        <v>565</v>
      </c>
      <c r="D9" s="1"/>
    </row>
    <row r="10" spans="1:5" ht="18" x14ac:dyDescent="0.35">
      <c r="A10" s="2" t="s">
        <v>353</v>
      </c>
      <c r="B10" s="483">
        <v>263</v>
      </c>
      <c r="C10" s="483">
        <v>660</v>
      </c>
      <c r="D10" s="1"/>
    </row>
    <row r="11" spans="1:5" ht="18" x14ac:dyDescent="0.35">
      <c r="A11" s="2" t="s">
        <v>441</v>
      </c>
      <c r="B11" s="483">
        <v>918</v>
      </c>
      <c r="C11" s="483">
        <v>1272</v>
      </c>
      <c r="D11" s="1"/>
    </row>
    <row r="12" spans="1:5" ht="18" x14ac:dyDescent="0.35">
      <c r="A12" s="476" t="s">
        <v>379</v>
      </c>
      <c r="B12" s="483">
        <v>0</v>
      </c>
      <c r="C12" s="483">
        <v>638</v>
      </c>
      <c r="D12" s="1"/>
    </row>
    <row r="13" spans="1:5" ht="18" x14ac:dyDescent="0.35">
      <c r="A13" s="2" t="s">
        <v>40</v>
      </c>
      <c r="B13" s="483">
        <v>319</v>
      </c>
      <c r="C13" s="483">
        <v>356</v>
      </c>
      <c r="D13" s="1"/>
    </row>
    <row r="14" spans="1:5" ht="17.399999999999999" x14ac:dyDescent="0.3">
      <c r="A14" s="35" t="s">
        <v>355</v>
      </c>
      <c r="B14" s="484">
        <f>SUM(B5:B13)</f>
        <v>227242</v>
      </c>
      <c r="C14" s="484">
        <f>SUM(C5:C13)</f>
        <v>418370</v>
      </c>
      <c r="D14" s="1"/>
    </row>
  </sheetData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O88"/>
  <sheetViews>
    <sheetView topLeftCell="B1" zoomScale="65" zoomScaleNormal="65" zoomScaleSheetLayoutView="40" workbookViewId="0">
      <selection activeCell="H51" sqref="H51"/>
    </sheetView>
  </sheetViews>
  <sheetFormatPr defaultColWidth="9" defaultRowHeight="21" x14ac:dyDescent="0.4"/>
  <cols>
    <col min="1" max="1" width="13.6640625" style="45" customWidth="1"/>
    <col min="2" max="2" width="124.6640625" style="45" customWidth="1"/>
    <col min="3" max="3" width="23" style="46" customWidth="1"/>
    <col min="4" max="4" width="21.109375" style="45" customWidth="1"/>
    <col min="5" max="5" width="21.6640625" style="45" customWidth="1"/>
    <col min="6" max="6" width="18.33203125" style="45" customWidth="1"/>
    <col min="7" max="7" width="21.5546875" style="45" customWidth="1"/>
    <col min="8" max="8" width="26.109375" style="45" customWidth="1"/>
    <col min="9" max="9" width="13.44140625" style="45" customWidth="1"/>
    <col min="10" max="10" width="14.109375" style="45" customWidth="1"/>
    <col min="11" max="11" width="23" style="45" customWidth="1"/>
    <col min="12" max="28" width="9" style="45"/>
    <col min="29" max="16384" width="9" style="47"/>
  </cols>
  <sheetData>
    <row r="1" spans="1:249" s="51" customFormat="1" ht="21" customHeight="1" x14ac:dyDescent="0.4">
      <c r="A1" s="48"/>
      <c r="B1" s="520" t="s">
        <v>44</v>
      </c>
      <c r="C1" s="520"/>
      <c r="D1" s="48"/>
      <c r="E1" s="48"/>
      <c r="F1" s="48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49" s="51" customFormat="1" ht="21" customHeight="1" x14ac:dyDescent="0.4">
      <c r="A2" s="49"/>
      <c r="B2" s="520" t="s">
        <v>45</v>
      </c>
      <c r="C2" s="520"/>
      <c r="D2" s="52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49" s="51" customFormat="1" x14ac:dyDescent="0.4">
      <c r="A3" s="50"/>
      <c r="B3" s="50"/>
      <c r="C3" s="53" t="s">
        <v>46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49" s="51" customFormat="1" ht="39" customHeight="1" x14ac:dyDescent="0.4">
      <c r="A4" s="54" t="s">
        <v>47</v>
      </c>
      <c r="B4" s="54" t="s">
        <v>48</v>
      </c>
      <c r="C4" s="521" t="s">
        <v>49</v>
      </c>
      <c r="D4" s="522" t="s">
        <v>50</v>
      </c>
      <c r="E4" s="522"/>
      <c r="F4" s="522"/>
      <c r="G4" s="522"/>
      <c r="H4" s="52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IO4" s="47"/>
    </row>
    <row r="5" spans="1:249" s="51" customFormat="1" ht="79.2" customHeight="1" x14ac:dyDescent="0.4">
      <c r="A5" s="55"/>
      <c r="B5" s="56" t="s">
        <v>51</v>
      </c>
      <c r="C5" s="521"/>
      <c r="D5" s="57" t="s">
        <v>52</v>
      </c>
      <c r="E5" s="57" t="s">
        <v>53</v>
      </c>
      <c r="F5" s="57" t="s">
        <v>54</v>
      </c>
      <c r="G5" s="58" t="s">
        <v>323</v>
      </c>
      <c r="H5" s="58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IO5" s="47"/>
    </row>
    <row r="6" spans="1:249" s="51" customFormat="1" x14ac:dyDescent="0.4">
      <c r="A6" s="59" t="s">
        <v>56</v>
      </c>
      <c r="B6" s="60" t="s">
        <v>57</v>
      </c>
      <c r="C6" s="61">
        <v>632038</v>
      </c>
      <c r="D6" s="61">
        <f>D7+D8+D9+D10+D11+D12</f>
        <v>660078</v>
      </c>
      <c r="E6" s="61">
        <f>E7+E8+E9+E10+E11+E12</f>
        <v>3962</v>
      </c>
      <c r="F6" s="61">
        <f t="shared" ref="F6:F12" si="0">+D6+E6</f>
        <v>664040</v>
      </c>
      <c r="G6" s="61">
        <f>G7+G8+G9+G10+G11+G12</f>
        <v>664040</v>
      </c>
      <c r="H6" s="62">
        <f>G6/F6</f>
        <v>1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IO6" s="47"/>
    </row>
    <row r="7" spans="1:249" s="51" customFormat="1" x14ac:dyDescent="0.4">
      <c r="A7" s="63"/>
      <c r="B7" s="64" t="s">
        <v>58</v>
      </c>
      <c r="C7" s="65">
        <v>242818</v>
      </c>
      <c r="D7" s="65">
        <f>'8. melléklet Önkormányzat'!D10</f>
        <v>244371</v>
      </c>
      <c r="E7" s="65">
        <f>'8. melléklet Önkormányzat'!E10</f>
        <v>219</v>
      </c>
      <c r="F7" s="65">
        <f t="shared" si="0"/>
        <v>244590</v>
      </c>
      <c r="G7" s="65">
        <f>'8. melléklet Önkormányzat'!G10</f>
        <v>244590</v>
      </c>
      <c r="H7" s="66">
        <f>G7/F7</f>
        <v>1</v>
      </c>
      <c r="I7" s="84">
        <f>G7-F7</f>
        <v>0</v>
      </c>
      <c r="J7" s="84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IO7" s="47"/>
    </row>
    <row r="8" spans="1:249" s="51" customFormat="1" x14ac:dyDescent="0.4">
      <c r="A8" s="67"/>
      <c r="B8" s="64" t="s">
        <v>59</v>
      </c>
      <c r="C8" s="65">
        <v>200916</v>
      </c>
      <c r="D8" s="65">
        <f>'8. melléklet Önkormányzat'!D11</f>
        <v>220981</v>
      </c>
      <c r="E8" s="65">
        <f>'8. melléklet Önkormányzat'!E11</f>
        <v>0</v>
      </c>
      <c r="F8" s="65">
        <f t="shared" si="0"/>
        <v>220981</v>
      </c>
      <c r="G8" s="65">
        <f>'8. melléklet Önkormányzat'!G11</f>
        <v>220981</v>
      </c>
      <c r="H8" s="66">
        <f>G8/F8</f>
        <v>1</v>
      </c>
      <c r="I8" s="50"/>
      <c r="J8" s="84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IO8" s="47"/>
    </row>
    <row r="9" spans="1:249" s="51" customFormat="1" x14ac:dyDescent="0.4">
      <c r="A9" s="67"/>
      <c r="B9" s="64" t="s">
        <v>60</v>
      </c>
      <c r="C9" s="65">
        <v>173806</v>
      </c>
      <c r="D9" s="65">
        <f>'8. melléklet Önkormányzat'!D12</f>
        <v>172499</v>
      </c>
      <c r="E9" s="65">
        <f>'8. melléklet Önkormányzat'!E12</f>
        <v>3207</v>
      </c>
      <c r="F9" s="65">
        <f t="shared" si="0"/>
        <v>175706</v>
      </c>
      <c r="G9" s="65">
        <f>'8. melléklet Önkormányzat'!G12</f>
        <v>175706</v>
      </c>
      <c r="H9" s="66">
        <f>G9/F9</f>
        <v>1</v>
      </c>
      <c r="I9" s="50"/>
      <c r="J9" s="84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IO9" s="47"/>
    </row>
    <row r="10" spans="1:249" s="51" customFormat="1" x14ac:dyDescent="0.4">
      <c r="A10" s="67"/>
      <c r="B10" s="64" t="s">
        <v>61</v>
      </c>
      <c r="C10" s="65">
        <v>14498</v>
      </c>
      <c r="D10" s="65">
        <f>'8. melléklet Önkormányzat'!D13</f>
        <v>22227</v>
      </c>
      <c r="E10" s="65">
        <f>'8. melléklet Önkormányzat'!E13</f>
        <v>424</v>
      </c>
      <c r="F10" s="65">
        <f t="shared" si="0"/>
        <v>22651</v>
      </c>
      <c r="G10" s="65">
        <f>'8. melléklet Önkormányzat'!G13</f>
        <v>22651</v>
      </c>
      <c r="H10" s="66">
        <f>G10/F10</f>
        <v>1</v>
      </c>
      <c r="I10" s="50"/>
      <c r="J10" s="84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IO10" s="47"/>
    </row>
    <row r="11" spans="1:249" s="51" customFormat="1" x14ac:dyDescent="0.4">
      <c r="A11" s="67"/>
      <c r="B11" s="64" t="s">
        <v>62</v>
      </c>
      <c r="C11" s="65">
        <v>0</v>
      </c>
      <c r="D11" s="65">
        <f>'8. melléklet Önkormányzat'!D14</f>
        <v>0</v>
      </c>
      <c r="E11" s="65"/>
      <c r="F11" s="65">
        <f t="shared" si="0"/>
        <v>0</v>
      </c>
      <c r="G11" s="65">
        <f>'8. melléklet Önkormányzat'!G14</f>
        <v>0</v>
      </c>
      <c r="H11" s="68"/>
      <c r="I11" s="50"/>
      <c r="J11" s="84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IO11" s="47"/>
    </row>
    <row r="12" spans="1:249" s="51" customFormat="1" x14ac:dyDescent="0.4">
      <c r="A12" s="67"/>
      <c r="B12" s="64" t="s">
        <v>63</v>
      </c>
      <c r="C12" s="65">
        <v>0</v>
      </c>
      <c r="D12" s="65">
        <f>'8. melléklet Önkormányzat'!D15</f>
        <v>0</v>
      </c>
      <c r="E12" s="65">
        <f>'8. melléklet Önkormányzat'!E15</f>
        <v>112</v>
      </c>
      <c r="F12" s="65">
        <f t="shared" si="0"/>
        <v>112</v>
      </c>
      <c r="G12" s="65">
        <f>'8. melléklet Önkormányzat'!G15</f>
        <v>112</v>
      </c>
      <c r="H12" s="68"/>
      <c r="I12" s="50"/>
      <c r="J12" s="84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IO12" s="47"/>
    </row>
    <row r="13" spans="1:249" s="51" customFormat="1" x14ac:dyDescent="0.4">
      <c r="A13" s="69" t="s">
        <v>64</v>
      </c>
      <c r="B13" s="60" t="s">
        <v>65</v>
      </c>
      <c r="C13" s="61">
        <v>55450</v>
      </c>
      <c r="D13" s="61">
        <f>D14+D15+D16+D17</f>
        <v>66051</v>
      </c>
      <c r="E13" s="61">
        <f>E14+E15+E16+E17</f>
        <v>12000</v>
      </c>
      <c r="F13" s="61">
        <f>F14+F15+F16+F17</f>
        <v>78051</v>
      </c>
      <c r="G13" s="61">
        <f>G14+G15+G16+G17</f>
        <v>77448</v>
      </c>
      <c r="H13" s="62">
        <f>G13/F13</f>
        <v>0.99227428220009994</v>
      </c>
      <c r="I13" s="50"/>
      <c r="J13" s="84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IO13" s="47"/>
    </row>
    <row r="14" spans="1:249" s="51" customFormat="1" x14ac:dyDescent="0.4">
      <c r="A14" s="63"/>
      <c r="B14" s="64" t="s">
        <v>66</v>
      </c>
      <c r="C14" s="65">
        <v>2160</v>
      </c>
      <c r="D14" s="65">
        <f>'8. melléklet Önkormányzat'!D17+'9.  melléklet Hivatal'!D16+'10. melléklet Isaszegi Héts'!D16+'11.  melléklet Isaszegi Bóbi'!D15+'12. mell. Isaszegi Humánszol'!D16+'13.  mellékletMűvelődési ház'!D16+'14. melléklet Könyvtár'!D16+'15.melléklet IVÜSZ'!D16+'16. melléklet Bölcsőde'!D16</f>
        <v>3240</v>
      </c>
      <c r="E14" s="65">
        <f>'8. melléklet Önkormányzat'!E17+'9.  melléklet Hivatal'!E16+'10. melléklet Isaszegi Héts'!E16+'11.  melléklet Isaszegi Bóbi'!E15+'12. mell. Isaszegi Humánszol'!E16+'13.  mellékletMűvelődési ház'!E16+'14. melléklet Könyvtár'!E16+'15.melléklet IVÜSZ'!E16</f>
        <v>4494</v>
      </c>
      <c r="F14" s="65">
        <f>'8. melléklet Önkormányzat'!F17+'9.  melléklet Hivatal'!F16+'10. melléklet Isaszegi Héts'!F16+'11.  melléklet Isaszegi Bóbi'!F15+'12. mell. Isaszegi Humánszol'!F16+'13.  mellékletMűvelődési ház'!F16+'14. melléklet Könyvtár'!F16+'15.melléklet IVÜSZ'!F16</f>
        <v>7734</v>
      </c>
      <c r="G14" s="65">
        <f>'8. melléklet Önkormányzat'!G17+'9.  melléklet Hivatal'!G16+'10. melléklet Isaszegi Héts'!G16+'11.  melléklet Isaszegi Bóbi'!G15+'12. mell. Isaszegi Humánszol'!G16+'13.  mellékletMűvelődési ház'!G16+'14. melléklet Könyvtár'!G16+'15.melléklet IVÜSZ'!G16</f>
        <v>7194</v>
      </c>
      <c r="H14" s="66">
        <f>G14/F14</f>
        <v>0.93017843289371605</v>
      </c>
      <c r="I14" s="50"/>
      <c r="J14" s="84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IO14" s="47"/>
    </row>
    <row r="15" spans="1:249" s="51" customFormat="1" x14ac:dyDescent="0.4">
      <c r="A15" s="67"/>
      <c r="B15" s="64" t="s">
        <v>67</v>
      </c>
      <c r="C15" s="65">
        <v>0</v>
      </c>
      <c r="D15" s="65">
        <f>'8. melléklet Önkormányzat'!D18+'9.  melléklet Hivatal'!D17+'10. melléklet Isaszegi Héts'!D17+'11.  melléklet Isaszegi Bóbi'!D16+'12. mell. Isaszegi Humánszol'!D17+'13.  mellékletMűvelődési ház'!D17+'14. melléklet Könyvtár'!D17+'15.melléklet IVÜSZ'!D17</f>
        <v>213</v>
      </c>
      <c r="E15" s="65"/>
      <c r="F15" s="65">
        <f t="shared" ref="F15:F25" si="1">+D15+E15</f>
        <v>213</v>
      </c>
      <c r="G15" s="65">
        <f>'8. melléklet Önkormányzat'!G18+'9.  melléklet Hivatal'!G17+'10. melléklet Isaszegi Héts'!G17+'11.  melléklet Isaszegi Bóbi'!G16+'12. mell. Isaszegi Humánszol'!G17+'13.  mellékletMűvelődési ház'!G17+'14. melléklet Könyvtár'!G17+'15.melléklet IVÜSZ'!G17</f>
        <v>150</v>
      </c>
      <c r="H15" s="66">
        <f>G15/F15</f>
        <v>0.70422535211267601</v>
      </c>
      <c r="I15" s="50"/>
      <c r="J15" s="84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IO15" s="47"/>
    </row>
    <row r="16" spans="1:249" s="51" customFormat="1" x14ac:dyDescent="0.4">
      <c r="A16" s="67"/>
      <c r="B16" s="64" t="s">
        <v>68</v>
      </c>
      <c r="C16" s="65">
        <v>51575</v>
      </c>
      <c r="D16" s="65">
        <f>'8. melléklet Önkormányzat'!D19+'9.  melléklet Hivatal'!D18+'10. melléklet Isaszegi Héts'!D18+'11.  melléklet Isaszegi Bóbi'!D17+'12. mell. Isaszegi Humánszol'!D18+'13.  mellékletMűvelődési ház'!D18+'14. melléklet Könyvtár'!D18+'15.melléklet IVÜSZ'!D18</f>
        <v>60883</v>
      </c>
      <c r="E16" s="65">
        <f>'8. melléklet Önkormányzat'!E19+'9.  melléklet Hivatal'!E18+'10. melléklet Isaszegi Héts'!E18+'11.  melléklet Isaszegi Bóbi'!E17+'12. mell. Isaszegi Humánszol'!E18+'13.  mellékletMűvelődési ház'!E18+'14. melléklet Könyvtár'!E18+'15.melléklet IVÜSZ'!E18</f>
        <v>6091</v>
      </c>
      <c r="F16" s="65">
        <f t="shared" si="1"/>
        <v>66974</v>
      </c>
      <c r="G16" s="65">
        <f>'8. melléklet Önkormányzat'!G19+'9.  melléklet Hivatal'!G18+'10. melléklet Isaszegi Héts'!G18+'11.  melléklet Isaszegi Bóbi'!G17+'12. mell. Isaszegi Humánszol'!G18+'13.  mellékletMűvelődési ház'!G18+'14. melléklet Könyvtár'!G18+'15.melléklet IVÜSZ'!G18</f>
        <v>66974</v>
      </c>
      <c r="H16" s="66">
        <f>G16/F16</f>
        <v>1</v>
      </c>
      <c r="I16" s="50"/>
      <c r="J16" s="84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IO16" s="47"/>
    </row>
    <row r="17" spans="1:249" s="51" customFormat="1" x14ac:dyDescent="0.4">
      <c r="A17" s="67"/>
      <c r="B17" s="64" t="s">
        <v>69</v>
      </c>
      <c r="C17" s="65">
        <v>1715</v>
      </c>
      <c r="D17" s="65">
        <f>'8. melléklet Önkormányzat'!D20+'9.  melléklet Hivatal'!D19+'10. melléklet Isaszegi Héts'!D19+'11.  melléklet Isaszegi Bóbi'!D18+'12. mell. Isaszegi Humánszol'!D19+'13.  mellékletMűvelődési ház'!D19+'14. melléklet Könyvtár'!D19+'15.melléklet IVÜSZ'!D19</f>
        <v>1715</v>
      </c>
      <c r="E17" s="65">
        <f>'8. melléklet Önkormányzat'!E20+'9.  melléklet Hivatal'!E19+'10. melléklet Isaszegi Héts'!E19+'11.  melléklet Isaszegi Bóbi'!E18+'12. mell. Isaszegi Humánszol'!E19+'13.  mellékletMűvelődési ház'!E19+'14. melléklet Könyvtár'!E19+'15.melléklet IVÜSZ'!E19</f>
        <v>1415</v>
      </c>
      <c r="F17" s="65">
        <f t="shared" si="1"/>
        <v>3130</v>
      </c>
      <c r="G17" s="65">
        <f>'8. melléklet Önkormányzat'!G20+'9.  melléklet Hivatal'!G19+'10. melléklet Isaszegi Héts'!G19+'11.  melléklet Isaszegi Bóbi'!G18+'12. mell. Isaszegi Humánszol'!G19+'13.  mellékletMűvelődési ház'!G19+'14. melléklet Könyvtár'!G19+'15.melléklet IVÜSZ'!G19</f>
        <v>3130</v>
      </c>
      <c r="H17" s="66">
        <f>G17/F17</f>
        <v>1</v>
      </c>
      <c r="I17" s="50"/>
      <c r="J17" s="84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IO17" s="47"/>
    </row>
    <row r="18" spans="1:249" s="51" customFormat="1" x14ac:dyDescent="0.4">
      <c r="A18" s="69" t="s">
        <v>70</v>
      </c>
      <c r="B18" s="70" t="s">
        <v>71</v>
      </c>
      <c r="C18" s="61">
        <v>0</v>
      </c>
      <c r="D18" s="61">
        <f>D19</f>
        <v>0</v>
      </c>
      <c r="E18" s="61">
        <f>E19</f>
        <v>2433</v>
      </c>
      <c r="F18" s="61">
        <f t="shared" si="1"/>
        <v>2433</v>
      </c>
      <c r="G18" s="61">
        <f>G19</f>
        <v>2433</v>
      </c>
      <c r="H18" s="71"/>
      <c r="I18" s="50"/>
      <c r="J18" s="84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IO18" s="47"/>
    </row>
    <row r="19" spans="1:249" s="51" customFormat="1" x14ac:dyDescent="0.4">
      <c r="A19" s="72"/>
      <c r="B19" s="73" t="s">
        <v>72</v>
      </c>
      <c r="C19" s="74">
        <v>0</v>
      </c>
      <c r="D19" s="74">
        <f>'8. melléklet Önkormányzat'!D22</f>
        <v>0</v>
      </c>
      <c r="E19" s="65">
        <f>'8. melléklet Önkormányzat'!E22</f>
        <v>2433</v>
      </c>
      <c r="F19" s="65">
        <f t="shared" si="1"/>
        <v>2433</v>
      </c>
      <c r="G19" s="65">
        <f>'8. melléklet Önkormányzat'!G22</f>
        <v>2433</v>
      </c>
      <c r="H19" s="68"/>
      <c r="I19" s="50"/>
      <c r="J19" s="84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IO19" s="47"/>
    </row>
    <row r="20" spans="1:249" s="51" customFormat="1" ht="23.1" customHeight="1" x14ac:dyDescent="0.4">
      <c r="A20" s="69" t="s">
        <v>73</v>
      </c>
      <c r="B20" s="70" t="s">
        <v>74</v>
      </c>
      <c r="C20" s="61">
        <v>354300</v>
      </c>
      <c r="D20" s="61">
        <f>D21+D22+D23+D24</f>
        <v>317300</v>
      </c>
      <c r="E20" s="61">
        <f>E21+E22+E23+E24</f>
        <v>7920</v>
      </c>
      <c r="F20" s="61">
        <f t="shared" si="1"/>
        <v>325220</v>
      </c>
      <c r="G20" s="61">
        <f>G21+G22+G23+G24</f>
        <v>368443</v>
      </c>
      <c r="H20" s="62">
        <f>G20/F20</f>
        <v>1.1329038804501568</v>
      </c>
      <c r="I20" s="50"/>
      <c r="J20" s="84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IO20" s="47"/>
    </row>
    <row r="21" spans="1:249" s="51" customFormat="1" ht="60.75" customHeight="1" x14ac:dyDescent="0.4">
      <c r="A21" s="72"/>
      <c r="B21" s="64" t="s">
        <v>75</v>
      </c>
      <c r="C21" s="65">
        <v>307300</v>
      </c>
      <c r="D21" s="65">
        <f>'8. melléklet Önkormányzat'!D24</f>
        <v>307300</v>
      </c>
      <c r="E21" s="65">
        <f>'8. melléklet Önkormányzat'!E24</f>
        <v>7920</v>
      </c>
      <c r="F21" s="65">
        <f t="shared" si="1"/>
        <v>315220</v>
      </c>
      <c r="G21" s="65">
        <f>'8. melléklet Önkormányzat'!G24</f>
        <v>357437</v>
      </c>
      <c r="H21" s="66">
        <f>G21/F21</f>
        <v>1.1339286847281265</v>
      </c>
      <c r="I21" s="50"/>
      <c r="J21" s="84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IO21" s="47"/>
    </row>
    <row r="22" spans="1:249" s="51" customFormat="1" ht="21.45" customHeight="1" x14ac:dyDescent="0.4">
      <c r="A22" s="75"/>
      <c r="B22" s="76" t="s">
        <v>76</v>
      </c>
      <c r="C22" s="65">
        <v>42000</v>
      </c>
      <c r="D22" s="65">
        <f>'8. melléklet Önkormányzat'!D25</f>
        <v>0</v>
      </c>
      <c r="E22" s="65">
        <f>'8. melléklet Önkormányzat'!E25</f>
        <v>0</v>
      </c>
      <c r="F22" s="65">
        <f t="shared" si="1"/>
        <v>0</v>
      </c>
      <c r="G22" s="65">
        <f>'8. melléklet Önkormányzat'!G25</f>
        <v>0</v>
      </c>
      <c r="H22" s="66"/>
      <c r="I22" s="50"/>
      <c r="J22" s="84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IO22" s="47"/>
    </row>
    <row r="23" spans="1:249" s="51" customFormat="1" x14ac:dyDescent="0.4">
      <c r="A23" s="72"/>
      <c r="B23" s="76" t="s">
        <v>77</v>
      </c>
      <c r="C23" s="65">
        <v>3000</v>
      </c>
      <c r="D23" s="65">
        <f>'8. melléklet Önkormányzat'!D26</f>
        <v>8000</v>
      </c>
      <c r="E23" s="65">
        <f>'8. melléklet Önkormányzat'!E26</f>
        <v>0</v>
      </c>
      <c r="F23" s="65">
        <f t="shared" si="1"/>
        <v>8000</v>
      </c>
      <c r="G23" s="65">
        <f>'8. melléklet Önkormányzat'!G26</f>
        <v>9716</v>
      </c>
      <c r="H23" s="66">
        <f>G23/F23</f>
        <v>1.2144999999999999</v>
      </c>
      <c r="I23" s="50"/>
      <c r="J23" s="84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IO23" s="47"/>
    </row>
    <row r="24" spans="1:249" s="51" customFormat="1" ht="79.2" customHeight="1" x14ac:dyDescent="0.4">
      <c r="A24" s="63"/>
      <c r="B24" s="76" t="s">
        <v>78</v>
      </c>
      <c r="C24" s="65">
        <v>2000</v>
      </c>
      <c r="D24" s="65">
        <f>'8. melléklet Önkormányzat'!D27</f>
        <v>2000</v>
      </c>
      <c r="E24" s="65">
        <f>'8. melléklet Önkormányzat'!E27</f>
        <v>0</v>
      </c>
      <c r="F24" s="65">
        <f t="shared" si="1"/>
        <v>2000</v>
      </c>
      <c r="G24" s="65">
        <f>'8. melléklet Önkormányzat'!G27+'9.  melléklet Hivatal'!G26</f>
        <v>1290</v>
      </c>
      <c r="H24" s="66">
        <f>G24/F24</f>
        <v>0.64500000000000002</v>
      </c>
      <c r="I24" s="50"/>
      <c r="J24" s="84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IO24" s="47"/>
    </row>
    <row r="25" spans="1:249" s="51" customFormat="1" x14ac:dyDescent="0.4">
      <c r="A25" s="69" t="s">
        <v>79</v>
      </c>
      <c r="B25" s="77" t="s">
        <v>80</v>
      </c>
      <c r="C25" s="61">
        <v>113342</v>
      </c>
      <c r="D25" s="61">
        <f>D26+D27+D28+D29+D30</f>
        <v>105248</v>
      </c>
      <c r="E25" s="61">
        <f>E26+E27+E28+E29+E30</f>
        <v>0</v>
      </c>
      <c r="F25" s="61">
        <f t="shared" si="1"/>
        <v>105248</v>
      </c>
      <c r="G25" s="61">
        <f>G26+G27+G28+G29+G30</f>
        <v>87330</v>
      </c>
      <c r="H25" s="62">
        <f>G25/F25</f>
        <v>0.82975448464578905</v>
      </c>
      <c r="I25" s="50"/>
      <c r="J25" s="8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IO25" s="47"/>
    </row>
    <row r="26" spans="1:249" s="51" customFormat="1" x14ac:dyDescent="0.4">
      <c r="A26" s="72"/>
      <c r="B26" s="76" t="s">
        <v>81</v>
      </c>
      <c r="C26" s="65">
        <v>113342</v>
      </c>
      <c r="D26" s="65">
        <f>'8. melléklet Önkormányzat'!D29+'9.  melléklet Hivatal'!D28+'10. melléklet Isaszegi Héts'!D28+'11.  melléklet Isaszegi Bóbi'!D27+'12. mell. Isaszegi Humánszol'!D28+'13.  mellékletMűvelődési ház'!D28+'14. melléklet Könyvtár'!D28+'15.melléklet IVÜSZ'!D28+'12. mell. Isaszegi Humánszol'!D116+'16. melléklet Bölcsőde'!D28</f>
        <v>105248</v>
      </c>
      <c r="E26" s="65">
        <f>'8. melléklet Önkormányzat'!E29+'9.  melléklet Hivatal'!E28+'10. melléklet Isaszegi Héts'!E28+'11.  melléklet Isaszegi Bóbi'!E27+'12. mell. Isaszegi Humánszol'!E28+'13.  mellékletMűvelődési ház'!E28+'14. melléklet Könyvtár'!E28+'15.melléklet IVÜSZ'!E28+'12. mell. Isaszegi Humánszol'!E116+'16. melléklet Bölcsőde'!E28</f>
        <v>0</v>
      </c>
      <c r="F26" s="65">
        <f>'8. melléklet Önkormányzat'!F29+'9.  melléklet Hivatal'!F28+'10. melléklet Isaszegi Héts'!F28+'11.  melléklet Isaszegi Bóbi'!F27+'12. mell. Isaszegi Humánszol'!F28+'13.  mellékletMűvelődési ház'!F28+'14. melléklet Könyvtár'!F28+'15.melléklet IVÜSZ'!F28+'12. mell. Isaszegi Humánszol'!F116+'16. melléklet Bölcsőde'!F28</f>
        <v>105248</v>
      </c>
      <c r="G26" s="65">
        <f>'8. melléklet Önkormányzat'!G29+'9.  melléklet Hivatal'!G28+'10. melléklet Isaszegi Héts'!G28+'11.  melléklet Isaszegi Bóbi'!G27+'12. mell. Isaszegi Humánszol'!G28+'13.  mellékletMűvelődési ház'!G28+'14. melléklet Könyvtár'!G28+'15.melléklet IVÜSZ'!G28+'12. mell. Isaszegi Humánszol'!G116+'16. melléklet Bölcsőde'!G28</f>
        <v>87330</v>
      </c>
      <c r="H26" s="66">
        <f>G26/F26</f>
        <v>0.82975448464578905</v>
      </c>
      <c r="I26" s="50"/>
      <c r="J26" s="84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IO26" s="47"/>
    </row>
    <row r="27" spans="1:249" s="51" customFormat="1" x14ac:dyDescent="0.4">
      <c r="A27" s="72"/>
      <c r="B27" s="76" t="s">
        <v>82</v>
      </c>
      <c r="C27" s="65">
        <v>0</v>
      </c>
      <c r="D27" s="65">
        <f>'8. melléklet Önkormányzat'!D30+'9.  melléklet Hivatal'!D29+'10. melléklet Isaszegi Héts'!D29+'11.  melléklet Isaszegi Bóbi'!D28+'12. mell. Isaszegi Humánszol'!D29+'13.  mellékletMűvelődési ház'!D29+'14. melléklet Könyvtár'!D29+'15.melléklet IVÜSZ'!D29</f>
        <v>0</v>
      </c>
      <c r="E27" s="65">
        <f>'8. melléklet Önkormányzat'!E30+'9.  melléklet Hivatal'!E29+'10. melléklet Isaszegi Héts'!E29+'11.  melléklet Isaszegi Bóbi'!E28+'12. mell. Isaszegi Humánszol'!E29+'13.  mellékletMűvelődési ház'!E29+'14. melléklet Könyvtár'!E29+'15.melléklet IVÜSZ'!E29</f>
        <v>0</v>
      </c>
      <c r="F27" s="65">
        <f t="shared" ref="F27:F46" si="2">+D27+E27</f>
        <v>0</v>
      </c>
      <c r="G27" s="65">
        <f>'8. melléklet Önkormányzat'!G30+'9.  melléklet Hivatal'!G29+'12. mell. Isaszegi Humánszol'!G29+'12. mell. Isaszegi Humánszol'!G117+'13.  mellékletMűvelődési ház'!G29+'14. melléklet Könyvtár'!G29+'15.melléklet IVÜSZ'!G29</f>
        <v>0</v>
      </c>
      <c r="H27" s="68"/>
      <c r="I27" s="50"/>
      <c r="J27" s="84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IO27" s="47"/>
    </row>
    <row r="28" spans="1:249" s="51" customFormat="1" x14ac:dyDescent="0.4">
      <c r="A28" s="72"/>
      <c r="B28" s="76" t="s">
        <v>83</v>
      </c>
      <c r="C28" s="65">
        <v>0</v>
      </c>
      <c r="D28" s="65">
        <f>'8. melléklet Önkormányzat'!D31+'9.  melléklet Hivatal'!D30+'10. melléklet Isaszegi Héts'!D30+'11.  melléklet Isaszegi Bóbi'!D29+'12. mell. Isaszegi Humánszol'!D30+'13.  mellékletMűvelődési ház'!D30+'14. melléklet Könyvtár'!D30+'15.melléklet IVÜSZ'!D30</f>
        <v>0</v>
      </c>
      <c r="E28" s="65">
        <f>'8. melléklet Önkormányzat'!E31+'9.  melléklet Hivatal'!E30+'10. melléklet Isaszegi Héts'!E30+'11.  melléklet Isaszegi Bóbi'!E29+'12. mell. Isaszegi Humánszol'!E30+'13.  mellékletMűvelődési ház'!E30+'14. melléklet Könyvtár'!E30+'15.melléklet IVÜSZ'!E30</f>
        <v>0</v>
      </c>
      <c r="F28" s="65">
        <f t="shared" si="2"/>
        <v>0</v>
      </c>
      <c r="G28" s="65">
        <f>'8. melléklet Önkormányzat'!G31+'9.  melléklet Hivatal'!G30+'12. mell. Isaszegi Humánszol'!G30+'12. mell. Isaszegi Humánszol'!G118+'13.  mellékletMűvelődési ház'!G30+'14. melléklet Könyvtár'!G30+'15.melléklet IVÜSZ'!G30</f>
        <v>0</v>
      </c>
      <c r="H28" s="68"/>
      <c r="I28" s="50"/>
      <c r="J28" s="84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IO28" s="47"/>
    </row>
    <row r="29" spans="1:249" s="51" customFormat="1" x14ac:dyDescent="0.4">
      <c r="A29" s="72"/>
      <c r="B29" s="76" t="s">
        <v>84</v>
      </c>
      <c r="C29" s="65">
        <v>0</v>
      </c>
      <c r="D29" s="65">
        <f>'8. melléklet Önkormányzat'!D32+'9.  melléklet Hivatal'!D31+'10. melléklet Isaszegi Héts'!D31+'11.  melléklet Isaszegi Bóbi'!D30+'12. mell. Isaszegi Humánszol'!D31+'13.  mellékletMűvelődési ház'!D31+'14. melléklet Könyvtár'!D31+'15.melléklet IVÜSZ'!D31</f>
        <v>0</v>
      </c>
      <c r="E29" s="65">
        <f>'8. melléklet Önkormányzat'!E32+'9.  melléklet Hivatal'!E31+'10. melléklet Isaszegi Héts'!E31+'11.  melléklet Isaszegi Bóbi'!E30+'12. mell. Isaszegi Humánszol'!E31+'13.  mellékletMűvelődési ház'!E31+'14. melléklet Könyvtár'!E31+'15.melléklet IVÜSZ'!E31</f>
        <v>0</v>
      </c>
      <c r="F29" s="65">
        <f t="shared" si="2"/>
        <v>0</v>
      </c>
      <c r="G29" s="65">
        <f>'8. melléklet Önkormányzat'!G32+'9.  melléklet Hivatal'!G31+'12. mell. Isaszegi Humánszol'!G31+'12. mell. Isaszegi Humánszol'!G119+'13.  mellékletMűvelődési ház'!G31+'14. melléklet Könyvtár'!G31+'15.melléklet IVÜSZ'!G31</f>
        <v>0</v>
      </c>
      <c r="H29" s="68"/>
      <c r="I29" s="50"/>
      <c r="J29" s="84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IO29" s="47"/>
    </row>
    <row r="30" spans="1:249" s="51" customFormat="1" x14ac:dyDescent="0.4">
      <c r="A30" s="72"/>
      <c r="B30" s="76" t="s">
        <v>85</v>
      </c>
      <c r="C30" s="65">
        <v>0</v>
      </c>
      <c r="D30" s="65">
        <f>'8. melléklet Önkormányzat'!D33+'9.  melléklet Hivatal'!D32+'10. melléklet Isaszegi Héts'!D32+'11.  melléklet Isaszegi Bóbi'!D31+'12. mell. Isaszegi Humánszol'!D32+'13.  mellékletMűvelődési ház'!D32+'14. melléklet Könyvtár'!D32+'15.melléklet IVÜSZ'!D32</f>
        <v>0</v>
      </c>
      <c r="E30" s="65">
        <f>'8. melléklet Önkormányzat'!E33+'9.  melléklet Hivatal'!E32+'10. melléklet Isaszegi Héts'!E32+'11.  melléklet Isaszegi Bóbi'!E31+'12. mell. Isaszegi Humánszol'!E32+'13.  mellékletMűvelődési ház'!E32+'14. melléklet Könyvtár'!E32+'15.melléklet IVÜSZ'!E32</f>
        <v>0</v>
      </c>
      <c r="F30" s="65">
        <f t="shared" si="2"/>
        <v>0</v>
      </c>
      <c r="G30" s="65">
        <f>'8. melléklet Önkormányzat'!G33+'9.  melléklet Hivatal'!G32+'12. mell. Isaszegi Humánszol'!G32+'12. mell. Isaszegi Humánszol'!G120+'13.  mellékletMűvelődési ház'!G32+'14. melléklet Könyvtár'!G32+'15.melléklet IVÜSZ'!G32</f>
        <v>0</v>
      </c>
      <c r="H30" s="68"/>
      <c r="I30" s="50"/>
      <c r="J30" s="84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IO30" s="47"/>
    </row>
    <row r="31" spans="1:249" s="51" customFormat="1" x14ac:dyDescent="0.4">
      <c r="A31" s="69" t="s">
        <v>86</v>
      </c>
      <c r="B31" s="70" t="s">
        <v>87</v>
      </c>
      <c r="C31" s="61">
        <v>0</v>
      </c>
      <c r="D31" s="61">
        <f>D32+D33</f>
        <v>2946</v>
      </c>
      <c r="E31" s="61">
        <f>E32+E33</f>
        <v>0</v>
      </c>
      <c r="F31" s="61">
        <f t="shared" si="2"/>
        <v>2946</v>
      </c>
      <c r="G31" s="61">
        <f>G32+G33</f>
        <v>2400</v>
      </c>
      <c r="H31" s="62">
        <f>G31/F31</f>
        <v>0.81466395112016299</v>
      </c>
      <c r="I31" s="50"/>
      <c r="J31" s="84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IO31" s="47"/>
    </row>
    <row r="32" spans="1:249" s="51" customFormat="1" x14ac:dyDescent="0.4">
      <c r="A32" s="75"/>
      <c r="B32" s="76" t="s">
        <v>88</v>
      </c>
      <c r="C32" s="65">
        <v>0</v>
      </c>
      <c r="D32" s="65">
        <f>'8. melléklet Önkormányzat'!D35</f>
        <v>2946</v>
      </c>
      <c r="E32" s="65">
        <f>'8. melléklet Önkormányzat'!E35</f>
        <v>0</v>
      </c>
      <c r="F32" s="65">
        <f t="shared" si="2"/>
        <v>2946</v>
      </c>
      <c r="G32" s="65">
        <f>'8. melléklet Önkormányzat'!G35</f>
        <v>2400</v>
      </c>
      <c r="H32" s="66">
        <f>G32/F32</f>
        <v>0.81466395112016299</v>
      </c>
      <c r="I32" s="50"/>
      <c r="J32" s="84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IO32" s="47"/>
    </row>
    <row r="33" spans="1:249" s="51" customFormat="1" x14ac:dyDescent="0.4">
      <c r="A33" s="78"/>
      <c r="B33" s="76"/>
      <c r="C33" s="65">
        <v>0</v>
      </c>
      <c r="D33" s="65">
        <f>'8. melléklet Önkormányzat'!D36</f>
        <v>0</v>
      </c>
      <c r="E33" s="65">
        <f>'8. melléklet Önkormányzat'!E36</f>
        <v>0</v>
      </c>
      <c r="F33" s="65">
        <f t="shared" si="2"/>
        <v>0</v>
      </c>
      <c r="G33" s="65">
        <f>'8. melléklet Önkormányzat'!G36</f>
        <v>0</v>
      </c>
      <c r="H33" s="68"/>
      <c r="I33" s="50"/>
      <c r="J33" s="84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IO33" s="47"/>
    </row>
    <row r="34" spans="1:249" s="51" customFormat="1" x14ac:dyDescent="0.4">
      <c r="A34" s="79" t="s">
        <v>89</v>
      </c>
      <c r="B34" s="70" t="s">
        <v>90</v>
      </c>
      <c r="C34" s="61">
        <v>0</v>
      </c>
      <c r="D34" s="61">
        <f>D35</f>
        <v>5735</v>
      </c>
      <c r="E34" s="61">
        <f>E35</f>
        <v>102</v>
      </c>
      <c r="F34" s="61">
        <f t="shared" si="2"/>
        <v>5837</v>
      </c>
      <c r="G34" s="61">
        <f>G35</f>
        <v>5809</v>
      </c>
      <c r="H34" s="80">
        <f t="shared" ref="H34:H46" si="3">G34/F34</f>
        <v>0.99520301524755872</v>
      </c>
      <c r="I34" s="50"/>
      <c r="J34" s="84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IO34" s="47"/>
    </row>
    <row r="35" spans="1:249" s="51" customFormat="1" x14ac:dyDescent="0.4">
      <c r="A35" s="81"/>
      <c r="B35" s="73" t="s">
        <v>91</v>
      </c>
      <c r="C35" s="74">
        <v>0</v>
      </c>
      <c r="D35" s="74">
        <f>'8. melléklet Önkormányzat'!D38+'9.  melléklet Hivatal'!D37+'10. melléklet Isaszegi Héts'!D37+'11.  melléklet Isaszegi Bóbi'!D36+'12. mell. Isaszegi Humánszol'!D37+'13.  mellékletMűvelődési ház'!D37+'14. melléklet Könyvtár'!D37+'15.melléklet IVÜSZ'!D37+'16. melléklet Bölcsőde'!D37</f>
        <v>5735</v>
      </c>
      <c r="E35" s="65">
        <f>'8. melléklet Önkormányzat'!E38+'9.  melléklet Hivatal'!E37+'10. melléklet Isaszegi Héts'!E37+'11.  melléklet Isaszegi Bóbi'!E36+'12. mell. Isaszegi Humánszol'!E37+'13.  mellékletMűvelődési ház'!E37+'14. melléklet Könyvtár'!E37+'15.melléklet IVÜSZ'!E37</f>
        <v>102</v>
      </c>
      <c r="F35" s="74">
        <f t="shared" si="2"/>
        <v>5837</v>
      </c>
      <c r="G35" s="65">
        <f>'8. melléklet Önkormányzat'!G38+'9.  melléklet Hivatal'!G37+'12. mell. Isaszegi Humánszol'!G37+'12. mell. Isaszegi Humánszol'!G125+'13.  mellékletMűvelődési ház'!G37+'14. melléklet Könyvtár'!G37+'15.melléklet IVÜSZ'!G37</f>
        <v>5809</v>
      </c>
      <c r="H35" s="66">
        <f t="shared" si="3"/>
        <v>0.99520301524755872</v>
      </c>
      <c r="I35" s="50"/>
      <c r="J35" s="84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IO35" s="47"/>
    </row>
    <row r="36" spans="1:249" s="51" customFormat="1" x14ac:dyDescent="0.4">
      <c r="A36" s="79" t="s">
        <v>92</v>
      </c>
      <c r="B36" s="70" t="s">
        <v>93</v>
      </c>
      <c r="C36" s="61">
        <v>145522</v>
      </c>
      <c r="D36" s="61">
        <f>D37+D38</f>
        <v>147550</v>
      </c>
      <c r="E36" s="61">
        <f>E37+E38</f>
        <v>0</v>
      </c>
      <c r="F36" s="61">
        <f t="shared" si="2"/>
        <v>147550</v>
      </c>
      <c r="G36" s="61">
        <f>G37+G38</f>
        <v>71059</v>
      </c>
      <c r="H36" s="62">
        <f t="shared" si="3"/>
        <v>0.48159268044730602</v>
      </c>
      <c r="I36" s="50"/>
      <c r="J36" s="84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IO36" s="47"/>
    </row>
    <row r="37" spans="1:249" s="51" customFormat="1" ht="49.35" customHeight="1" x14ac:dyDescent="0.4">
      <c r="A37" s="81"/>
      <c r="B37" s="76" t="s">
        <v>94</v>
      </c>
      <c r="C37" s="65">
        <v>1700</v>
      </c>
      <c r="D37" s="65">
        <f>'8. melléklet Önkormányzat'!D40+'9.  melléklet Hivatal'!D39+'10. melléklet Isaszegi Héts'!D39+'11.  melléklet Isaszegi Bóbi'!D38+'12. mell. Isaszegi Humánszol'!D39+'13.  mellékletMűvelődési ház'!D39+'14. melléklet Könyvtár'!D39+'15.melléklet IVÜSZ'!D39</f>
        <v>1700</v>
      </c>
      <c r="E37" s="65">
        <f>'8. melléklet Önkormányzat'!E40+'9.  melléklet Hivatal'!E39+'10. melléklet Isaszegi Héts'!E39+'11.  melléklet Isaszegi Bóbi'!E38+'12. mell. Isaszegi Humánszol'!E39+'13.  mellékletMűvelődési ház'!E39+'14. melléklet Könyvtár'!E39+'15.melléklet IVÜSZ'!E39</f>
        <v>0</v>
      </c>
      <c r="F37" s="65">
        <f t="shared" si="2"/>
        <v>1700</v>
      </c>
      <c r="G37" s="65">
        <f>'8. melléklet Önkormányzat'!G40+'9.  melléklet Hivatal'!G39+'10. melléklet Isaszegi Héts'!G39+'11.  melléklet Isaszegi Bóbi'!G38+'12. mell. Isaszegi Humánszol'!G39+'13.  mellékletMűvelődési ház'!G39+'14. melléklet Könyvtár'!G39+'15.melléklet IVÜSZ'!G39</f>
        <v>1012</v>
      </c>
      <c r="H37" s="66">
        <f t="shared" si="3"/>
        <v>0.59529411764705886</v>
      </c>
      <c r="I37" s="50"/>
      <c r="J37" s="84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IO37" s="47"/>
    </row>
    <row r="38" spans="1:249" s="51" customFormat="1" ht="35.85" customHeight="1" x14ac:dyDescent="0.4">
      <c r="A38" s="81"/>
      <c r="B38" s="76" t="s">
        <v>95</v>
      </c>
      <c r="C38" s="65">
        <v>143822</v>
      </c>
      <c r="D38" s="65">
        <f>'8. melléklet Önkormányzat'!D41+'9.  melléklet Hivatal'!D40+'10. melléklet Isaszegi Héts'!D40+'11.  melléklet Isaszegi Bóbi'!D39+'12. mell. Isaszegi Humánszol'!D40+'13.  mellékletMűvelődési ház'!D40+'14. melléklet Könyvtár'!D40+'15.melléklet IVÜSZ'!D40+'16. melléklet Bölcsőde'!D40</f>
        <v>145850</v>
      </c>
      <c r="E38" s="65">
        <f>'8. melléklet Önkormányzat'!E41+'9.  melléklet Hivatal'!E40+'10. melléklet Isaszegi Héts'!E40+'11.  melléklet Isaszegi Bóbi'!E39+'12. mell. Isaszegi Humánszol'!E40+'13.  mellékletMűvelődési ház'!E40+'14. melléklet Könyvtár'!E40+'15.melléklet IVÜSZ'!E40</f>
        <v>0</v>
      </c>
      <c r="F38" s="65">
        <f t="shared" si="2"/>
        <v>145850</v>
      </c>
      <c r="G38" s="65">
        <f>'8. melléklet Önkormányzat'!G41+'9.  melléklet Hivatal'!G40+'10. melléklet Isaszegi Héts'!G40+'11.  melléklet Isaszegi Bóbi'!G39+'12. mell. Isaszegi Humánszol'!G40+'13.  mellékletMűvelődési ház'!G40+'14. melléklet Könyvtár'!G40+'15.melléklet IVÜSZ'!G40</f>
        <v>70047</v>
      </c>
      <c r="H38" s="66">
        <f t="shared" si="3"/>
        <v>0.4802673980116558</v>
      </c>
      <c r="I38" s="50"/>
      <c r="J38" s="84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IO38" s="47"/>
    </row>
    <row r="39" spans="1:249" s="51" customFormat="1" x14ac:dyDescent="0.4">
      <c r="A39" s="82"/>
      <c r="B39" s="70" t="s">
        <v>96</v>
      </c>
      <c r="C39" s="61">
        <v>1300652</v>
      </c>
      <c r="D39" s="61">
        <f>D6+D13+D18+D20+D25+D31+D34+D36</f>
        <v>1304908</v>
      </c>
      <c r="E39" s="61">
        <f>E6+E13+E18+E20+E25+E31+E34+E36</f>
        <v>26417</v>
      </c>
      <c r="F39" s="61">
        <f t="shared" si="2"/>
        <v>1331325</v>
      </c>
      <c r="G39" s="61">
        <f>G6+G13+G18+G20+G25+G31+G34+G36</f>
        <v>1278962</v>
      </c>
      <c r="H39" s="62">
        <f t="shared" si="3"/>
        <v>0.96066850693857619</v>
      </c>
      <c r="I39" s="50"/>
      <c r="J39" s="84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IO39" s="47"/>
    </row>
    <row r="40" spans="1:249" s="51" customFormat="1" x14ac:dyDescent="0.4">
      <c r="A40" s="79" t="s">
        <v>97</v>
      </c>
      <c r="B40" s="70" t="s">
        <v>98</v>
      </c>
      <c r="C40" s="61">
        <v>77024</v>
      </c>
      <c r="D40" s="61">
        <f>'8. melléklet Önkormányzat'!D43</f>
        <v>139804</v>
      </c>
      <c r="E40" s="61">
        <f>'8. melléklet Önkormányzat'!E43</f>
        <v>3550</v>
      </c>
      <c r="F40" s="61">
        <f t="shared" si="2"/>
        <v>143354</v>
      </c>
      <c r="G40" s="61">
        <f>'8. melléklet Önkormányzat'!G43</f>
        <v>90573</v>
      </c>
      <c r="H40" s="62">
        <f t="shared" si="3"/>
        <v>0.63181355246452842</v>
      </c>
      <c r="I40" s="50"/>
      <c r="J40" s="84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IO40" s="47"/>
    </row>
    <row r="41" spans="1:249" s="51" customFormat="1" x14ac:dyDescent="0.4">
      <c r="A41" s="79" t="s">
        <v>99</v>
      </c>
      <c r="B41" s="70" t="s">
        <v>100</v>
      </c>
      <c r="C41" s="61">
        <v>58942</v>
      </c>
      <c r="D41" s="61">
        <f>'8. melléklet Önkormányzat'!D44+'9.  melléklet Hivatal'!D43+'10. melléklet Isaszegi Héts'!D43+'11.  melléklet Isaszegi Bóbi'!D42+'12. mell. Isaszegi Humánszol'!D43+'13.  mellékletMűvelődési ház'!D43+'14. melléklet Könyvtár'!D43+'15.melléklet IVÜSZ'!D43+'16. melléklet Bölcsőde'!D43</f>
        <v>62587</v>
      </c>
      <c r="E41" s="61">
        <f>'9.  melléklet Hivatal'!E43+'10. melléklet Isaszegi Héts'!E43+'11.  melléklet Isaszegi Bóbi'!E42+'12. mell. Isaszegi Humánszol'!E43+'12. mell. Isaszegi Humánszol'!E131+'13.  mellékletMűvelődési ház'!E43+'14. melléklet Könyvtár'!E43+'15.melléklet IVÜSZ'!E43+'16. melléklet Bölcsőde'!E43</f>
        <v>-511</v>
      </c>
      <c r="F41" s="61">
        <f t="shared" si="2"/>
        <v>62076</v>
      </c>
      <c r="G41" s="61">
        <f>'8. melléklet Önkormányzat'!G44+'9.  melléklet Hivatal'!G43+'10. melléklet Isaszegi Héts'!G43+'11.  melléklet Isaszegi Bóbi'!G42+'12. mell. Isaszegi Humánszol'!G43+'13.  mellékletMűvelődési ház'!G43+'14. melléklet Könyvtár'!G43+'15.melléklet IVÜSZ'!G43</f>
        <v>62076</v>
      </c>
      <c r="H41" s="62">
        <f t="shared" si="3"/>
        <v>1</v>
      </c>
      <c r="I41" s="50"/>
      <c r="J41" s="84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IO41" s="47"/>
    </row>
    <row r="42" spans="1:249" s="51" customFormat="1" x14ac:dyDescent="0.4">
      <c r="A42" s="79" t="s">
        <v>101</v>
      </c>
      <c r="B42" s="70" t="s">
        <v>102</v>
      </c>
      <c r="C42" s="61">
        <v>148107</v>
      </c>
      <c r="D42" s="61">
        <f>'8. melléklet Önkormányzat'!D45</f>
        <v>138454</v>
      </c>
      <c r="E42" s="61">
        <f>'8. melléklet Önkormányzat'!E45</f>
        <v>-30830</v>
      </c>
      <c r="F42" s="61">
        <f t="shared" si="2"/>
        <v>107624</v>
      </c>
      <c r="G42" s="61">
        <f>'8. melléklet Önkormányzat'!G45</f>
        <v>107623</v>
      </c>
      <c r="H42" s="62">
        <f t="shared" si="3"/>
        <v>0.99999070839218018</v>
      </c>
      <c r="I42" s="50"/>
      <c r="J42" s="84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IO42" s="47"/>
    </row>
    <row r="43" spans="1:249" s="51" customFormat="1" x14ac:dyDescent="0.4">
      <c r="A43" s="82"/>
      <c r="B43" s="70" t="s">
        <v>103</v>
      </c>
      <c r="C43" s="61">
        <v>284073</v>
      </c>
      <c r="D43" s="61">
        <f>SUM(D40:D42)</f>
        <v>340845</v>
      </c>
      <c r="E43" s="61">
        <f>SUM(E40:E42)</f>
        <v>-27791</v>
      </c>
      <c r="F43" s="61">
        <f t="shared" si="2"/>
        <v>313054</v>
      </c>
      <c r="G43" s="61">
        <f>SUM(G40:G42)</f>
        <v>260272</v>
      </c>
      <c r="H43" s="62">
        <f t="shared" si="3"/>
        <v>0.83139650028429601</v>
      </c>
      <c r="I43" s="50"/>
      <c r="J43" s="84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IO43" s="47"/>
    </row>
    <row r="44" spans="1:249" s="51" customFormat="1" ht="22.8" x14ac:dyDescent="0.4">
      <c r="A44" s="81"/>
      <c r="B44" s="83" t="s">
        <v>104</v>
      </c>
      <c r="C44" s="61">
        <f>C6+C13+C18+C20+C25+C31+C34+C36+C40+C41+C42</f>
        <v>1584725</v>
      </c>
      <c r="D44" s="61">
        <f>D6+D13+D18+D20+D25+D31+D34+D36+D40+D41+D42</f>
        <v>1645753</v>
      </c>
      <c r="E44" s="61">
        <f>E6+E13+E18+E20+E25+E31+E34+E36+E40+E41+E42</f>
        <v>-1374</v>
      </c>
      <c r="F44" s="61">
        <f t="shared" si="2"/>
        <v>1644379</v>
      </c>
      <c r="G44" s="61">
        <f>G6+G13+G18+G20+G25+G31+G34+G36+G40+G41+G42</f>
        <v>1539234</v>
      </c>
      <c r="H44" s="62">
        <f t="shared" si="3"/>
        <v>0.93605792825133383</v>
      </c>
      <c r="I44" s="50">
        <f>'8. melléklet Önkormányzat'!G47+'9.  melléklet Hivatal'!G41+'9.  melléklet Hivatal'!G43+'10. melléklet Isaszegi Héts'!G43+'11.  melléklet Isaszegi Bóbi'!G42+'12. mell. Isaszegi Humánszol'!G129+'13.  mellékletMűvelődési ház'!G41+'13.  mellékletMűvelődési ház'!G43+'12. mell. Isaszegi Humánszol'!G41+'12. mell. Isaszegi Humánszol'!G43+'14. melléklet Könyvtár'!G41+'14. melléklet Könyvtár'!G43+'15.melléklet IVÜSZ'!G41+'15.melléklet IVÜSZ'!G43+'16. melléklet Bölcsőde'!G41</f>
        <v>1539234</v>
      </c>
      <c r="J44" s="84"/>
      <c r="K44" s="84">
        <f>G7+G8+G9+G10+G11+G12+G14+G15+G16+G17+G19+G21+G22+G23+G24+G26+G27+G28+G29+G30+G32+G33+G35+G37+G38+G40+G41+G42</f>
        <v>1539234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IO44" s="47"/>
    </row>
    <row r="45" spans="1:249" s="51" customFormat="1" x14ac:dyDescent="0.4">
      <c r="A45" s="45"/>
      <c r="B45" s="45" t="s">
        <v>105</v>
      </c>
      <c r="C45" s="85">
        <v>678581</v>
      </c>
      <c r="D45" s="85">
        <f>D76</f>
        <v>685789</v>
      </c>
      <c r="E45" s="85">
        <f>E76</f>
        <v>19215</v>
      </c>
      <c r="F45" s="85">
        <f>SUM(D45:E45)</f>
        <v>705004</v>
      </c>
      <c r="G45" s="85">
        <f>'9.  melléklet Hivatal'!G42+'10. melléklet Isaszegi Héts'!G42+'11.  melléklet Isaszegi Bóbi'!G41+'12. mell. Isaszegi Humánszol'!G130+'12. mell. Isaszegi Humánszol'!G42+'13.  mellékletMűvelődési ház'!G42+'14. melléklet Könyvtár'!G42+'15.melléklet IVÜSZ'!G42+'16. melléklet Bölcsőde'!G42</f>
        <v>629850</v>
      </c>
      <c r="H45" s="62">
        <f>G45/F45</f>
        <v>0.89339918638759497</v>
      </c>
      <c r="I45" s="50"/>
      <c r="J45" s="84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IO45" s="47"/>
    </row>
    <row r="46" spans="1:249" s="51" customFormat="1" ht="22.8" x14ac:dyDescent="0.4">
      <c r="A46" s="45"/>
      <c r="B46" s="83" t="s">
        <v>106</v>
      </c>
      <c r="C46" s="61">
        <v>2263306</v>
      </c>
      <c r="D46" s="61">
        <f>D44+D45</f>
        <v>2331542</v>
      </c>
      <c r="E46" s="61">
        <f>E44+E45</f>
        <v>17841</v>
      </c>
      <c r="F46" s="61">
        <f t="shared" si="2"/>
        <v>2349383</v>
      </c>
      <c r="G46" s="86">
        <f>G44+G45</f>
        <v>2169084</v>
      </c>
      <c r="H46" s="87">
        <f t="shared" si="3"/>
        <v>0.92325687212344687</v>
      </c>
      <c r="I46" s="50">
        <f>'8. melléklet Önkormányzat'!G47+'9.  melléklet Hivatal'!G46+'10. melléklet Isaszegi Héts'!G46+'11.  melléklet Isaszegi Bóbi'!G45+'12. mell. Isaszegi Humánszol'!G46+'12. mell. Isaszegi Humánszol'!G134+'13.  mellékletMűvelődési ház'!G46+'14. melléklet Könyvtár'!G46+'15.melléklet IVÜSZ'!G46+'16. melléklet Bölcsőde'!G46</f>
        <v>2169084</v>
      </c>
      <c r="J46" s="84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IO46" s="47"/>
    </row>
    <row r="47" spans="1:249" s="51" customFormat="1" x14ac:dyDescent="0.4">
      <c r="A47" s="50"/>
      <c r="B47" s="45"/>
      <c r="C47" s="88">
        <v>2263306</v>
      </c>
      <c r="D47" s="89"/>
      <c r="E47" s="50"/>
      <c r="F47" s="50"/>
      <c r="G47" s="50"/>
      <c r="H47" s="84"/>
      <c r="I47" s="50">
        <f>I44+G45</f>
        <v>2169084</v>
      </c>
      <c r="J47" s="84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1:249" s="51" customFormat="1" ht="39" customHeight="1" x14ac:dyDescent="0.4">
      <c r="A48" s="54" t="s">
        <v>47</v>
      </c>
      <c r="B48" s="54" t="s">
        <v>48</v>
      </c>
      <c r="C48" s="521" t="s">
        <v>49</v>
      </c>
      <c r="D48" s="522" t="s">
        <v>50</v>
      </c>
      <c r="E48" s="522"/>
      <c r="F48" s="522"/>
      <c r="G48" s="50"/>
      <c r="H48" s="50"/>
      <c r="I48" s="50"/>
      <c r="J48" s="84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IO48" s="47"/>
    </row>
    <row r="49" spans="1:249" s="51" customFormat="1" ht="65.400000000000006" customHeight="1" x14ac:dyDescent="0.4">
      <c r="A49" s="54"/>
      <c r="B49" s="56" t="s">
        <v>107</v>
      </c>
      <c r="C49" s="521"/>
      <c r="D49" s="57" t="s">
        <v>52</v>
      </c>
      <c r="E49" s="57" t="s">
        <v>53</v>
      </c>
      <c r="F49" s="57" t="s">
        <v>54</v>
      </c>
      <c r="G49" s="58" t="s">
        <v>323</v>
      </c>
      <c r="H49" s="58" t="s">
        <v>55</v>
      </c>
      <c r="I49" s="50"/>
      <c r="J49" s="84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IO49" s="47"/>
    </row>
    <row r="50" spans="1:249" s="51" customFormat="1" ht="25.5" customHeight="1" x14ac:dyDescent="0.4">
      <c r="A50" s="70" t="s">
        <v>56</v>
      </c>
      <c r="B50" s="70" t="s">
        <v>108</v>
      </c>
      <c r="C50" s="61">
        <v>1209853</v>
      </c>
      <c r="D50" s="61">
        <f>D51+D52+D53+D56+D57</f>
        <v>1226064</v>
      </c>
      <c r="E50" s="61">
        <f>E51+E52+E53+E56+E57</f>
        <v>21203</v>
      </c>
      <c r="F50" s="61">
        <f>F51+F52+F53+F56+F57</f>
        <v>1247267</v>
      </c>
      <c r="G50" s="61">
        <f>G51+G52+G53+G56+G57</f>
        <v>1037429</v>
      </c>
      <c r="H50" s="62">
        <f>G50/F50</f>
        <v>0.83176176392063605</v>
      </c>
      <c r="I50" s="50"/>
      <c r="J50" s="84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IO50" s="47"/>
    </row>
    <row r="51" spans="1:249" s="51" customFormat="1" ht="25.5" customHeight="1" x14ac:dyDescent="0.4">
      <c r="A51" s="90"/>
      <c r="B51" s="91" t="s">
        <v>109</v>
      </c>
      <c r="C51" s="92">
        <v>582135</v>
      </c>
      <c r="D51" s="92">
        <f>'8. melléklet Önkormányzat'!D52+'9.  melléklet Hivatal'!D51+'10. melléklet Isaszegi Héts'!D51+'11.  melléklet Isaszegi Bóbi'!D50+'12. mell. Isaszegi Humánszol'!D51+'13.  mellékletMűvelődési ház'!D51+'14. melléklet Könyvtár'!D51+'15.melléklet IVÜSZ'!D51+'12. mell. Isaszegi Humánszol'!D139+'16. melléklet Bölcsőde'!D51</f>
        <v>596555</v>
      </c>
      <c r="E51" s="92">
        <f>'8. melléklet Önkormányzat'!E52+'9.  melléklet Hivatal'!E51+'10. melléklet Isaszegi Héts'!E51+'11.  melléklet Isaszegi Bóbi'!E50+'12. mell. Isaszegi Humánszol'!E51+'13.  mellékletMűvelődési ház'!E51+'14. melléklet Könyvtár'!E51+'15.melléklet IVÜSZ'!E51+'12. mell. Isaszegi Humánszol'!E139+'16. melléklet Bölcsőde'!E51</f>
        <v>2905</v>
      </c>
      <c r="F51" s="92">
        <f>'8. melléklet Önkormányzat'!F52+'9.  melléklet Hivatal'!F51+'10. melléklet Isaszegi Héts'!F51+'11.  melléklet Isaszegi Bóbi'!F50+'12. mell. Isaszegi Humánszol'!F51+'13.  mellékletMűvelődési ház'!F51+'14. melléklet Könyvtár'!F51+'15.melléklet IVÜSZ'!F51+'12. mell. Isaszegi Humánszol'!F139+'16. melléklet Bölcsőde'!F51</f>
        <v>599460</v>
      </c>
      <c r="G51" s="92">
        <f>'8. melléklet Önkormányzat'!G52+'9.  melléklet Hivatal'!G51+'10. melléklet Isaszegi Héts'!G51+'11.  melléklet Isaszegi Bóbi'!G50+'12. mell. Isaszegi Humánszol'!G51+'13.  mellékletMűvelődési ház'!G51+'14. melléklet Könyvtár'!G51+'15.melléklet IVÜSZ'!G51+'12. mell. Isaszegi Humánszol'!G139+'16. melléklet Bölcsőde'!G51</f>
        <v>545786</v>
      </c>
      <c r="H51" s="93">
        <f>G51/F51</f>
        <v>0.91046274980816067</v>
      </c>
      <c r="I51" s="50"/>
      <c r="J51" s="84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IO51" s="47"/>
    </row>
    <row r="52" spans="1:249" s="51" customFormat="1" x14ac:dyDescent="0.4">
      <c r="A52" s="81"/>
      <c r="B52" s="76" t="s">
        <v>110</v>
      </c>
      <c r="C52" s="92">
        <v>104663</v>
      </c>
      <c r="D52" s="92">
        <f>'8. melléklet Önkormányzat'!D53+'9.  melléklet Hivatal'!D52+'10. melléklet Isaszegi Héts'!D52+'11.  melléklet Isaszegi Bóbi'!D51+'12. mell. Isaszegi Humánszol'!D52+'13.  mellékletMűvelődési ház'!D52+'14. melléklet Könyvtár'!D52+'15.melléklet IVÜSZ'!D52+'12. mell. Isaszegi Humánszol'!D140+'16. melléklet Bölcsőde'!D52</f>
        <v>101383</v>
      </c>
      <c r="E52" s="92">
        <f>'8. melléklet Önkormányzat'!E53+'9.  melléklet Hivatal'!E52+'10. melléklet Isaszegi Héts'!E52+'11.  melléklet Isaszegi Bóbi'!E51+'12. mell. Isaszegi Humánszol'!E52+'13.  mellékletMűvelődési ház'!E52+'14. melléklet Könyvtár'!E52+'15.melléklet IVÜSZ'!E52+'12. mell. Isaszegi Humánszol'!E140+'16. melléklet Bölcsőde'!E52</f>
        <v>597</v>
      </c>
      <c r="F52" s="92">
        <f>'8. melléklet Önkormányzat'!F53+'9.  melléklet Hivatal'!F52+'10. melléklet Isaszegi Héts'!F52+'11.  melléklet Isaszegi Bóbi'!F51+'12. mell. Isaszegi Humánszol'!F52+'13.  mellékletMűvelődési ház'!F52+'14. melléklet Könyvtár'!F52+'15.melléklet IVÜSZ'!F52+'12. mell. Isaszegi Humánszol'!F140+'16. melléklet Bölcsőde'!F52</f>
        <v>101980</v>
      </c>
      <c r="G52" s="92">
        <f>'8. melléklet Önkormányzat'!G53+'9.  melléklet Hivatal'!G52+'10. melléklet Isaszegi Héts'!G52+'11.  melléklet Isaszegi Bóbi'!G51+'12. mell. Isaszegi Humánszol'!G52+'13.  mellékletMűvelődési ház'!G52+'14. melléklet Könyvtár'!G52+'15.melléklet IVÜSZ'!G52+'12. mell. Isaszegi Humánszol'!G140+'16. melléklet Bölcsőde'!G52</f>
        <v>94100</v>
      </c>
      <c r="H52" s="93">
        <f>G52/F52</f>
        <v>0.92272994704844091</v>
      </c>
      <c r="I52" s="50"/>
      <c r="J52" s="84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IO52" s="47"/>
    </row>
    <row r="53" spans="1:249" s="51" customFormat="1" x14ac:dyDescent="0.4">
      <c r="A53" s="81"/>
      <c r="B53" s="76" t="s">
        <v>111</v>
      </c>
      <c r="C53" s="92">
        <v>447315</v>
      </c>
      <c r="D53" s="92">
        <f>'8. melléklet Önkormányzat'!D54+'9.  melléklet Hivatal'!D53+'10. melléklet Isaszegi Héts'!D53+'11.  melléklet Isaszegi Bóbi'!D52+'12. mell. Isaszegi Humánszol'!D53+'13.  mellékletMűvelődési ház'!D53+'14. melléklet Könyvtár'!D53+'15.melléklet IVÜSZ'!D53+'12. mell. Isaszegi Humánszol'!D141+'16. melléklet Bölcsőde'!D53</f>
        <v>449046</v>
      </c>
      <c r="E53" s="92">
        <f>'8. melléklet Önkormányzat'!E54+'9.  melléklet Hivatal'!E53+'10. melléklet Isaszegi Héts'!E53+'11.  melléklet Isaszegi Bóbi'!E52+'12. mell. Isaszegi Humánszol'!E53+'13.  mellékletMűvelődési ház'!E53+'14. melléklet Könyvtár'!E53+'15.melléklet IVÜSZ'!E53+'12. mell. Isaszegi Humánszol'!E141+'16. melléklet Bölcsőde'!E53</f>
        <v>29213</v>
      </c>
      <c r="F53" s="92">
        <f>'8. melléklet Önkormányzat'!F54+'9.  melléklet Hivatal'!F53+'10. melléklet Isaszegi Héts'!F53+'11.  melléklet Isaszegi Bóbi'!F52+'12. mell. Isaszegi Humánszol'!F53+'13.  mellékletMűvelődési ház'!F53+'14. melléklet Könyvtár'!F53+'15.melléklet IVÜSZ'!F53+'12. mell. Isaszegi Humánszol'!F141+'16. melléklet Bölcsőde'!F53</f>
        <v>478259</v>
      </c>
      <c r="G53" s="92">
        <f>'8. melléklet Önkormányzat'!G54+'9.  melléklet Hivatal'!G53+'10. melléklet Isaszegi Héts'!G53+'11.  melléklet Isaszegi Bóbi'!G52+'12. mell. Isaszegi Humánszol'!G53+'13.  mellékletMűvelődési ház'!G53+'14. melléklet Könyvtár'!G53+'15.melléklet IVÜSZ'!G53+'12. mell. Isaszegi Humánszol'!G141+'16. melléklet Bölcsőde'!G53</f>
        <v>380983</v>
      </c>
      <c r="H53" s="93">
        <f>G53/F53</f>
        <v>0.7966039321790076</v>
      </c>
      <c r="I53" s="50"/>
      <c r="J53" s="84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IO53" s="47"/>
    </row>
    <row r="54" spans="1:249" s="51" customFormat="1" ht="47.25" customHeight="1" x14ac:dyDescent="0.4">
      <c r="A54" s="81"/>
      <c r="B54" s="94" t="s">
        <v>112</v>
      </c>
      <c r="C54" s="92">
        <v>0</v>
      </c>
      <c r="D54" s="92">
        <f>'8. melléklet Önkormányzat'!D55+'9.  melléklet Hivatal'!D54+'10. melléklet Isaszegi Héts'!D54+'11.  melléklet Isaszegi Bóbi'!D53+'12. mell. Isaszegi Humánszol'!D54+'13.  mellékletMűvelődési ház'!D54+'14. melléklet Könyvtár'!D54+'15.melléklet IVÜSZ'!D54+'12. mell. Isaszegi Humánszol'!D142+'16. melléklet Bölcsőde'!D54</f>
        <v>0</v>
      </c>
      <c r="E54" s="92">
        <f>'8. melléklet Önkormányzat'!E55+'9.  melléklet Hivatal'!E54+'10. melléklet Isaszegi Héts'!E54+'11.  melléklet Isaszegi Bóbi'!E53+'12. mell. Isaszegi Humánszol'!E54+'13.  mellékletMűvelődési ház'!E54+'14. melléklet Könyvtár'!E54+'15.melléklet IVÜSZ'!E54+'12. mell. Isaszegi Humánszol'!E142+'16. melléklet Bölcsőde'!E54</f>
        <v>0</v>
      </c>
      <c r="F54" s="92">
        <f>'8. melléklet Önkormányzat'!F55+'9.  melléklet Hivatal'!F54+'10. melléklet Isaszegi Héts'!F54+'11.  melléklet Isaszegi Bóbi'!F53+'12. mell. Isaszegi Humánszol'!F54+'13.  mellékletMűvelődési ház'!F54+'14. melléklet Könyvtár'!F54+'15.melléklet IVÜSZ'!F54+'12. mell. Isaszegi Humánszol'!F142+'16. melléklet Bölcsőde'!F54</f>
        <v>0</v>
      </c>
      <c r="G54" s="92">
        <f>'8. melléklet Önkormányzat'!G55+'9.  melléklet Hivatal'!G54+'10. melléklet Isaszegi Héts'!G54+'11.  melléklet Isaszegi Bóbi'!G53+'12. mell. Isaszegi Humánszol'!G54+'13.  mellékletMűvelődési ház'!G54+'14. melléklet Könyvtár'!G54+'15.melléklet IVÜSZ'!G54+'12. mell. Isaszegi Humánszol'!G142</f>
        <v>0</v>
      </c>
      <c r="H54" s="93"/>
      <c r="I54" s="50"/>
      <c r="J54" s="84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IO54" s="47"/>
    </row>
    <row r="55" spans="1:249" s="51" customFormat="1" x14ac:dyDescent="0.4">
      <c r="A55" s="81"/>
      <c r="B55" s="94" t="s">
        <v>113</v>
      </c>
      <c r="C55" s="92">
        <v>0</v>
      </c>
      <c r="D55" s="92">
        <f>'8. melléklet Önkormányzat'!D56+'9.  melléklet Hivatal'!D55+'10. melléklet Isaszegi Héts'!D55+'11.  melléklet Isaszegi Bóbi'!D54+'12. mell. Isaszegi Humánszol'!D55+'13.  mellékletMűvelődési ház'!D55+'14. melléklet Könyvtár'!D55+'15.melléklet IVÜSZ'!D55+'12. mell. Isaszegi Humánszol'!D143+'16. melléklet Bölcsőde'!D55</f>
        <v>0</v>
      </c>
      <c r="E55" s="92">
        <f>'8. melléklet Önkormányzat'!E56+'9.  melléklet Hivatal'!E55+'10. melléklet Isaszegi Héts'!E55+'11.  melléklet Isaszegi Bóbi'!E54+'12. mell. Isaszegi Humánszol'!E55+'13.  mellékletMűvelődési ház'!E55+'14. melléklet Könyvtár'!E55+'15.melléklet IVÜSZ'!E55+'12. mell. Isaszegi Humánszol'!E143+'16. melléklet Bölcsőde'!E55</f>
        <v>0</v>
      </c>
      <c r="F55" s="92">
        <f>'8. melléklet Önkormányzat'!F56+'9.  melléklet Hivatal'!F55+'10. melléklet Isaszegi Héts'!F55+'11.  melléklet Isaszegi Bóbi'!F54+'12. mell. Isaszegi Humánszol'!F55+'13.  mellékletMűvelődési ház'!F55+'14. melléklet Könyvtár'!F55+'15.melléklet IVÜSZ'!F55+'12. mell. Isaszegi Humánszol'!F143+'16. melléklet Bölcsőde'!F55</f>
        <v>0</v>
      </c>
      <c r="G55" s="92">
        <f>'8. melléklet Önkormányzat'!G56+'9.  melléklet Hivatal'!G55+'10. melléklet Isaszegi Héts'!G55+'11.  melléklet Isaszegi Bóbi'!G54+'12. mell. Isaszegi Humánszol'!G55+'13.  mellékletMűvelődési ház'!G55+'14. melléklet Könyvtár'!G55+'15.melléklet IVÜSZ'!G55+'12. mell. Isaszegi Humánszol'!G143</f>
        <v>0</v>
      </c>
      <c r="H55" s="93"/>
      <c r="I55" s="50"/>
      <c r="J55" s="84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IO55" s="47"/>
    </row>
    <row r="56" spans="1:249" s="51" customFormat="1" x14ac:dyDescent="0.4">
      <c r="A56" s="81"/>
      <c r="B56" s="76" t="s">
        <v>114</v>
      </c>
      <c r="C56" s="92">
        <v>28020</v>
      </c>
      <c r="D56" s="92">
        <f>'8. melléklet Önkormányzat'!D57+'9.  melléklet Hivatal'!D56+'10. melléklet Isaszegi Héts'!D56+'11.  melléklet Isaszegi Bóbi'!D55+'12. mell. Isaszegi Humánszol'!D56+'13.  mellékletMűvelődési ház'!D56+'14. melléklet Könyvtár'!D56+'15.melléklet IVÜSZ'!D56+'12. mell. Isaszegi Humánszol'!D144+'16. melléklet Bölcsőde'!D56</f>
        <v>27239</v>
      </c>
      <c r="E56" s="92">
        <f>'8. melléklet Önkormányzat'!E57+'9.  melléklet Hivatal'!E56+'10. melléklet Isaszegi Héts'!E56+'11.  melléklet Isaszegi Bóbi'!E55+'12. mell. Isaszegi Humánszol'!E56+'13.  mellékletMűvelődési ház'!E56+'14. melléklet Könyvtár'!E56+'15.melléklet IVÜSZ'!E56+'12. mell. Isaszegi Humánszol'!E144+'16. melléklet Bölcsőde'!E56</f>
        <v>-9586</v>
      </c>
      <c r="F56" s="92">
        <f>'8. melléklet Önkormányzat'!F57+'9.  melléklet Hivatal'!F56+'10. melléklet Isaszegi Héts'!F56+'11.  melléklet Isaszegi Bóbi'!F55+'12. mell. Isaszegi Humánszol'!F56+'13.  mellékletMűvelődési ház'!F56+'14. melléklet Könyvtár'!F56+'15.melléklet IVÜSZ'!F56+'12. mell. Isaszegi Humánszol'!F144+'16. melléklet Bölcsőde'!F56</f>
        <v>17653</v>
      </c>
      <c r="G56" s="92">
        <f>'8. melléklet Önkormányzat'!G57+'9.  melléklet Hivatal'!G56+'10. melléklet Isaszegi Héts'!G56+'11.  melléklet Isaszegi Bóbi'!G55+'12. mell. Isaszegi Humánszol'!G56+'13.  mellékletMűvelődési ház'!G56+'14. melléklet Könyvtár'!G56+'15.melléklet IVÜSZ'!G56+'12. mell. Isaszegi Humánszol'!G144</f>
        <v>8206</v>
      </c>
      <c r="H56" s="93">
        <f>G56/F56</f>
        <v>0.46485016711040616</v>
      </c>
      <c r="I56" s="50"/>
      <c r="J56" s="84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IO56" s="47"/>
    </row>
    <row r="57" spans="1:249" s="51" customFormat="1" x14ac:dyDescent="0.4">
      <c r="A57" s="81"/>
      <c r="B57" s="76" t="s">
        <v>115</v>
      </c>
      <c r="C57" s="92">
        <v>47720</v>
      </c>
      <c r="D57" s="92">
        <f>'8. melléklet Önkormányzat'!D58+'9.  melléklet Hivatal'!D57+'10. melléklet Isaszegi Héts'!D57+'11.  melléklet Isaszegi Bóbi'!D56+'12. mell. Isaszegi Humánszol'!D57+'13.  mellékletMűvelődési ház'!D57+'14. melléklet Könyvtár'!D57+'15.melléklet IVÜSZ'!D57+'12. mell. Isaszegi Humánszol'!D145+'16. melléklet Bölcsőde'!D57</f>
        <v>51841</v>
      </c>
      <c r="E57" s="92">
        <f>'8. melléklet Önkormányzat'!E58+'9.  melléklet Hivatal'!E57+'10. melléklet Isaszegi Héts'!E57+'11.  melléklet Isaszegi Bóbi'!E56+'12. mell. Isaszegi Humánszol'!E57+'13.  mellékletMűvelődési ház'!E57+'14. melléklet Könyvtár'!E57+'15.melléklet IVÜSZ'!E57+'12. mell. Isaszegi Humánszol'!E145+'16. melléklet Bölcsőde'!E57</f>
        <v>-1926</v>
      </c>
      <c r="F57" s="92">
        <f>'8. melléklet Önkormányzat'!F58+'9.  melléklet Hivatal'!F57+'10. melléklet Isaszegi Héts'!F57+'11.  melléklet Isaszegi Bóbi'!F56+'12. mell. Isaszegi Humánszol'!F57+'13.  mellékletMűvelődési ház'!F57+'14. melléklet Könyvtár'!F57+'15.melléklet IVÜSZ'!F57+'12. mell. Isaszegi Humánszol'!F145+'16. melléklet Bölcsőde'!F57</f>
        <v>49915</v>
      </c>
      <c r="G57" s="92">
        <f>'8. melléklet Önkormányzat'!G58+'9.  melléklet Hivatal'!G57+'10. melléklet Isaszegi Héts'!G57+'11.  melléklet Isaszegi Bóbi'!G56+'12. mell. Isaszegi Humánszol'!G57+'13.  mellékletMűvelődési ház'!G57+'14. melléklet Könyvtár'!G57+'15.melléklet IVÜSZ'!G57+'12. mell. Isaszegi Humánszol'!G145</f>
        <v>8354</v>
      </c>
      <c r="H57" s="93">
        <f>G57/F57</f>
        <v>0.16736451968346189</v>
      </c>
      <c r="I57" s="50"/>
      <c r="J57" s="84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IO57" s="47"/>
    </row>
    <row r="58" spans="1:249" s="51" customFormat="1" x14ac:dyDescent="0.4">
      <c r="A58" s="81"/>
      <c r="B58" s="94" t="s">
        <v>116</v>
      </c>
      <c r="C58" s="92">
        <v>30000</v>
      </c>
      <c r="D58" s="92">
        <f>'8. melléklet Önkormányzat'!D59+'9.  melléklet Hivatal'!D58+'10. melléklet Isaszegi Héts'!D58+'11.  melléklet Isaszegi Bóbi'!D57+'12. mell. Isaszegi Humánszol'!D58+'13.  mellékletMűvelődési ház'!D58+'14. melléklet Könyvtár'!D58+'15.melléklet IVÜSZ'!D58+'12. mell. Isaszegi Humánszol'!D146+'16. melléklet Bölcsőde'!D58</f>
        <v>33091</v>
      </c>
      <c r="E58" s="92">
        <f>'8. melléklet Önkormányzat'!E59+'9.  melléklet Hivatal'!E58+'10. melléklet Isaszegi Héts'!E58+'11.  melléklet Isaszegi Bóbi'!E57+'12. mell. Isaszegi Humánszol'!E58+'13.  mellékletMűvelődési ház'!E58+'14. melléklet Könyvtár'!E58+'15.melléklet IVÜSZ'!E58+'12. mell. Isaszegi Humánszol'!E146+'16. melléklet Bölcsőde'!E58</f>
        <v>-1926</v>
      </c>
      <c r="F58" s="92">
        <f>'8. melléklet Önkormányzat'!F59+'9.  melléklet Hivatal'!F58+'10. melléklet Isaszegi Héts'!F58+'11.  melléklet Isaszegi Bóbi'!F57+'12. mell. Isaszegi Humánszol'!F58+'13.  mellékletMűvelődési ház'!F58+'14. melléklet Könyvtár'!F58+'15.melléklet IVÜSZ'!F58+'12. mell. Isaszegi Humánszol'!F146+'16. melléklet Bölcsőde'!F58</f>
        <v>31165</v>
      </c>
      <c r="G58" s="92">
        <f>'8. melléklet Önkormányzat'!G59+'9.  melléklet Hivatal'!G58+'10. melléklet Isaszegi Héts'!G58+'11.  melléklet Isaszegi Bóbi'!G57+'12. mell. Isaszegi Humánszol'!G58+'13.  mellékletMűvelődési ház'!G58+'14. melléklet Könyvtár'!G58+'15.melléklet IVÜSZ'!G58+'12. mell. Isaszegi Humánszol'!G146</f>
        <v>0</v>
      </c>
      <c r="H58" s="93">
        <f>G58/F58</f>
        <v>0</v>
      </c>
      <c r="I58" s="50"/>
      <c r="J58" s="84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IO58" s="47"/>
    </row>
    <row r="59" spans="1:249" s="51" customFormat="1" x14ac:dyDescent="0.4">
      <c r="A59" s="81"/>
      <c r="B59" s="94" t="s">
        <v>117</v>
      </c>
      <c r="C59" s="92">
        <v>0</v>
      </c>
      <c r="D59" s="92">
        <f>'8. melléklet Önkormányzat'!D60+'9.  melléklet Hivatal'!D59+'10. melléklet Isaszegi Héts'!D59+'11.  melléklet Isaszegi Bóbi'!D58+'12. mell. Isaszegi Humánszol'!D59+'13.  mellékletMűvelődési ház'!D59+'14. melléklet Könyvtár'!D59+'15.melléklet IVÜSZ'!D59+'12. mell. Isaszegi Humánszol'!D147+'16. melléklet Bölcsőde'!D59</f>
        <v>0</v>
      </c>
      <c r="E59" s="92">
        <f>'8. melléklet Önkormányzat'!E60+'9.  melléklet Hivatal'!E59+'10. melléklet Isaszegi Héts'!E59+'11.  melléklet Isaszegi Bóbi'!E58+'12. mell. Isaszegi Humánszol'!E59+'13.  mellékletMűvelődési ház'!E59+'14. melléklet Könyvtár'!E59+'15.melléklet IVÜSZ'!E59+'12. mell. Isaszegi Humánszol'!E147+'16. melléklet Bölcsőde'!E59</f>
        <v>0</v>
      </c>
      <c r="F59" s="92">
        <f>'8. melléklet Önkormányzat'!F60+'9.  melléklet Hivatal'!F59+'10. melléklet Isaszegi Héts'!F59+'11.  melléklet Isaszegi Bóbi'!F58+'12. mell. Isaszegi Humánszol'!F59+'13.  mellékletMűvelődési ház'!F59+'14. melléklet Könyvtár'!F59+'15.melléklet IVÜSZ'!F59+'12. mell. Isaszegi Humánszol'!F147+'16. melléklet Bölcsőde'!F59</f>
        <v>0</v>
      </c>
      <c r="G59" s="92">
        <f>'8. melléklet Önkormányzat'!G60+'9.  melléklet Hivatal'!G59+'10. melléklet Isaszegi Héts'!G59+'11.  melléklet Isaszegi Bóbi'!G58+'12. mell. Isaszegi Humánszol'!G59+'13.  mellékletMűvelődési ház'!G59+'14. melléklet Könyvtár'!G59+'15.melléklet IVÜSZ'!G59+'12. mell. Isaszegi Humánszol'!G147</f>
        <v>0</v>
      </c>
      <c r="H59" s="93"/>
      <c r="I59" s="50"/>
      <c r="J59" s="84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IO59" s="47"/>
    </row>
    <row r="60" spans="1:249" s="51" customFormat="1" x14ac:dyDescent="0.4">
      <c r="A60" s="81"/>
      <c r="B60" s="94" t="s">
        <v>118</v>
      </c>
      <c r="C60" s="92">
        <v>17720</v>
      </c>
      <c r="D60" s="92">
        <f>'8. melléklet Önkormányzat'!D61+'9.  melléklet Hivatal'!D60+'10. melléklet Isaszegi Héts'!D60+'11.  melléklet Isaszegi Bóbi'!D59+'12. mell. Isaszegi Humánszol'!D60+'13.  mellékletMűvelődési ház'!D60+'14. melléklet Könyvtár'!D60+'15.melléklet IVÜSZ'!D60+'12. mell. Isaszegi Humánszol'!D148+'16. melléklet Bölcsőde'!D60</f>
        <v>17720</v>
      </c>
      <c r="E60" s="92">
        <f>'8. melléklet Önkormányzat'!E61+'9.  melléklet Hivatal'!E60+'10. melléklet Isaszegi Héts'!E60+'11.  melléklet Isaszegi Bóbi'!E59+'12. mell. Isaszegi Humánszol'!E60+'13.  mellékletMűvelődési ház'!E60+'14. melléklet Könyvtár'!E60+'15.melléklet IVÜSZ'!E60+'12. mell. Isaszegi Humánszol'!E148+'16. melléklet Bölcsőde'!E60</f>
        <v>0</v>
      </c>
      <c r="F60" s="92">
        <f>'8. melléklet Önkormányzat'!F61+'9.  melléklet Hivatal'!F60+'10. melléklet Isaszegi Héts'!F60+'11.  melléklet Isaszegi Bóbi'!F59+'12. mell. Isaszegi Humánszol'!F60+'13.  mellékletMűvelődési ház'!F60+'14. melléklet Könyvtár'!F60+'15.melléklet IVÜSZ'!F60+'12. mell. Isaszegi Humánszol'!F148+'16. melléklet Bölcsőde'!F60</f>
        <v>17720</v>
      </c>
      <c r="G60" s="92">
        <f>'8. melléklet Önkormányzat'!G61+'9.  melléklet Hivatal'!G60+'10. melléklet Isaszegi Héts'!G60+'11.  melléklet Isaszegi Bóbi'!G59+'12. mell. Isaszegi Humánszol'!G60+'13.  mellékletMűvelődési ház'!G60+'14. melléklet Könyvtár'!G60+'15.melléklet IVÜSZ'!G60+'12. mell. Isaszegi Humánszol'!G148</f>
        <v>7028</v>
      </c>
      <c r="H60" s="93">
        <f>G60/F60</f>
        <v>0.39661399548532733</v>
      </c>
      <c r="I60" s="50"/>
      <c r="J60" s="84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IO60" s="47"/>
    </row>
    <row r="61" spans="1:249" s="51" customFormat="1" x14ac:dyDescent="0.4">
      <c r="A61" s="81"/>
      <c r="B61" s="95"/>
      <c r="C61" s="92">
        <v>0</v>
      </c>
      <c r="D61" s="92">
        <f>'8. melléklet Önkormányzat'!D62+'9.  melléklet Hivatal'!D61+'10. melléklet Isaszegi Héts'!D61+'11.  melléklet Isaszegi Bóbi'!D60+'12. mell. Isaszegi Humánszol'!D61+'13.  mellékletMűvelődési ház'!D61+'14. melléklet Könyvtár'!D61+'15.melléklet IVÜSZ'!D61+'12. mell. Isaszegi Humánszol'!D149+'16. melléklet Bölcsőde'!D61</f>
        <v>0</v>
      </c>
      <c r="E61" s="92">
        <f>'8. melléklet Önkormányzat'!E62+'9.  melléklet Hivatal'!E61+'10. melléklet Isaszegi Héts'!E61+'11.  melléklet Isaszegi Bóbi'!E60+'12. mell. Isaszegi Humánszol'!E61+'13.  mellékletMűvelődési ház'!E61+'14. melléklet Könyvtár'!E61+'15.melléklet IVÜSZ'!E61+'12. mell. Isaszegi Humánszol'!E149+'16. melléklet Bölcsőde'!E61</f>
        <v>0</v>
      </c>
      <c r="F61" s="92">
        <f>'8. melléklet Önkormányzat'!F62+'9.  melléklet Hivatal'!F61+'10. melléklet Isaszegi Héts'!F61+'11.  melléklet Isaszegi Bóbi'!F60+'12. mell. Isaszegi Humánszol'!F61+'13.  mellékletMűvelődési ház'!F61+'14. melléklet Könyvtár'!F61+'15.melléklet IVÜSZ'!F61+'12. mell. Isaszegi Humánszol'!F149+'16. melléklet Bölcsőde'!F61</f>
        <v>0</v>
      </c>
      <c r="G61" s="92">
        <f>'8. melléklet Önkormányzat'!G62+'9.  melléklet Hivatal'!G61+'10. melléklet Isaszegi Héts'!G61+'11.  melléklet Isaszegi Bóbi'!G60+'12. mell. Isaszegi Humánszol'!G61+'13.  mellékletMűvelődési ház'!G61+'14. melléklet Könyvtár'!G61+'15.melléklet IVÜSZ'!G61</f>
        <v>0</v>
      </c>
      <c r="H61" s="93"/>
      <c r="I61" s="50"/>
      <c r="J61" s="84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IO61" s="47"/>
    </row>
    <row r="62" spans="1:249" s="51" customFormat="1" x14ac:dyDescent="0.4">
      <c r="A62" s="70" t="s">
        <v>64</v>
      </c>
      <c r="B62" s="70" t="s">
        <v>119</v>
      </c>
      <c r="C62" s="96">
        <v>349540</v>
      </c>
      <c r="D62" s="96">
        <f>D63+D66+D67+D70</f>
        <v>341577</v>
      </c>
      <c r="E62" s="96">
        <f>E63+E66+E67+E70</f>
        <v>-22657</v>
      </c>
      <c r="F62" s="96">
        <f t="shared" ref="F62" si="4">F63+F66+F67+F70</f>
        <v>318920</v>
      </c>
      <c r="G62" s="96">
        <f>G63+G66+G67+G70</f>
        <v>65940</v>
      </c>
      <c r="H62" s="62">
        <f>G62/F62</f>
        <v>0.20676031606672521</v>
      </c>
      <c r="I62" s="50"/>
      <c r="J62" s="84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IO62" s="47"/>
    </row>
    <row r="63" spans="1:249" s="51" customFormat="1" x14ac:dyDescent="0.4">
      <c r="A63" s="90"/>
      <c r="B63" s="91" t="s">
        <v>120</v>
      </c>
      <c r="C63" s="92">
        <v>318694</v>
      </c>
      <c r="D63" s="92">
        <f>'8. melléklet Önkormányzat'!D64+'9.  melléklet Hivatal'!D63+'10. melléklet Isaszegi Héts'!D63+'11.  melléklet Isaszegi Bóbi'!D62+'12. mell. Isaszegi Humánszol'!D63+'13.  mellékletMűvelődési ház'!D63+'14. melléklet Könyvtár'!D63+'15.melléklet IVÜSZ'!D63</f>
        <v>292767</v>
      </c>
      <c r="E63" s="485">
        <f>'8. melléklet Önkormányzat'!E64+'9.  melléklet Hivatal'!E63+'10. melléklet Isaszegi Héts'!E63+'11.  melléklet Isaszegi Bóbi'!E62+'12. mell. Isaszegi Humánszol'!E63+'13.  mellékletMűvelődési ház'!E63+'14. melléklet Könyvtár'!E63+'15.melléklet IVÜSZ'!E63</f>
        <v>2718</v>
      </c>
      <c r="F63" s="92">
        <f t="shared" ref="F63:F73" si="5">D63+E63</f>
        <v>295485</v>
      </c>
      <c r="G63" s="92">
        <f>'8. melléklet Önkormányzat'!G64+'9.  melléklet Hivatal'!G63+'10. melléklet Isaszegi Héts'!G63+'11.  melléklet Isaszegi Bóbi'!G62+'12. mell. Isaszegi Humánszol'!G63+'13.  mellékletMűvelődési ház'!G63+'14. melléklet Könyvtár'!G63+'15.melléklet IVÜSZ'!G63</f>
        <v>45987</v>
      </c>
      <c r="H63" s="93">
        <f>G63/F63</f>
        <v>0.15563226559723844</v>
      </c>
      <c r="I63" s="50"/>
      <c r="J63" s="84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49" s="51" customFormat="1" ht="50.7" customHeight="1" x14ac:dyDescent="0.4">
      <c r="A64" s="90"/>
      <c r="B64" s="94" t="s">
        <v>121</v>
      </c>
      <c r="C64" s="92">
        <v>0</v>
      </c>
      <c r="D64" s="92">
        <f>'8. melléklet Önkormányzat'!D65+'9.  melléklet Hivatal'!D64+'10. melléklet Isaszegi Héts'!D64+'11.  melléklet Isaszegi Bóbi'!D63+'12. mell. Isaszegi Humánszol'!D64+'13.  mellékletMűvelődési ház'!D64+'14. melléklet Könyvtár'!D64+'15.melléklet IVÜSZ'!D64</f>
        <v>0</v>
      </c>
      <c r="E64" s="485">
        <f>'8. melléklet Önkormányzat'!E65+'9.  melléklet Hivatal'!E64+'10. melléklet Isaszegi Héts'!E64+'11.  melléklet Isaszegi Bóbi'!E63+'12. mell. Isaszegi Humánszol'!E64+'13.  mellékletMűvelődési ház'!E64+'14. melléklet Könyvtár'!E64+'15.melléklet IVÜSZ'!E64</f>
        <v>0</v>
      </c>
      <c r="F64" s="92">
        <f t="shared" si="5"/>
        <v>0</v>
      </c>
      <c r="G64" s="92">
        <f>'8. melléklet Önkormányzat'!G65+'9.  melléklet Hivatal'!G64+'10. melléklet Isaszegi Héts'!G64+'11.  melléklet Isaszegi Bóbi'!G63+'12. mell. Isaszegi Humánszol'!G64+'13.  mellékletMűvelődési ház'!G64+'14. melléklet Könyvtár'!G64+'15.melléklet IVÜSZ'!G64</f>
        <v>0</v>
      </c>
      <c r="H64" s="93"/>
      <c r="I64" s="50"/>
      <c r="J64" s="84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28" s="51" customFormat="1" ht="59.7" customHeight="1" x14ac:dyDescent="0.4">
      <c r="A65" s="90"/>
      <c r="B65" s="94" t="s">
        <v>122</v>
      </c>
      <c r="C65" s="92">
        <v>0</v>
      </c>
      <c r="D65" s="92">
        <f>'8. melléklet Önkormányzat'!D66+'9.  melléklet Hivatal'!D65+'10. melléklet Isaszegi Héts'!D65+'11.  melléklet Isaszegi Bóbi'!D64+'12. mell. Isaszegi Humánszol'!D65+'13.  mellékletMűvelődési ház'!D65+'14. melléklet Könyvtár'!D65+'15.melléklet IVÜSZ'!D65</f>
        <v>0</v>
      </c>
      <c r="E65" s="485">
        <f>'8. melléklet Önkormányzat'!E66+'9.  melléklet Hivatal'!E65+'10. melléklet Isaszegi Héts'!E65+'11.  melléklet Isaszegi Bóbi'!E64+'12. mell. Isaszegi Humánszol'!E65+'13.  mellékletMűvelődési ház'!E65+'14. melléklet Könyvtár'!E65+'15.melléklet IVÜSZ'!E65</f>
        <v>0</v>
      </c>
      <c r="F65" s="92">
        <f t="shared" si="5"/>
        <v>0</v>
      </c>
      <c r="G65" s="92">
        <f>'8. melléklet Önkormányzat'!G66+'9.  melléklet Hivatal'!G65+'10. melléklet Isaszegi Héts'!G65+'11.  melléklet Isaszegi Bóbi'!G64+'12. mell. Isaszegi Humánszol'!G65+'13.  mellékletMűvelődési ház'!G65+'14. melléklet Könyvtár'!G65+'15.melléklet IVÜSZ'!G65</f>
        <v>0</v>
      </c>
      <c r="H65" s="93"/>
      <c r="I65" s="50"/>
      <c r="J65" s="84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1:28" x14ac:dyDescent="0.4">
      <c r="A66" s="81"/>
      <c r="B66" s="76" t="s">
        <v>123</v>
      </c>
      <c r="C66" s="92">
        <v>846</v>
      </c>
      <c r="D66" s="92">
        <f>'8. melléklet Önkormányzat'!D67+'9.  melléklet Hivatal'!D66+'10. melléklet Isaszegi Héts'!D66+'11.  melléklet Isaszegi Bóbi'!D65+'12. mell. Isaszegi Humánszol'!D66+'13.  mellékletMűvelődési ház'!D66+'14. melléklet Könyvtár'!D66+'15.melléklet IVÜSZ'!D66</f>
        <v>9019</v>
      </c>
      <c r="E66" s="485">
        <f>'4_.melléklet'!E15</f>
        <v>13998</v>
      </c>
      <c r="F66" s="92">
        <f>SUM(D66:E66)</f>
        <v>23017</v>
      </c>
      <c r="G66" s="92">
        <f>'8. melléklet Önkormányzat'!G67+'9.  melléklet Hivatal'!G66+'10. melléklet Isaszegi Héts'!G66+'11.  melléklet Isaszegi Bóbi'!G65+'12. mell. Isaszegi Humánszol'!G66+'13.  mellékletMűvelődési ház'!G66+'14. melléklet Könyvtár'!G66+'15.melléklet IVÜSZ'!G66</f>
        <v>19953</v>
      </c>
      <c r="H66" s="93">
        <f>G66/F66</f>
        <v>0.86688100099926146</v>
      </c>
      <c r="J66" s="84"/>
    </row>
    <row r="67" spans="1:28" x14ac:dyDescent="0.4">
      <c r="A67" s="81"/>
      <c r="B67" s="76" t="s">
        <v>124</v>
      </c>
      <c r="C67" s="92"/>
      <c r="D67" s="92"/>
      <c r="E67" s="485">
        <v>0</v>
      </c>
      <c r="F67" s="92">
        <f t="shared" si="5"/>
        <v>0</v>
      </c>
      <c r="G67" s="92"/>
      <c r="H67" s="93"/>
      <c r="J67" s="84"/>
    </row>
    <row r="68" spans="1:28" x14ac:dyDescent="0.4">
      <c r="A68" s="81"/>
      <c r="B68" s="94" t="s">
        <v>125</v>
      </c>
      <c r="C68" s="92">
        <v>0</v>
      </c>
      <c r="D68" s="92">
        <f>'8. melléklet Önkormányzat'!D69+'9.  melléklet Hivatal'!D68+'10. melléklet Isaszegi Héts'!D68+'11.  melléklet Isaszegi Bóbi'!D67+'12. mell. Isaszegi Humánszol'!D68+'13.  mellékletMűvelődési ház'!D68+'14. melléklet Könyvtár'!D68+'15.melléklet IVÜSZ'!D68</f>
        <v>0</v>
      </c>
      <c r="E68" s="485">
        <f>'8. melléklet Önkormányzat'!E69+'9.  melléklet Hivatal'!E68+'10. melléklet Isaszegi Héts'!E68+'11.  melléklet Isaszegi Bóbi'!E67+'12. mell. Isaszegi Humánszol'!E68+'13.  mellékletMűvelődési ház'!E68+'14. melléklet Könyvtár'!E68+'15.melléklet IVÜSZ'!E68</f>
        <v>0</v>
      </c>
      <c r="F68" s="92">
        <f t="shared" si="5"/>
        <v>0</v>
      </c>
      <c r="G68" s="92">
        <f>'8. melléklet Önkormányzat'!G69+'9.  melléklet Hivatal'!G68+'10. melléklet Isaszegi Héts'!G68+'11.  melléklet Isaszegi Bóbi'!G67+'12. mell. Isaszegi Humánszol'!G68+'13.  mellékletMűvelődési ház'!G68+'14. melléklet Könyvtár'!G68+'15.melléklet IVÜSZ'!G68</f>
        <v>0</v>
      </c>
      <c r="H68" s="93"/>
      <c r="J68" s="84"/>
    </row>
    <row r="69" spans="1:28" x14ac:dyDescent="0.4">
      <c r="A69" s="81"/>
      <c r="B69" s="94" t="s">
        <v>126</v>
      </c>
      <c r="C69" s="92">
        <v>0</v>
      </c>
      <c r="D69" s="92">
        <f>'8. melléklet Önkormányzat'!D70+'9.  melléklet Hivatal'!D69+'10. melléklet Isaszegi Héts'!D69+'11.  melléklet Isaszegi Bóbi'!D68+'12. mell. Isaszegi Humánszol'!D69+'13.  mellékletMűvelődési ház'!D69+'14. melléklet Könyvtár'!D69+'15.melléklet IVÜSZ'!D69</f>
        <v>0</v>
      </c>
      <c r="E69" s="485">
        <f>'8. melléklet Önkormányzat'!E70+'9.  melléklet Hivatal'!E69+'10. melléklet Isaszegi Héts'!E69+'11.  melléklet Isaszegi Bóbi'!E68+'12. mell. Isaszegi Humánszol'!E69+'13.  mellékletMűvelődési ház'!E69+'14. melléklet Könyvtár'!E69+'15.melléklet IVÜSZ'!E69</f>
        <v>0</v>
      </c>
      <c r="F69" s="92">
        <f t="shared" si="5"/>
        <v>0</v>
      </c>
      <c r="G69" s="92">
        <f>'8. melléklet Önkormányzat'!G70+'9.  melléklet Hivatal'!G69+'10. melléklet Isaszegi Héts'!G69+'11.  melléklet Isaszegi Bóbi'!G68+'12. mell. Isaszegi Humánszol'!G69+'13.  mellékletMűvelődési ház'!G69+'14. melléklet Könyvtár'!G69+'15.melléklet IVÜSZ'!G69</f>
        <v>0</v>
      </c>
      <c r="H69" s="93"/>
      <c r="J69" s="84"/>
    </row>
    <row r="70" spans="1:28" x14ac:dyDescent="0.4">
      <c r="A70" s="81"/>
      <c r="B70" s="76" t="s">
        <v>10</v>
      </c>
      <c r="C70" s="92">
        <v>30000</v>
      </c>
      <c r="D70" s="92">
        <f>'8. melléklet Önkormányzat'!D71+'9.  melléklet Hivatal'!D70+'10. melléklet Isaszegi Héts'!D70+'11.  melléklet Isaszegi Bóbi'!D69+'12. mell. Isaszegi Humánszol'!D70+'13.  mellékletMűvelődési ház'!D70+'14. melléklet Könyvtár'!D70+'15.melléklet IVÜSZ'!D70</f>
        <v>39791</v>
      </c>
      <c r="E70" s="485">
        <f>'8. melléklet Önkormányzat'!E71+'9.  melléklet Hivatal'!E70+'10. melléklet Isaszegi Héts'!E70+'11.  melléklet Isaszegi Bóbi'!E69+'12. mell. Isaszegi Humánszol'!E70+'13.  mellékletMűvelődési ház'!E70+'14. melléklet Könyvtár'!E70+'15.melléklet IVÜSZ'!E70</f>
        <v>-39373</v>
      </c>
      <c r="F70" s="92">
        <f t="shared" si="5"/>
        <v>418</v>
      </c>
      <c r="G70" s="92">
        <f>'8. melléklet Önkormányzat'!G71+'9.  melléklet Hivatal'!G70+'10. melléklet Isaszegi Héts'!G70+'11.  melléklet Isaszegi Bóbi'!G69+'12. mell. Isaszegi Humánszol'!G70+'13.  mellékletMűvelődési ház'!G70+'14. melléklet Könyvtár'!G70+'15.melléklet IVÜSZ'!G70</f>
        <v>0</v>
      </c>
      <c r="H70" s="93">
        <f>G70/F70</f>
        <v>0</v>
      </c>
      <c r="J70" s="84"/>
    </row>
    <row r="71" spans="1:28" x14ac:dyDescent="0.4">
      <c r="C71" s="92">
        <v>0</v>
      </c>
      <c r="D71" s="92">
        <f>'8. melléklet Önkormányzat'!D72+'9.  melléklet Hivatal'!D71+'10. melléklet Isaszegi Héts'!D71+'11.  melléklet Isaszegi Bóbi'!D70+'12. mell. Isaszegi Humánszol'!D71+'13.  mellékletMűvelődési ház'!D71+'14. melléklet Könyvtár'!D71+'15.melléklet IVÜSZ'!D71</f>
        <v>0</v>
      </c>
      <c r="E71" s="92">
        <f>'8. melléklet Önkormányzat'!E72+'9.  melléklet Hivatal'!E71+'10. melléklet Isaszegi Héts'!E71+'11.  melléklet Isaszegi Bóbi'!E70+'12. mell. Isaszegi Humánszol'!E71+'13.  mellékletMűvelődési ház'!E71+'14. melléklet Könyvtár'!E71+'15.melléklet IVÜSZ'!E71</f>
        <v>0</v>
      </c>
      <c r="F71" s="92">
        <f t="shared" si="5"/>
        <v>0</v>
      </c>
      <c r="G71" s="92">
        <f>'8. melléklet Önkormányzat'!G72+'9.  melléklet Hivatal'!G71+'10. melléklet Isaszegi Héts'!G71+'11.  melléklet Isaszegi Bóbi'!G70+'12. mell. Isaszegi Humánszol'!G71+'13.  mellékletMűvelődési ház'!G71+'14. melléklet Könyvtár'!G71+'15.melléklet IVÜSZ'!G71</f>
        <v>0</v>
      </c>
      <c r="H71" s="93"/>
      <c r="J71" s="84"/>
    </row>
    <row r="72" spans="1:28" x14ac:dyDescent="0.4">
      <c r="A72" s="78"/>
      <c r="B72" s="98" t="s">
        <v>127</v>
      </c>
      <c r="C72" s="99">
        <v>1559393</v>
      </c>
      <c r="D72" s="99">
        <f>D50+D62</f>
        <v>1567641</v>
      </c>
      <c r="E72" s="99">
        <f>E50+E62</f>
        <v>-1454</v>
      </c>
      <c r="F72" s="99">
        <f>SUM(D72:E72)</f>
        <v>1566187</v>
      </c>
      <c r="G72" s="99">
        <f>G50+G62</f>
        <v>1103369</v>
      </c>
      <c r="H72" s="93">
        <f>G72/F72</f>
        <v>0.70449378011693364</v>
      </c>
      <c r="J72" s="84"/>
    </row>
    <row r="73" spans="1:28" x14ac:dyDescent="0.4">
      <c r="A73" s="78"/>
      <c r="B73" s="98"/>
      <c r="C73" s="92">
        <v>0</v>
      </c>
      <c r="D73" s="92">
        <f>'8. melléklet Önkormányzat'!D74+'9.  melléklet Hivatal'!D73+'10. melléklet Isaszegi Héts'!D73+'11.  melléklet Isaszegi Bóbi'!D72+'12. mell. Isaszegi Humánszol'!D73+'13.  mellékletMűvelődési ház'!D73+'14. melléklet Könyvtár'!D73+'15.melléklet IVÜSZ'!D73</f>
        <v>0</v>
      </c>
      <c r="E73" s="92">
        <f>'8. melléklet Önkormányzat'!E74+'9.  melléklet Hivatal'!E73+'10. melléklet Isaszegi Héts'!E73+'11.  melléklet Isaszegi Bóbi'!E72+'12. mell. Isaszegi Humánszol'!E73+'13.  mellékletMűvelődési ház'!E73+'14. melléklet Könyvtár'!E73+'15.melléklet IVÜSZ'!E73</f>
        <v>0</v>
      </c>
      <c r="F73" s="92">
        <f t="shared" si="5"/>
        <v>0</v>
      </c>
      <c r="G73" s="92">
        <f>'8. melléklet Önkormányzat'!G74+'9.  melléklet Hivatal'!G73+'10. melléklet Isaszegi Héts'!G73+'11.  melléklet Isaszegi Bóbi'!G72+'12. mell. Isaszegi Humánszol'!G73+'13.  mellékletMűvelődési ház'!G73+'14. melléklet Könyvtár'!G73+'15.melléklet IVÜSZ'!G73</f>
        <v>0</v>
      </c>
      <c r="H73" s="93"/>
      <c r="J73" s="84"/>
    </row>
    <row r="74" spans="1:28" x14ac:dyDescent="0.4">
      <c r="A74" s="70" t="s">
        <v>70</v>
      </c>
      <c r="B74" s="70" t="s">
        <v>128</v>
      </c>
      <c r="C74" s="96">
        <v>703913</v>
      </c>
      <c r="D74" s="96">
        <f>D75+D76</f>
        <v>763901</v>
      </c>
      <c r="E74" s="96">
        <f>SUM(E75:E76)</f>
        <v>19295</v>
      </c>
      <c r="F74" s="96">
        <f>F75+F76</f>
        <v>783196</v>
      </c>
      <c r="G74" s="96">
        <f>G75+G76</f>
        <v>707809</v>
      </c>
      <c r="H74" s="62">
        <f t="shared" ref="H74:H80" si="6">G74/F74</f>
        <v>0.90374440114607324</v>
      </c>
      <c r="J74" s="84"/>
    </row>
    <row r="75" spans="1:28" x14ac:dyDescent="0.4">
      <c r="A75" s="90"/>
      <c r="B75" s="91" t="s">
        <v>129</v>
      </c>
      <c r="C75" s="92">
        <v>25332</v>
      </c>
      <c r="D75" s="92">
        <f>'8. melléklet Önkormányzat'!D76+'9.  melléklet Hivatal'!D75+'10. melléklet Isaszegi Héts'!D75+'11.  melléklet Isaszegi Bóbi'!D74+'12. mell. Isaszegi Humánszol'!D75+'13.  mellékletMűvelődési ház'!D75+'14. melléklet Könyvtár'!D75+'15.melléklet IVÜSZ'!D75</f>
        <v>78112</v>
      </c>
      <c r="E75" s="92">
        <f>'8. melléklet Önkormányzat'!E76+'9.  melléklet Hivatal'!E75+'10. melléklet Isaszegi Héts'!E75+'11.  melléklet Isaszegi Bóbi'!E74+'12. mell. Isaszegi Humánszol'!E75+'13.  mellékletMűvelődési ház'!E75+'14. melléklet Könyvtár'!E75+'15.melléklet IVÜSZ'!E75</f>
        <v>80</v>
      </c>
      <c r="F75" s="92">
        <f>D75+E75</f>
        <v>78192</v>
      </c>
      <c r="G75" s="92">
        <f>'8. melléklet Önkormányzat'!G76+'9.  melléklet Hivatal'!G75+'10. melléklet Isaszegi Héts'!G75+'11.  melléklet Isaszegi Bóbi'!G74+'12. mell. Isaszegi Humánszol'!G75+'13.  mellékletMűvelődési ház'!G75+'14. melléklet Könyvtár'!G75+'15.melléklet IVÜSZ'!G75</f>
        <v>77959</v>
      </c>
      <c r="H75" s="93">
        <f t="shared" si="6"/>
        <v>0.99702015551463063</v>
      </c>
      <c r="J75" s="84"/>
    </row>
    <row r="76" spans="1:28" x14ac:dyDescent="0.4">
      <c r="A76" s="81"/>
      <c r="B76" s="91" t="s">
        <v>105</v>
      </c>
      <c r="C76" s="92">
        <v>678581</v>
      </c>
      <c r="D76" s="92">
        <f>'9.  melléklet Hivatal'!D42+'10. melléklet Isaszegi Héts'!D42+'11.  melléklet Isaszegi Bóbi'!D41+'12. mell. Isaszegi Humánszol'!D42+'13.  mellékletMűvelődési ház'!D42+'14. melléklet Könyvtár'!D42+'15.melléklet IVÜSZ'!D42+'12. mell. Isaszegi Humánszol'!D130+'16. melléklet Bölcsőde'!D42</f>
        <v>685789</v>
      </c>
      <c r="E76" s="92">
        <f>'9.  melléklet Hivatal'!E42+'10. melléklet Isaszegi Héts'!E42+'11.  melléklet Isaszegi Bóbi'!E41+'12. mell. Isaszegi Humánszol'!E42+'13.  mellékletMűvelődési ház'!E42+'14. melléklet Könyvtár'!E42+'15.melléklet IVÜSZ'!E42+'12. mell. Isaszegi Humánszol'!E130+'16. melléklet Bölcsőde'!E42</f>
        <v>19215</v>
      </c>
      <c r="F76" s="92">
        <f>'9.  melléklet Hivatal'!F42+'10. melléklet Isaszegi Héts'!F42+'11.  melléklet Isaszegi Bóbi'!F41+'12. mell. Isaszegi Humánszol'!F42+'12. mell. Isaszegi Humánszol'!F130+'13.  mellékletMűvelődési ház'!F42+'14. melléklet Könyvtár'!F42+'15.melléklet IVÜSZ'!F42+'16. melléklet Bölcsőde'!F42</f>
        <v>705004</v>
      </c>
      <c r="G76" s="92">
        <f>'8. melléklet Önkormányzat'!G77</f>
        <v>629850</v>
      </c>
      <c r="H76" s="93">
        <f t="shared" si="6"/>
        <v>0.89339918638759497</v>
      </c>
      <c r="J76" s="84"/>
    </row>
    <row r="77" spans="1:28" ht="22.8" x14ac:dyDescent="0.4">
      <c r="A77" s="100"/>
      <c r="B77" s="83" t="s">
        <v>130</v>
      </c>
      <c r="C77" s="61">
        <v>2263306</v>
      </c>
      <c r="D77" s="61">
        <f>D50+D62+D74</f>
        <v>2331542</v>
      </c>
      <c r="E77" s="61">
        <f>E50+E62+E74</f>
        <v>17841</v>
      </c>
      <c r="F77" s="61">
        <f>F50+F62+F74</f>
        <v>2349383</v>
      </c>
      <c r="G77" s="86">
        <f>G50+G62+G74</f>
        <v>1811178</v>
      </c>
      <c r="H77" s="87">
        <f t="shared" si="6"/>
        <v>0.77091644912728152</v>
      </c>
      <c r="I77" s="45">
        <f>'8. melléklet Önkormányzat'!G78+'9.  melléklet Hivatal'!G77+'10. melléklet Isaszegi Héts'!G77+'11.  melléklet Isaszegi Bóbi'!G76+'12. mell. Isaszegi Humánszol'!G165+'13.  mellékletMűvelődési ház'!G77+'14. melléklet Könyvtár'!G77+'15.melléklet IVÜSZ'!G77+'12. mell. Isaszegi Humánszol'!G77+'16. melléklet Bölcsőde'!G77</f>
        <v>1811178</v>
      </c>
      <c r="J77" s="84"/>
    </row>
    <row r="78" spans="1:28" ht="20.25" customHeight="1" x14ac:dyDescent="0.4">
      <c r="A78" s="101"/>
      <c r="B78" s="102" t="s">
        <v>131</v>
      </c>
      <c r="C78" s="99">
        <v>1584725</v>
      </c>
      <c r="D78" s="99">
        <f>'8. melléklet Önkormányzat'!D79+'9.  melléklet Hivatal'!D77+'10. melléklet Isaszegi Héts'!D77+'11.  melléklet Isaszegi Bóbi'!D71+'12. mell. Isaszegi Humánszol'!D77+'13.  mellékletMűvelődési ház'!D77+'14. melléklet Könyvtár'!D77+'15.melléklet IVÜSZ'!D77+'12. mell. Isaszegi Humánszol'!D165+'16. melléklet Bölcsőde'!D77</f>
        <v>1645753</v>
      </c>
      <c r="E78" s="99">
        <f>'8. melléklet Önkormányzat'!E79+'9.  melléklet Hivatal'!E77+'10. melléklet Isaszegi Héts'!E77+'11.  melléklet Isaszegi Bóbi'!E71+'12. mell. Isaszegi Humánszol'!E77+'13.  mellékletMűvelődési ház'!E77+'14. melléklet Könyvtár'!E77+'15.melléklet IVÜSZ'!E77+'12. mell. Isaszegi Humánszol'!E165+'16. melléklet Bölcsőde'!E77</f>
        <v>-1374</v>
      </c>
      <c r="F78" s="99">
        <f>'8. melléklet Önkormányzat'!F79+'9.  melléklet Hivatal'!F77+'10. melléklet Isaszegi Héts'!F77+'11.  melléklet Isaszegi Bóbi'!F76+'12. mell. Isaszegi Humánszol'!F77+'13.  mellékletMűvelődési ház'!F77+'14. melléklet Könyvtár'!F77+'15.melléklet IVÜSZ'!F77+'12. mell. Isaszegi Humánszol'!F165+'16. melléklet Bölcsőde'!F77</f>
        <v>1644379</v>
      </c>
      <c r="G78" s="103">
        <f>'8. melléklet Önkormányzat'!G79+'9.  melléklet Hivatal'!G77+'10. melléklet Isaszegi Héts'!G77+'11.  melléklet Isaszegi Bóbi'!G71+'12. mell. Isaszegi Humánszol'!G77+'13.  mellékletMűvelődési ház'!G77+'14. melléklet Könyvtár'!G77+'15.melléklet IVÜSZ'!G77+'12. mell. Isaszegi Humánszol'!G165+'16. melléklet Bölcsőde'!G77</f>
        <v>1181328</v>
      </c>
      <c r="H78" s="93">
        <f t="shared" si="6"/>
        <v>0.71840372566178479</v>
      </c>
      <c r="I78" s="45">
        <f>'8. melléklet Önkormányzat'!G79+'9.  melléklet Hivatal'!G77+'10. melléklet Isaszegi Héts'!G77+'11.  melléklet Isaszegi Bóbi'!G76+'12. mell. Isaszegi Humánszol'!G77+'13.  mellékletMűvelődési ház'!G77+'14. melléklet Könyvtár'!G77+'15.melléklet IVÜSZ'!G77+'12. mell. Isaszegi Humánszol'!G165+'16. melléklet Bölcsőde'!G77</f>
        <v>1181328</v>
      </c>
      <c r="J78" s="84"/>
    </row>
    <row r="79" spans="1:28" x14ac:dyDescent="0.4">
      <c r="A79" s="104"/>
      <c r="B79" s="105" t="s">
        <v>132</v>
      </c>
      <c r="C79" s="106">
        <v>140.75</v>
      </c>
      <c r="D79" s="106">
        <f>'8. melléklet Önkormányzat'!D80+'9.  melléklet Hivatal'!D79+'10. melléklet Isaszegi Héts'!D79+'11.  melléklet Isaszegi Bóbi'!D78+'12. mell. Isaszegi Humánszol'!D79+'13.  mellékletMűvelődési ház'!D79+'14. melléklet Könyvtár'!D79+'15.melléklet IVÜSZ'!D79+'12. mell. Isaszegi Humánszol'!D167</f>
        <v>143.75</v>
      </c>
      <c r="E79" s="106">
        <f>'8. melléklet Önkormányzat'!E80+'9.  melléklet Hivatal'!E79+'10. melléklet Isaszegi Héts'!E79+'11.  melléklet Isaszegi Bóbi'!E78+'12. mell. Isaszegi Humánszol'!E79+'13.  mellékletMűvelődési ház'!E79+'14. melléklet Könyvtár'!E79+'15.melléklet IVÜSZ'!E79</f>
        <v>0</v>
      </c>
      <c r="F79" s="106">
        <f>D79+E79</f>
        <v>143.75</v>
      </c>
      <c r="G79" s="106">
        <f>D79+E79</f>
        <v>143.75</v>
      </c>
      <c r="H79" s="93">
        <f t="shared" si="6"/>
        <v>1</v>
      </c>
      <c r="J79" s="84"/>
    </row>
    <row r="80" spans="1:28" x14ac:dyDescent="0.4">
      <c r="A80" s="104"/>
      <c r="B80" s="105" t="s">
        <v>133</v>
      </c>
      <c r="C80" s="106">
        <v>6</v>
      </c>
      <c r="D80" s="106">
        <f>'8. melléklet Önkormányzat'!D81+'9.  melléklet Hivatal'!D80+'10. melléklet Isaszegi Héts'!D80+'11.  melléklet Isaszegi Bóbi'!D79+'12. mell. Isaszegi Humánszol'!D80+'13.  mellékletMűvelődési ház'!D80+'14. melléklet Könyvtár'!D80+'15.melléklet IVÜSZ'!D80</f>
        <v>6</v>
      </c>
      <c r="E80" s="106">
        <f>'8. melléklet Önkormányzat'!E81+'9.  melléklet Hivatal'!E80+'10. melléklet Isaszegi Héts'!E80+'11.  melléklet Isaszegi Bóbi'!E79+'12. mell. Isaszegi Humánszol'!E80+'13.  mellékletMűvelődési ház'!E80+'14. melléklet Könyvtár'!E80+'15.melléklet IVÜSZ'!E80</f>
        <v>0</v>
      </c>
      <c r="F80" s="106">
        <f>D80+E80</f>
        <v>6</v>
      </c>
      <c r="G80" s="106">
        <f>'8. melléklet Önkormányzat'!G81+'9.  melléklet Hivatal'!G80+'10. melléklet Isaszegi Héts'!G80+'11.  melléklet Isaszegi Bóbi'!G79+'12. mell. Isaszegi Humánszol'!G80+'13.  mellékletMűvelődési ház'!G80+'14. melléklet Könyvtár'!G80+'15.melléklet IVÜSZ'!G80</f>
        <v>6</v>
      </c>
      <c r="H80" s="93">
        <f t="shared" si="6"/>
        <v>1</v>
      </c>
      <c r="J80" s="84"/>
    </row>
    <row r="81" spans="2:10" x14ac:dyDescent="0.4">
      <c r="C81" s="107"/>
      <c r="G81" s="108"/>
      <c r="H81" s="93"/>
      <c r="J81" s="84"/>
    </row>
    <row r="82" spans="2:10" ht="40.950000000000003" customHeight="1" x14ac:dyDescent="0.4">
      <c r="C82" s="46">
        <f>C78-C44</f>
        <v>0</v>
      </c>
      <c r="D82" s="46">
        <f>D78-D44</f>
        <v>0</v>
      </c>
      <c r="E82" s="46">
        <f>E78-E44</f>
        <v>0</v>
      </c>
      <c r="F82" s="46">
        <f t="shared" ref="F82" si="7">F78-F44</f>
        <v>0</v>
      </c>
      <c r="G82" s="46">
        <f>G44-G78</f>
        <v>357906</v>
      </c>
      <c r="H82" s="46">
        <f>H78-H44</f>
        <v>-0.21765420258954904</v>
      </c>
    </row>
    <row r="83" spans="2:10" x14ac:dyDescent="0.4">
      <c r="C83" s="46">
        <v>2263306</v>
      </c>
    </row>
    <row r="84" spans="2:10" x14ac:dyDescent="0.4">
      <c r="B84" s="491"/>
    </row>
    <row r="85" spans="2:10" ht="34.950000000000003" customHeight="1" x14ac:dyDescent="0.4"/>
    <row r="87" spans="2:10" ht="23.85" customHeight="1" x14ac:dyDescent="0.4"/>
    <row r="88" spans="2:10" ht="23.85" customHeight="1" x14ac:dyDescent="0.4"/>
  </sheetData>
  <sheetProtection selectLockedCells="1" selectUnlockedCells="1"/>
  <mergeCells count="6">
    <mergeCell ref="B1:C1"/>
    <mergeCell ref="B2:C2"/>
    <mergeCell ref="C4:C5"/>
    <mergeCell ref="D4:H4"/>
    <mergeCell ref="C48:C49"/>
    <mergeCell ref="D48:F48"/>
  </mergeCells>
  <printOptions horizontalCentered="1"/>
  <pageMargins left="0.78749999999999998" right="0.78749999999999998" top="0.78749999999999998" bottom="0.82708333333333328" header="0.51180555555555551" footer="0.51180555555555551"/>
  <pageSetup paperSize="8" scale="48" firstPageNumber="0" orientation="portrait" horizontalDpi="300" verticalDpi="300" r:id="rId1"/>
  <headerFooter alignWithMargins="0">
    <oddHeader xml:space="preserve">&amp;R 1.  melléklet a    /2021.(.)  önkormányzati rendelethez 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62"/>
  <sheetViews>
    <sheetView topLeftCell="A10" zoomScale="65" zoomScaleNormal="65" zoomScaleSheetLayoutView="50" workbookViewId="0">
      <selection activeCell="F47" sqref="F47"/>
    </sheetView>
  </sheetViews>
  <sheetFormatPr defaultColWidth="9" defaultRowHeight="21" x14ac:dyDescent="0.4"/>
  <cols>
    <col min="1" max="1" width="13.6640625" style="45" customWidth="1"/>
    <col min="2" max="2" width="124.6640625" style="45" customWidth="1"/>
    <col min="3" max="3" width="23" style="46" customWidth="1"/>
    <col min="4" max="4" width="18" style="45" customWidth="1"/>
    <col min="5" max="5" width="21.109375" style="45" customWidth="1"/>
    <col min="6" max="6" width="21.6640625" style="45" customWidth="1"/>
    <col min="7" max="7" width="16.6640625" style="45" customWidth="1"/>
    <col min="8" max="8" width="24.33203125" style="45" customWidth="1"/>
    <col min="9" max="28" width="9" style="45"/>
    <col min="29" max="16384" width="9" style="47"/>
  </cols>
  <sheetData>
    <row r="1" spans="1:252" s="51" customFormat="1" ht="21" customHeight="1" x14ac:dyDescent="0.4">
      <c r="A1" s="48"/>
      <c r="B1" s="520" t="s">
        <v>44</v>
      </c>
      <c r="C1" s="520"/>
      <c r="D1" s="48"/>
      <c r="E1" s="48"/>
      <c r="F1" s="48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52" s="51" customFormat="1" ht="21" customHeight="1" x14ac:dyDescent="0.4">
      <c r="A2" s="49"/>
      <c r="B2" s="520" t="s">
        <v>45</v>
      </c>
      <c r="C2" s="520"/>
      <c r="D2" s="52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52" s="51" customFormat="1" x14ac:dyDescent="0.4">
      <c r="A3" s="50"/>
      <c r="B3" s="50"/>
      <c r="C3" s="53" t="s">
        <v>46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52" s="51" customFormat="1" ht="39" customHeight="1" x14ac:dyDescent="0.4">
      <c r="A4" s="54" t="s">
        <v>47</v>
      </c>
      <c r="B4" s="54" t="s">
        <v>48</v>
      </c>
      <c r="C4" s="521" t="s">
        <v>49</v>
      </c>
      <c r="D4" s="522">
        <v>2020</v>
      </c>
      <c r="E4" s="522"/>
      <c r="F4" s="52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IR4" s="47"/>
    </row>
    <row r="5" spans="1:252" s="51" customFormat="1" ht="83.85" customHeight="1" x14ac:dyDescent="0.4">
      <c r="A5" s="55"/>
      <c r="B5" s="56" t="s">
        <v>51</v>
      </c>
      <c r="C5" s="521"/>
      <c r="D5" s="57" t="s">
        <v>52</v>
      </c>
      <c r="E5" s="57" t="s">
        <v>53</v>
      </c>
      <c r="F5" s="57" t="s">
        <v>54</v>
      </c>
      <c r="G5" s="58" t="s">
        <v>323</v>
      </c>
      <c r="H5" s="109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IR5" s="47"/>
    </row>
    <row r="6" spans="1:252" s="51" customFormat="1" x14ac:dyDescent="0.4">
      <c r="A6" s="59" t="s">
        <v>56</v>
      </c>
      <c r="B6" s="60" t="s">
        <v>57</v>
      </c>
      <c r="C6" s="61">
        <f>C12+C11+C10+C9+C8+C7</f>
        <v>632038</v>
      </c>
      <c r="D6" s="61">
        <f>D12+D11+D10+D9+D8+D7</f>
        <v>660078</v>
      </c>
      <c r="E6" s="61">
        <f>E12+E11+E10+E9+E8+E7</f>
        <v>3962</v>
      </c>
      <c r="F6" s="61">
        <f>F12+F11+F10+F9+F8+F7</f>
        <v>664040</v>
      </c>
      <c r="G6" s="61">
        <f>G12+G11+G10+G9+G8+G7</f>
        <v>664040</v>
      </c>
      <c r="H6" s="110">
        <f>G6/F6</f>
        <v>1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IR6" s="47"/>
    </row>
    <row r="7" spans="1:252" s="51" customFormat="1" x14ac:dyDescent="0.4">
      <c r="A7" s="63"/>
      <c r="B7" s="64" t="s">
        <v>58</v>
      </c>
      <c r="C7" s="65">
        <f>'1.melléklet'!C7</f>
        <v>242818</v>
      </c>
      <c r="D7" s="65">
        <f>'1.melléklet'!D7</f>
        <v>244371</v>
      </c>
      <c r="E7" s="65">
        <f>'1.melléklet'!E7</f>
        <v>219</v>
      </c>
      <c r="F7" s="65">
        <f>+D7+E7</f>
        <v>244590</v>
      </c>
      <c r="G7" s="65">
        <f>'1.melléklet'!G7</f>
        <v>244590</v>
      </c>
      <c r="H7" s="111">
        <f>G7/F7</f>
        <v>1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IR7" s="47"/>
    </row>
    <row r="8" spans="1:252" s="51" customFormat="1" x14ac:dyDescent="0.4">
      <c r="A8" s="67"/>
      <c r="B8" s="64" t="s">
        <v>59</v>
      </c>
      <c r="C8" s="65">
        <f>'1.melléklet'!C8</f>
        <v>200916</v>
      </c>
      <c r="D8" s="65">
        <f>'1.melléklet'!D8</f>
        <v>220981</v>
      </c>
      <c r="E8" s="65">
        <f>'1.melléklet'!E8</f>
        <v>0</v>
      </c>
      <c r="F8" s="65">
        <f>+D8+E8</f>
        <v>220981</v>
      </c>
      <c r="G8" s="65">
        <f>'1.melléklet'!G8</f>
        <v>220981</v>
      </c>
      <c r="H8" s="111">
        <f>G8/F8</f>
        <v>1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IR8" s="47"/>
    </row>
    <row r="9" spans="1:252" s="51" customFormat="1" x14ac:dyDescent="0.4">
      <c r="A9" s="67"/>
      <c r="B9" s="64" t="s">
        <v>60</v>
      </c>
      <c r="C9" s="65">
        <f>'1.melléklet'!C9</f>
        <v>173806</v>
      </c>
      <c r="D9" s="65">
        <f>'1.melléklet'!D9</f>
        <v>172499</v>
      </c>
      <c r="E9" s="65">
        <f>'1.melléklet'!E9</f>
        <v>3207</v>
      </c>
      <c r="F9" s="65">
        <f>+D9+E9</f>
        <v>175706</v>
      </c>
      <c r="G9" s="65">
        <f>'1.melléklet'!G9</f>
        <v>175706</v>
      </c>
      <c r="H9" s="111">
        <f>G9/F9</f>
        <v>1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IR9" s="47"/>
    </row>
    <row r="10" spans="1:252" s="51" customFormat="1" x14ac:dyDescent="0.4">
      <c r="A10" s="67"/>
      <c r="B10" s="64" t="s">
        <v>61</v>
      </c>
      <c r="C10" s="65">
        <f>'1.melléklet'!C10</f>
        <v>14498</v>
      </c>
      <c r="D10" s="65">
        <f>'1.melléklet'!D10</f>
        <v>22227</v>
      </c>
      <c r="E10" s="65">
        <f>'1.melléklet'!E10</f>
        <v>424</v>
      </c>
      <c r="F10" s="65">
        <f>+D10+E10</f>
        <v>22651</v>
      </c>
      <c r="G10" s="65">
        <f>'1.melléklet'!G10</f>
        <v>22651</v>
      </c>
      <c r="H10" s="111">
        <f>G10/F10</f>
        <v>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IR10" s="47"/>
    </row>
    <row r="11" spans="1:252" s="51" customFormat="1" x14ac:dyDescent="0.4">
      <c r="A11" s="67"/>
      <c r="B11" s="64" t="s">
        <v>134</v>
      </c>
      <c r="C11" s="65">
        <f>'1.melléklet'!C11</f>
        <v>0</v>
      </c>
      <c r="D11" s="65">
        <f>'1.melléklet'!D11</f>
        <v>0</v>
      </c>
      <c r="E11" s="65">
        <f>'1.melléklet'!E11</f>
        <v>0</v>
      </c>
      <c r="F11" s="65">
        <f>+D11+E11</f>
        <v>0</v>
      </c>
      <c r="G11" s="65">
        <f>'1.melléklet'!G11</f>
        <v>0</v>
      </c>
      <c r="H11" s="65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IR11" s="47"/>
    </row>
    <row r="12" spans="1:252" s="51" customFormat="1" x14ac:dyDescent="0.4">
      <c r="A12" s="67"/>
      <c r="B12" s="64" t="s">
        <v>63</v>
      </c>
      <c r="C12" s="65">
        <f>'1.melléklet'!C12</f>
        <v>0</v>
      </c>
      <c r="D12" s="65"/>
      <c r="E12" s="65">
        <f>'1.melléklet'!E12</f>
        <v>112</v>
      </c>
      <c r="F12" s="65">
        <f>C12+D12+E12</f>
        <v>112</v>
      </c>
      <c r="G12" s="65">
        <f>'1.melléklet'!G12</f>
        <v>112</v>
      </c>
      <c r="H12" s="65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IR12" s="47"/>
    </row>
    <row r="13" spans="1:252" s="51" customFormat="1" x14ac:dyDescent="0.4">
      <c r="A13" s="69" t="s">
        <v>64</v>
      </c>
      <c r="B13" s="60" t="s">
        <v>65</v>
      </c>
      <c r="C13" s="61">
        <f>C17+C15+C16+C14</f>
        <v>55450</v>
      </c>
      <c r="D13" s="61">
        <f>D17+D15+D16+D14</f>
        <v>66051</v>
      </c>
      <c r="E13" s="61">
        <f>E17+E15+E16+E14</f>
        <v>12000</v>
      </c>
      <c r="F13" s="61">
        <f>F17+F15+F16+F14</f>
        <v>78051</v>
      </c>
      <c r="G13" s="61">
        <f>G17+G15+G16+G14</f>
        <v>77448</v>
      </c>
      <c r="H13" s="110">
        <f>G13/F13</f>
        <v>0.99227428220009994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IR13" s="47"/>
    </row>
    <row r="14" spans="1:252" s="51" customFormat="1" x14ac:dyDescent="0.4">
      <c r="A14" s="63"/>
      <c r="B14" s="64" t="s">
        <v>135</v>
      </c>
      <c r="C14" s="65">
        <f>'8. melléklet Önkormányzat'!C17</f>
        <v>2160</v>
      </c>
      <c r="D14" s="65">
        <f>'1.melléklet'!D14</f>
        <v>3240</v>
      </c>
      <c r="E14" s="65">
        <f>'1.melléklet'!E14</f>
        <v>4494</v>
      </c>
      <c r="F14" s="65">
        <f>D14+E14</f>
        <v>7734</v>
      </c>
      <c r="G14" s="65">
        <f>'1.melléklet'!G14</f>
        <v>7194</v>
      </c>
      <c r="H14" s="93">
        <f>G14/F14</f>
        <v>0.93017843289371605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IR14" s="47"/>
    </row>
    <row r="15" spans="1:252" s="51" customFormat="1" x14ac:dyDescent="0.4">
      <c r="A15" s="67"/>
      <c r="B15" s="64" t="s">
        <v>136</v>
      </c>
      <c r="C15" s="65">
        <f>'8. melléklet Önkormányzat'!C18</f>
        <v>0</v>
      </c>
      <c r="D15" s="65">
        <f>'1.melléklet'!D15</f>
        <v>213</v>
      </c>
      <c r="E15" s="65">
        <f>'1.melléklet'!E15</f>
        <v>0</v>
      </c>
      <c r="F15" s="65">
        <f>D15+E15</f>
        <v>213</v>
      </c>
      <c r="G15" s="65">
        <f>'1.melléklet'!G15</f>
        <v>150</v>
      </c>
      <c r="H15" s="93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IR15" s="47"/>
    </row>
    <row r="16" spans="1:252" s="51" customFormat="1" x14ac:dyDescent="0.4">
      <c r="A16" s="67"/>
      <c r="B16" s="64" t="s">
        <v>68</v>
      </c>
      <c r="C16" s="65">
        <f>'8. melléklet Önkormányzat'!C19</f>
        <v>51575</v>
      </c>
      <c r="D16" s="65">
        <f>'1.melléklet'!D16</f>
        <v>60883</v>
      </c>
      <c r="E16" s="65">
        <f>'1.melléklet'!E16</f>
        <v>6091</v>
      </c>
      <c r="F16" s="65">
        <f>D16+E16</f>
        <v>66974</v>
      </c>
      <c r="G16" s="65">
        <f>'1.melléklet'!G16</f>
        <v>66974</v>
      </c>
      <c r="H16" s="93">
        <f>G16/F16</f>
        <v>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IR16" s="47"/>
    </row>
    <row r="17" spans="1:252" s="51" customFormat="1" x14ac:dyDescent="0.4">
      <c r="A17" s="67"/>
      <c r="B17" s="64" t="s">
        <v>69</v>
      </c>
      <c r="C17" s="65">
        <f>'8. melléklet Önkormányzat'!C20</f>
        <v>1715</v>
      </c>
      <c r="D17" s="65">
        <f>'1.melléklet'!D17</f>
        <v>1715</v>
      </c>
      <c r="E17" s="65">
        <f>'1.melléklet'!E17</f>
        <v>1415</v>
      </c>
      <c r="F17" s="65">
        <f>D17+E17</f>
        <v>3130</v>
      </c>
      <c r="G17" s="65">
        <f>'1.melléklet'!G17</f>
        <v>3130</v>
      </c>
      <c r="H17" s="93">
        <f>G17/F17</f>
        <v>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IR17" s="47"/>
    </row>
    <row r="18" spans="1:252" s="51" customFormat="1" ht="23.1" customHeight="1" x14ac:dyDescent="0.4">
      <c r="A18" s="69" t="s">
        <v>70</v>
      </c>
      <c r="B18" s="70" t="s">
        <v>74</v>
      </c>
      <c r="C18" s="61">
        <f>C19+C20+C21+C22</f>
        <v>297300</v>
      </c>
      <c r="D18" s="61">
        <f>D19+D20+D21+D22</f>
        <v>262826</v>
      </c>
      <c r="E18" s="61">
        <f>E19+E20+E21+E22</f>
        <v>0</v>
      </c>
      <c r="F18" s="61">
        <f>F19+F20+F21+F22</f>
        <v>262826</v>
      </c>
      <c r="G18" s="61">
        <f>G19+G20+G21+G22</f>
        <v>306049</v>
      </c>
      <c r="H18" s="110">
        <f>G18/F18</f>
        <v>1.1644548104068853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IR18" s="47"/>
    </row>
    <row r="19" spans="1:252" s="51" customFormat="1" ht="68.7" customHeight="1" x14ac:dyDescent="0.4">
      <c r="A19" s="72"/>
      <c r="B19" s="64" t="s">
        <v>75</v>
      </c>
      <c r="C19" s="65">
        <f>'1.melléklet'!C21-57000</f>
        <v>250300</v>
      </c>
      <c r="D19" s="65">
        <v>252826</v>
      </c>
      <c r="E19" s="65"/>
      <c r="F19" s="65">
        <f>D19+E19</f>
        <v>252826</v>
      </c>
      <c r="G19" s="65">
        <f>'1.melléklet'!G21-'1_B_MELLÉKLET'!G7</f>
        <v>295043</v>
      </c>
      <c r="H19" s="93">
        <f>G19/F19</f>
        <v>1.1669804529597432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IR19" s="47"/>
    </row>
    <row r="20" spans="1:252" s="51" customFormat="1" ht="21.45" customHeight="1" x14ac:dyDescent="0.4">
      <c r="A20" s="75"/>
      <c r="B20" s="76" t="s">
        <v>76</v>
      </c>
      <c r="C20" s="65">
        <f>'1.melléklet'!C22</f>
        <v>42000</v>
      </c>
      <c r="D20" s="65">
        <f>'1.melléklet'!D22</f>
        <v>0</v>
      </c>
      <c r="E20" s="65">
        <f>'1.melléklet'!E22</f>
        <v>0</v>
      </c>
      <c r="F20" s="65">
        <f>D20+E20</f>
        <v>0</v>
      </c>
      <c r="G20" s="65">
        <f>'1.melléklet'!G22</f>
        <v>0</v>
      </c>
      <c r="H20" s="93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IR20" s="47"/>
    </row>
    <row r="21" spans="1:252" s="51" customFormat="1" ht="25.2" customHeight="1" x14ac:dyDescent="0.4">
      <c r="A21" s="72"/>
      <c r="B21" s="76" t="s">
        <v>77</v>
      </c>
      <c r="C21" s="65">
        <f>'1.melléklet'!C23</f>
        <v>3000</v>
      </c>
      <c r="D21" s="65">
        <f>'1.melléklet'!D23</f>
        <v>8000</v>
      </c>
      <c r="E21" s="65">
        <f>'1.melléklet'!E23</f>
        <v>0</v>
      </c>
      <c r="F21" s="65">
        <f>D21+E21</f>
        <v>8000</v>
      </c>
      <c r="G21" s="65">
        <f>'1.melléklet'!G23</f>
        <v>9716</v>
      </c>
      <c r="H21" s="93">
        <f>G21/F21</f>
        <v>1.2144999999999999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IR21" s="47"/>
    </row>
    <row r="22" spans="1:252" s="51" customFormat="1" ht="63" x14ac:dyDescent="0.4">
      <c r="A22" s="63"/>
      <c r="B22" s="76" t="s">
        <v>78</v>
      </c>
      <c r="C22" s="65">
        <f>'1.melléklet'!C24</f>
        <v>2000</v>
      </c>
      <c r="D22" s="65">
        <f>'1.melléklet'!D24</f>
        <v>2000</v>
      </c>
      <c r="E22" s="65">
        <f>'1.melléklet'!E24</f>
        <v>0</v>
      </c>
      <c r="F22" s="65">
        <f>D22+E22</f>
        <v>2000</v>
      </c>
      <c r="G22" s="65">
        <f>'1.melléklet'!G24</f>
        <v>1290</v>
      </c>
      <c r="H22" s="93">
        <f>G22/F22</f>
        <v>0.64500000000000002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IR22" s="47"/>
    </row>
    <row r="23" spans="1:252" s="51" customFormat="1" x14ac:dyDescent="0.4">
      <c r="A23" s="69" t="s">
        <v>73</v>
      </c>
      <c r="B23" s="77" t="s">
        <v>80</v>
      </c>
      <c r="C23" s="61">
        <f>C24+C25+C26+C27+C28</f>
        <v>113342</v>
      </c>
      <c r="D23" s="61">
        <f>'1.melléklet'!D25</f>
        <v>105248</v>
      </c>
      <c r="E23" s="61">
        <f>'1.melléklet'!E25</f>
        <v>0</v>
      </c>
      <c r="F23" s="61">
        <f>'1.melléklet'!F25</f>
        <v>105248</v>
      </c>
      <c r="G23" s="61">
        <f>G24+G25+G26+G27+G28</f>
        <v>87330</v>
      </c>
      <c r="H23" s="110">
        <f>G23/F23</f>
        <v>0.82975448464578905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IR23" s="47"/>
    </row>
    <row r="24" spans="1:252" s="51" customFormat="1" ht="42" x14ac:dyDescent="0.4">
      <c r="A24" s="72"/>
      <c r="B24" s="76" t="s">
        <v>137</v>
      </c>
      <c r="C24" s="65">
        <f>'1.melléklet'!C26</f>
        <v>113342</v>
      </c>
      <c r="D24" s="65">
        <f>'1.melléklet'!D26</f>
        <v>105248</v>
      </c>
      <c r="E24" s="65">
        <f>'1.melléklet'!E26</f>
        <v>0</v>
      </c>
      <c r="F24" s="65">
        <f>+D24+E24</f>
        <v>105248</v>
      </c>
      <c r="G24" s="65">
        <f>'1.melléklet'!G26</f>
        <v>87330</v>
      </c>
      <c r="H24" s="93">
        <f>G24/F24</f>
        <v>0.82975448464578905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IR24" s="47"/>
    </row>
    <row r="25" spans="1:252" s="51" customFormat="1" x14ac:dyDescent="0.4">
      <c r="A25" s="72"/>
      <c r="B25" s="76" t="s">
        <v>82</v>
      </c>
      <c r="C25" s="65">
        <f>'1.melléklet'!C27</f>
        <v>0</v>
      </c>
      <c r="D25" s="65">
        <f>'1.melléklet'!D27</f>
        <v>0</v>
      </c>
      <c r="E25" s="65">
        <f>'1.melléklet'!E27</f>
        <v>0</v>
      </c>
      <c r="F25" s="65">
        <f>+D25+E25</f>
        <v>0</v>
      </c>
      <c r="G25" s="65">
        <f>'1.melléklet'!G27</f>
        <v>0</v>
      </c>
      <c r="H25" s="9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IR25" s="47"/>
    </row>
    <row r="26" spans="1:252" s="51" customFormat="1" x14ac:dyDescent="0.4">
      <c r="A26" s="72"/>
      <c r="B26" s="76" t="s">
        <v>83</v>
      </c>
      <c r="C26" s="65">
        <f>'1.melléklet'!C28</f>
        <v>0</v>
      </c>
      <c r="D26" s="65">
        <f>'1.melléklet'!D28</f>
        <v>0</v>
      </c>
      <c r="E26" s="65">
        <f>'1.melléklet'!E28</f>
        <v>0</v>
      </c>
      <c r="F26" s="65">
        <f>+D26+E26</f>
        <v>0</v>
      </c>
      <c r="G26" s="65">
        <f>'1.melléklet'!G28</f>
        <v>0</v>
      </c>
      <c r="H26" s="93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IR26" s="47"/>
    </row>
    <row r="27" spans="1:252" s="51" customFormat="1" x14ac:dyDescent="0.4">
      <c r="A27" s="72"/>
      <c r="B27" s="76" t="s">
        <v>84</v>
      </c>
      <c r="C27" s="65">
        <f>'1.melléklet'!C29</f>
        <v>0</v>
      </c>
      <c r="D27" s="65">
        <f>'1.melléklet'!D29</f>
        <v>0</v>
      </c>
      <c r="E27" s="65">
        <f>'1.melléklet'!E29</f>
        <v>0</v>
      </c>
      <c r="F27" s="65">
        <f>+D27+E27</f>
        <v>0</v>
      </c>
      <c r="G27" s="65">
        <f>'1.melléklet'!G29</f>
        <v>0</v>
      </c>
      <c r="H27" s="9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IR27" s="47"/>
    </row>
    <row r="28" spans="1:252" s="51" customFormat="1" x14ac:dyDescent="0.4">
      <c r="A28" s="72"/>
      <c r="B28" s="76" t="s">
        <v>85</v>
      </c>
      <c r="C28" s="65">
        <f>'1.melléklet'!C30</f>
        <v>0</v>
      </c>
      <c r="D28" s="65">
        <f>'1.melléklet'!D30</f>
        <v>0</v>
      </c>
      <c r="E28" s="65">
        <f>'1.melléklet'!E30</f>
        <v>0</v>
      </c>
      <c r="F28" s="65">
        <f>+D28+E28</f>
        <v>0</v>
      </c>
      <c r="G28" s="65">
        <f>'1.melléklet'!G30</f>
        <v>0</v>
      </c>
      <c r="H28" s="93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IR28" s="47"/>
    </row>
    <row r="29" spans="1:252" s="51" customFormat="1" x14ac:dyDescent="0.4">
      <c r="A29" s="79" t="s">
        <v>79</v>
      </c>
      <c r="B29" s="70" t="s">
        <v>90</v>
      </c>
      <c r="C29" s="61">
        <f>'1.melléklet'!C34</f>
        <v>0</v>
      </c>
      <c r="D29" s="61">
        <f>'1.melléklet'!D34</f>
        <v>5735</v>
      </c>
      <c r="E29" s="61">
        <f>'1.melléklet'!E34</f>
        <v>102</v>
      </c>
      <c r="F29" s="61">
        <f>C29+D29+E29</f>
        <v>5837</v>
      </c>
      <c r="G29" s="61">
        <f>'1.melléklet'!G34</f>
        <v>5809</v>
      </c>
      <c r="H29" s="93">
        <f t="shared" ref="H29:H34" si="0">G29/F29</f>
        <v>0.99520301524755872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IR29" s="47"/>
    </row>
    <row r="30" spans="1:252" s="51" customFormat="1" ht="32.1" customHeight="1" x14ac:dyDescent="0.4">
      <c r="A30" s="82"/>
      <c r="B30" s="70" t="s">
        <v>138</v>
      </c>
      <c r="C30" s="61">
        <f>C6+C13+C18+C23+C29</f>
        <v>1098130</v>
      </c>
      <c r="D30" s="61">
        <f>D6+D13+D18+D23+D29</f>
        <v>1099938</v>
      </c>
      <c r="E30" s="61">
        <f>E6+E13+E18+E23+E29</f>
        <v>16064</v>
      </c>
      <c r="F30" s="61">
        <f>F6+F13+F18+F23+F29</f>
        <v>1116002</v>
      </c>
      <c r="G30" s="61">
        <f>G6+G13+G18+G23+G29</f>
        <v>1140676</v>
      </c>
      <c r="H30" s="110">
        <f t="shared" si="0"/>
        <v>1.0221092793740514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IR30" s="47"/>
    </row>
    <row r="31" spans="1:252" s="51" customFormat="1" x14ac:dyDescent="0.4">
      <c r="A31" s="79" t="s">
        <v>86</v>
      </c>
      <c r="B31" s="70" t="s">
        <v>98</v>
      </c>
      <c r="C31" s="61">
        <f>'1.melléklet'!C40</f>
        <v>77024</v>
      </c>
      <c r="D31" s="61">
        <f>'1.melléklet'!D40</f>
        <v>139804</v>
      </c>
      <c r="E31" s="61">
        <v>3550</v>
      </c>
      <c r="F31" s="61">
        <f>+D31+E31</f>
        <v>143354</v>
      </c>
      <c r="G31" s="61">
        <f>'1.melléklet'!G40</f>
        <v>90573</v>
      </c>
      <c r="H31" s="110">
        <f t="shared" si="0"/>
        <v>0.63181355246452842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IR31" s="47"/>
    </row>
    <row r="32" spans="1:252" s="51" customFormat="1" x14ac:dyDescent="0.4">
      <c r="A32" s="79" t="s">
        <v>89</v>
      </c>
      <c r="B32" s="70" t="s">
        <v>100</v>
      </c>
      <c r="C32" s="61">
        <f>'8. melléklet Önkormányzat'!C44</f>
        <v>58942</v>
      </c>
      <c r="D32" s="61">
        <f>'1.melléklet'!D41</f>
        <v>62587</v>
      </c>
      <c r="E32" s="61">
        <f>'1.melléklet'!E41</f>
        <v>-511</v>
      </c>
      <c r="F32" s="61">
        <f>+D32+E32</f>
        <v>62076</v>
      </c>
      <c r="G32" s="61">
        <f>'1.melléklet'!G41</f>
        <v>62076</v>
      </c>
      <c r="H32" s="110">
        <f t="shared" si="0"/>
        <v>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IR32" s="47"/>
    </row>
    <row r="33" spans="1:252" s="51" customFormat="1" x14ac:dyDescent="0.4">
      <c r="A33" s="82"/>
      <c r="B33" s="70" t="s">
        <v>139</v>
      </c>
      <c r="C33" s="61">
        <f>C31+C32</f>
        <v>135966</v>
      </c>
      <c r="D33" s="61">
        <f>D31+D32</f>
        <v>202391</v>
      </c>
      <c r="E33" s="61">
        <f>E31+E32</f>
        <v>3039</v>
      </c>
      <c r="F33" s="61">
        <f>+D33+E33</f>
        <v>205430</v>
      </c>
      <c r="G33" s="61">
        <f>G31+G32</f>
        <v>152649</v>
      </c>
      <c r="H33" s="110">
        <f t="shared" si="0"/>
        <v>0.74307063233218129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IR33" s="47"/>
    </row>
    <row r="34" spans="1:252" s="51" customFormat="1" ht="31.95" customHeight="1" x14ac:dyDescent="0.4">
      <c r="A34" s="81"/>
      <c r="B34" s="112" t="s">
        <v>106</v>
      </c>
      <c r="C34" s="74">
        <f>C30+C33</f>
        <v>1234096</v>
      </c>
      <c r="D34" s="74">
        <f>D30+D33</f>
        <v>1302329</v>
      </c>
      <c r="E34" s="74">
        <f>E30+E33</f>
        <v>19103</v>
      </c>
      <c r="F34" s="74">
        <f>F30+F33</f>
        <v>1321432</v>
      </c>
      <c r="G34" s="74">
        <f>G30+G33</f>
        <v>1293325</v>
      </c>
      <c r="H34" s="93">
        <f t="shared" si="0"/>
        <v>0.97872989302514246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IR34" s="47"/>
    </row>
    <row r="35" spans="1:252" s="51" customFormat="1" x14ac:dyDescent="0.4">
      <c r="A35" s="45"/>
      <c r="B35" s="45"/>
      <c r="C35" s="88">
        <f>C34+'1_B_MELLÉKLET'!C18</f>
        <v>1584725</v>
      </c>
      <c r="D35" s="88">
        <f>D34+'1_B_MELLÉKLET'!D18</f>
        <v>1645753</v>
      </c>
      <c r="E35" s="88">
        <f>E34+'1_B_MELLÉKLET'!E18</f>
        <v>-1374</v>
      </c>
      <c r="F35" s="88">
        <f>F34+'1_B_MELLÉKLET'!F18</f>
        <v>1644379</v>
      </c>
      <c r="G35" s="97">
        <f>G34+'1_B_MELLÉKLET'!G18</f>
        <v>1539234</v>
      </c>
      <c r="H35" s="45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IR35" s="47"/>
    </row>
    <row r="36" spans="1:252" s="51" customFormat="1" x14ac:dyDescent="0.4">
      <c r="A36" s="45"/>
      <c r="B36" s="45"/>
      <c r="C36" s="88"/>
      <c r="D36" s="89"/>
      <c r="E36" s="45"/>
      <c r="F36" s="45"/>
      <c r="G36" s="97">
        <f>'1.melléklet'!G44</f>
        <v>1539234</v>
      </c>
      <c r="H36" s="4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IR36" s="47"/>
    </row>
    <row r="37" spans="1:252" s="51" customFormat="1" x14ac:dyDescent="0.4">
      <c r="A37" s="50"/>
      <c r="B37" s="45"/>
      <c r="C37" s="88"/>
      <c r="D37" s="89"/>
      <c r="E37" s="50"/>
      <c r="F37" s="50"/>
      <c r="G37" s="50">
        <f>G35-G36</f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52" s="51" customFormat="1" ht="39" customHeight="1" x14ac:dyDescent="0.4">
      <c r="A38" s="54" t="s">
        <v>47</v>
      </c>
      <c r="B38" s="54" t="s">
        <v>48</v>
      </c>
      <c r="C38" s="521" t="s">
        <v>49</v>
      </c>
      <c r="D38" s="522">
        <v>2020</v>
      </c>
      <c r="E38" s="522"/>
      <c r="F38" s="522"/>
      <c r="G38" s="522"/>
      <c r="H38" s="522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IR38" s="47"/>
    </row>
    <row r="39" spans="1:252" s="51" customFormat="1" ht="77.400000000000006" customHeight="1" x14ac:dyDescent="0.4">
      <c r="A39" s="54"/>
      <c r="B39" s="56" t="s">
        <v>107</v>
      </c>
      <c r="C39" s="521"/>
      <c r="D39" s="57" t="s">
        <v>52</v>
      </c>
      <c r="E39" s="57" t="s">
        <v>53</v>
      </c>
      <c r="F39" s="57" t="s">
        <v>54</v>
      </c>
      <c r="G39" s="58" t="s">
        <v>323</v>
      </c>
      <c r="H39" s="109" t="s">
        <v>55</v>
      </c>
      <c r="I39" s="113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IR39" s="47"/>
    </row>
    <row r="40" spans="1:252" s="51" customFormat="1" ht="25.5" customHeight="1" x14ac:dyDescent="0.4">
      <c r="A40" s="70" t="s">
        <v>56</v>
      </c>
      <c r="B40" s="70" t="s">
        <v>108</v>
      </c>
      <c r="C40" s="61">
        <f>C41+C42+C43+C46+C47</f>
        <v>1209853</v>
      </c>
      <c r="D40" s="61">
        <f>D41+D42+D43+D46+D47</f>
        <v>1226064</v>
      </c>
      <c r="E40" s="61">
        <f>E41+E42+E43+E46+E47</f>
        <v>21203</v>
      </c>
      <c r="F40" s="61">
        <f>F41+F42+F43+F46+F47</f>
        <v>1247267</v>
      </c>
      <c r="G40" s="61">
        <f>G41+G42+G43+G46+G47</f>
        <v>1037429</v>
      </c>
      <c r="H40" s="110">
        <f>G40/F40</f>
        <v>0.83176176392063605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IR40" s="47"/>
    </row>
    <row r="41" spans="1:252" s="51" customFormat="1" ht="25.5" customHeight="1" x14ac:dyDescent="0.4">
      <c r="A41" s="90"/>
      <c r="B41" s="91" t="s">
        <v>109</v>
      </c>
      <c r="C41" s="92">
        <f>'1.melléklet'!C51</f>
        <v>582135</v>
      </c>
      <c r="D41" s="92">
        <f>'1.melléklet'!D51</f>
        <v>596555</v>
      </c>
      <c r="E41" s="92">
        <f>'1.melléklet'!E51</f>
        <v>2905</v>
      </c>
      <c r="F41" s="92">
        <f t="shared" ref="F41:F51" si="1">D41+E41</f>
        <v>599460</v>
      </c>
      <c r="G41" s="92">
        <f>'1.melléklet'!G51</f>
        <v>545786</v>
      </c>
      <c r="H41" s="114">
        <f>G41/F41</f>
        <v>0.91046274980816067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IR41" s="47"/>
    </row>
    <row r="42" spans="1:252" s="51" customFormat="1" x14ac:dyDescent="0.4">
      <c r="A42" s="81"/>
      <c r="B42" s="76" t="s">
        <v>110</v>
      </c>
      <c r="C42" s="92">
        <f>'1.melléklet'!C52</f>
        <v>104663</v>
      </c>
      <c r="D42" s="92">
        <f>'1.melléklet'!D52</f>
        <v>101383</v>
      </c>
      <c r="E42" s="92">
        <f>'1.melléklet'!E52</f>
        <v>597</v>
      </c>
      <c r="F42" s="92">
        <f t="shared" si="1"/>
        <v>101980</v>
      </c>
      <c r="G42" s="92">
        <f>'1.melléklet'!G52</f>
        <v>94100</v>
      </c>
      <c r="H42" s="114">
        <f>G42/F42</f>
        <v>0.92272994704844091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IR42" s="47"/>
    </row>
    <row r="43" spans="1:252" s="51" customFormat="1" x14ac:dyDescent="0.4">
      <c r="A43" s="81"/>
      <c r="B43" s="76" t="s">
        <v>111</v>
      </c>
      <c r="C43" s="92">
        <f>'1.melléklet'!C53</f>
        <v>447315</v>
      </c>
      <c r="D43" s="92">
        <f>'1.melléklet'!D53</f>
        <v>449046</v>
      </c>
      <c r="E43" s="92">
        <f>'1.melléklet'!E53</f>
        <v>29213</v>
      </c>
      <c r="F43" s="92">
        <f t="shared" si="1"/>
        <v>478259</v>
      </c>
      <c r="G43" s="92">
        <f>'1.melléklet'!G53</f>
        <v>380983</v>
      </c>
      <c r="H43" s="114">
        <f>G43/F43</f>
        <v>0.7966039321790076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IR43" s="47"/>
    </row>
    <row r="44" spans="1:252" s="51" customFormat="1" ht="43.65" customHeight="1" x14ac:dyDescent="0.4">
      <c r="A44" s="81"/>
      <c r="B44" s="94" t="s">
        <v>112</v>
      </c>
      <c r="C44" s="92">
        <f>'1.melléklet'!C54</f>
        <v>0</v>
      </c>
      <c r="D44" s="92">
        <f>'1.melléklet'!D54</f>
        <v>0</v>
      </c>
      <c r="E44" s="92">
        <f>'1.melléklet'!E54</f>
        <v>0</v>
      </c>
      <c r="F44" s="92">
        <f t="shared" si="1"/>
        <v>0</v>
      </c>
      <c r="G44" s="92">
        <f>'1.melléklet'!G54</f>
        <v>0</v>
      </c>
      <c r="H44" s="114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IR44" s="47"/>
    </row>
    <row r="45" spans="1:252" s="51" customFormat="1" x14ac:dyDescent="0.4">
      <c r="A45" s="81"/>
      <c r="B45" s="94" t="s">
        <v>113</v>
      </c>
      <c r="C45" s="92">
        <f>'1.melléklet'!C55</f>
        <v>0</v>
      </c>
      <c r="D45" s="92">
        <f>'1.melléklet'!D55</f>
        <v>0</v>
      </c>
      <c r="E45" s="92">
        <f>'1.melléklet'!E55</f>
        <v>0</v>
      </c>
      <c r="F45" s="92">
        <f t="shared" si="1"/>
        <v>0</v>
      </c>
      <c r="G45" s="92">
        <f>'1.melléklet'!G55</f>
        <v>0</v>
      </c>
      <c r="H45" s="11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IR45" s="47"/>
    </row>
    <row r="46" spans="1:252" s="51" customFormat="1" x14ac:dyDescent="0.4">
      <c r="A46" s="81"/>
      <c r="B46" s="76" t="s">
        <v>114</v>
      </c>
      <c r="C46" s="92">
        <f>'1.melléklet'!C56</f>
        <v>28020</v>
      </c>
      <c r="D46" s="92">
        <f>'1.melléklet'!D56</f>
        <v>27239</v>
      </c>
      <c r="E46" s="92">
        <f>'1.melléklet'!E56</f>
        <v>-9586</v>
      </c>
      <c r="F46" s="92">
        <f t="shared" si="1"/>
        <v>17653</v>
      </c>
      <c r="G46" s="92">
        <f>'1.melléklet'!G56</f>
        <v>8206</v>
      </c>
      <c r="H46" s="114">
        <f>G46/F46</f>
        <v>0.46485016711040616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IR46" s="47"/>
    </row>
    <row r="47" spans="1:252" s="51" customFormat="1" x14ac:dyDescent="0.4">
      <c r="A47" s="81"/>
      <c r="B47" s="76" t="s">
        <v>115</v>
      </c>
      <c r="C47" s="92">
        <f>C48+C50</f>
        <v>47720</v>
      </c>
      <c r="D47" s="92">
        <f>'1.melléklet'!D57</f>
        <v>51841</v>
      </c>
      <c r="E47" s="92">
        <f>'1.melléklet'!E57</f>
        <v>-1926</v>
      </c>
      <c r="F47" s="92">
        <f t="shared" si="1"/>
        <v>49915</v>
      </c>
      <c r="G47" s="92">
        <f>'1.melléklet'!G57</f>
        <v>8354</v>
      </c>
      <c r="H47" s="114">
        <f>G47/F47</f>
        <v>0.16736451968346189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IR47" s="47"/>
    </row>
    <row r="48" spans="1:252" s="51" customFormat="1" x14ac:dyDescent="0.4">
      <c r="A48" s="81"/>
      <c r="B48" s="94" t="s">
        <v>116</v>
      </c>
      <c r="C48" s="92">
        <f>'1.melléklet'!C58</f>
        <v>30000</v>
      </c>
      <c r="D48" s="92">
        <f>'1.melléklet'!D58</f>
        <v>33091</v>
      </c>
      <c r="E48" s="92">
        <f>'1.melléklet'!E58</f>
        <v>-1926</v>
      </c>
      <c r="F48" s="92">
        <f t="shared" si="1"/>
        <v>31165</v>
      </c>
      <c r="G48" s="92">
        <f>'1.melléklet'!G58</f>
        <v>0</v>
      </c>
      <c r="H48" s="114">
        <f>G48/F48</f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IR48" s="47"/>
    </row>
    <row r="49" spans="1:252" s="51" customFormat="1" x14ac:dyDescent="0.4">
      <c r="A49" s="81"/>
      <c r="B49" s="94" t="s">
        <v>117</v>
      </c>
      <c r="C49" s="92">
        <f>'1.melléklet'!C59</f>
        <v>0</v>
      </c>
      <c r="D49" s="92">
        <f>'1.melléklet'!D59</f>
        <v>0</v>
      </c>
      <c r="E49" s="92">
        <f>'1.melléklet'!E59</f>
        <v>0</v>
      </c>
      <c r="F49" s="92">
        <f t="shared" si="1"/>
        <v>0</v>
      </c>
      <c r="G49" s="92">
        <f>'1.melléklet'!G59</f>
        <v>0</v>
      </c>
      <c r="H49" s="11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IR49" s="47"/>
    </row>
    <row r="50" spans="1:252" s="51" customFormat="1" x14ac:dyDescent="0.4">
      <c r="A50" s="81"/>
      <c r="B50" s="94" t="s">
        <v>118</v>
      </c>
      <c r="C50" s="92">
        <f>'1.melléklet'!C60</f>
        <v>17720</v>
      </c>
      <c r="D50" s="92">
        <f>'1.melléklet'!D60</f>
        <v>17720</v>
      </c>
      <c r="E50" s="92">
        <f>'1.melléklet'!E60</f>
        <v>0</v>
      </c>
      <c r="F50" s="92">
        <f t="shared" si="1"/>
        <v>17720</v>
      </c>
      <c r="G50" s="92">
        <f>'1.melléklet'!G60</f>
        <v>7028</v>
      </c>
      <c r="H50" s="114">
        <f>G50/F50</f>
        <v>0.39661399548532733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IR50" s="47"/>
    </row>
    <row r="51" spans="1:252" s="51" customFormat="1" x14ac:dyDescent="0.4">
      <c r="A51" s="81"/>
      <c r="B51" s="95"/>
      <c r="C51" s="92">
        <f>'9.  melléklet Hivatal'!C61+'10. melléklet Isaszegi Héts'!C61+'11.  melléklet Isaszegi Bóbi'!C60+'12. mell. Isaszegi Humánszol'!C61+'13.  mellékletMűvelődési ház'!C61+'14. melléklet Könyvtár'!C61+'15.melléklet IVÜSZ'!C61+'17. melléklet'!C64</f>
        <v>0</v>
      </c>
      <c r="D51" s="92">
        <f>'9.  melléklet Hivatal'!D61+'10. melléklet Isaszegi Héts'!D61+'11.  melléklet Isaszegi Bóbi'!D60+'12. mell. Isaszegi Humánszol'!D61+'13.  mellékletMűvelődési ház'!D61+'14. melléklet Könyvtár'!D61+'15.melléklet IVÜSZ'!D61+'17. melléklet'!D64</f>
        <v>0</v>
      </c>
      <c r="E51" s="92">
        <f>'9.  melléklet Hivatal'!E61+'10. melléklet Isaszegi Héts'!E61+'11.  melléklet Isaszegi Bóbi'!E60+'12. mell. Isaszegi Humánszol'!E61+'13.  mellékletMűvelődési ház'!E61+'14. melléklet Könyvtár'!E61+'15.melléklet IVÜSZ'!E61+'17. melléklet'!E64</f>
        <v>0</v>
      </c>
      <c r="F51" s="92">
        <f t="shared" si="1"/>
        <v>0</v>
      </c>
      <c r="G51" s="92">
        <f>'9.  melléklet Hivatal'!G61+'10. melléklet Isaszegi Héts'!G61+'11.  melléklet Isaszegi Bóbi'!G60+'12. mell. Isaszegi Humánszol'!G61+'13.  mellékletMűvelődési ház'!G61+'14. melléklet Könyvtár'!G61+'15.melléklet IVÜSZ'!G61+'17. melléklet'!G64</f>
        <v>0</v>
      </c>
      <c r="H51" s="11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IR51" s="47"/>
    </row>
    <row r="52" spans="1:252" x14ac:dyDescent="0.4">
      <c r="A52" s="70" t="s">
        <v>64</v>
      </c>
      <c r="B52" s="70" t="s">
        <v>128</v>
      </c>
      <c r="C52" s="96">
        <f>SUM(C53:C54)</f>
        <v>24243</v>
      </c>
      <c r="D52" s="96">
        <f>SUM(D53:D54)</f>
        <v>77023</v>
      </c>
      <c r="E52" s="96">
        <f>SUM(E53:E54)</f>
        <v>80</v>
      </c>
      <c r="F52" s="96">
        <f>SUM(F53:F54)</f>
        <v>77103</v>
      </c>
      <c r="G52" s="96">
        <f>SUM(G53:G54)</f>
        <v>77103</v>
      </c>
      <c r="H52" s="110">
        <f>G52/F52</f>
        <v>1</v>
      </c>
    </row>
    <row r="53" spans="1:252" x14ac:dyDescent="0.4">
      <c r="A53" s="90"/>
      <c r="B53" s="91" t="s">
        <v>140</v>
      </c>
      <c r="C53" s="92">
        <v>24243</v>
      </c>
      <c r="D53" s="92">
        <v>77023</v>
      </c>
      <c r="E53" s="92">
        <v>80</v>
      </c>
      <c r="F53" s="92">
        <f>+D53+E53</f>
        <v>77103</v>
      </c>
      <c r="G53" s="92">
        <f>24243+52860</f>
        <v>77103</v>
      </c>
      <c r="H53" s="114">
        <f>G53/F53</f>
        <v>1</v>
      </c>
    </row>
    <row r="54" spans="1:252" x14ac:dyDescent="0.4">
      <c r="A54" s="81"/>
      <c r="B54" s="91"/>
      <c r="C54" s="92"/>
      <c r="D54" s="92"/>
      <c r="E54" s="92"/>
      <c r="F54" s="92">
        <f>C54+D54+E54</f>
        <v>0</v>
      </c>
      <c r="G54" s="108"/>
      <c r="H54" s="114"/>
    </row>
    <row r="55" spans="1:252" x14ac:dyDescent="0.4">
      <c r="A55" s="100"/>
      <c r="B55" s="112" t="s">
        <v>141</v>
      </c>
      <c r="C55" s="99">
        <f>C40+C52</f>
        <v>1234096</v>
      </c>
      <c r="D55" s="99">
        <f>D40+D52</f>
        <v>1303087</v>
      </c>
      <c r="E55" s="99">
        <f>E40+E52</f>
        <v>21283</v>
      </c>
      <c r="F55" s="99">
        <f>F40+F52</f>
        <v>1324370</v>
      </c>
      <c r="G55" s="99">
        <f>G40+G52</f>
        <v>1114532</v>
      </c>
      <c r="H55" s="93">
        <f>G55/F55</f>
        <v>0.84155636264790046</v>
      </c>
    </row>
    <row r="56" spans="1:252" x14ac:dyDescent="0.4">
      <c r="A56" s="101"/>
      <c r="B56" s="101"/>
      <c r="C56" s="92">
        <f>'9.  melléklet Hivatal'!C78+'10. melléklet Isaszegi Héts'!C78+'11.  melléklet Isaszegi Bóbi'!C77+'12. mell. Isaszegi Humánszol'!C78+'13.  mellékletMűvelődési ház'!C78+'14. melléklet Könyvtár'!C78+'15.melléklet IVÜSZ'!C78+'17. melléklet'!C81</f>
        <v>0</v>
      </c>
      <c r="D56" s="115"/>
      <c r="E56" s="115"/>
      <c r="F56" s="115"/>
      <c r="G56" s="108"/>
      <c r="H56" s="114"/>
    </row>
    <row r="57" spans="1:252" x14ac:dyDescent="0.4">
      <c r="A57" s="104"/>
      <c r="B57" s="105" t="s">
        <v>132</v>
      </c>
      <c r="C57" s="92"/>
      <c r="D57" s="115"/>
      <c r="E57" s="115"/>
      <c r="F57" s="115"/>
      <c r="G57" s="108"/>
      <c r="H57" s="114"/>
    </row>
    <row r="58" spans="1:252" x14ac:dyDescent="0.4">
      <c r="A58" s="104"/>
      <c r="B58" s="105" t="s">
        <v>133</v>
      </c>
      <c r="C58" s="92"/>
      <c r="D58" s="115"/>
      <c r="E58" s="115"/>
      <c r="F58" s="115"/>
      <c r="G58" s="108"/>
      <c r="H58" s="114"/>
    </row>
    <row r="59" spans="1:252" x14ac:dyDescent="0.4">
      <c r="B59" s="45" t="s">
        <v>142</v>
      </c>
      <c r="C59" s="45">
        <f>C34-C55</f>
        <v>0</v>
      </c>
      <c r="D59" s="97">
        <f>D34-D55</f>
        <v>-758</v>
      </c>
      <c r="E59" s="97">
        <f>E34-E55</f>
        <v>-2180</v>
      </c>
      <c r="F59" s="97">
        <f>F34-F55</f>
        <v>-2938</v>
      </c>
      <c r="G59" s="92">
        <f>G34-G55</f>
        <v>178793</v>
      </c>
      <c r="H59" s="114"/>
    </row>
    <row r="60" spans="1:252" x14ac:dyDescent="0.4">
      <c r="C60" s="46">
        <f>C55+'1_B_MELLÉKLET'!C37</f>
        <v>1584725</v>
      </c>
      <c r="D60" s="46">
        <f>D55+'1_B_MELLÉKLET'!D37</f>
        <v>1645753</v>
      </c>
      <c r="E60" s="46">
        <f>E55+'1_B_MELLÉKLET'!E37</f>
        <v>-1374</v>
      </c>
      <c r="F60" s="46">
        <f>F55+'1_B_MELLÉKLET'!F37</f>
        <v>1644379</v>
      </c>
      <c r="G60" s="39">
        <f>G55+'1_B_MELLÉKLET'!G37</f>
        <v>1181329</v>
      </c>
      <c r="H60" s="114"/>
    </row>
    <row r="61" spans="1:252" ht="30.75" customHeight="1" x14ac:dyDescent="0.4">
      <c r="F61" s="97">
        <f>'1.melléklet'!F78</f>
        <v>1644379</v>
      </c>
      <c r="G61" s="97">
        <f>'1.melléklet'!G78</f>
        <v>1181328</v>
      </c>
      <c r="H61" s="46"/>
    </row>
    <row r="62" spans="1:252" x14ac:dyDescent="0.4">
      <c r="F62" s="46">
        <f>F60-F61</f>
        <v>0</v>
      </c>
      <c r="G62" s="97">
        <f>G60-G61</f>
        <v>1</v>
      </c>
      <c r="H62" s="46"/>
    </row>
  </sheetData>
  <sheetProtection selectLockedCells="1" selectUnlockedCells="1"/>
  <mergeCells count="6">
    <mergeCell ref="B1:C1"/>
    <mergeCell ref="B2:C2"/>
    <mergeCell ref="C4:C5"/>
    <mergeCell ref="D4:F4"/>
    <mergeCell ref="C38:C39"/>
    <mergeCell ref="D38:H38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8" scale="46" firstPageNumber="0" orientation="landscape" horizontalDpi="300" verticalDpi="300" r:id="rId1"/>
  <headerFooter alignWithMargins="0">
    <oddHeader xml:space="preserve">&amp;R 1/A. melléklet a    /2021.(.) 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R41"/>
  <sheetViews>
    <sheetView topLeftCell="A13" zoomScale="65" zoomScaleNormal="65" zoomScaleSheetLayoutView="50" workbookViewId="0">
      <selection activeCell="F14" sqref="F14"/>
    </sheetView>
  </sheetViews>
  <sheetFormatPr defaultColWidth="9" defaultRowHeight="18" x14ac:dyDescent="0.35"/>
  <cols>
    <col min="1" max="1" width="13.6640625" style="32" customWidth="1"/>
    <col min="2" max="2" width="124.6640625" style="32" customWidth="1"/>
    <col min="3" max="3" width="23" style="117" customWidth="1"/>
    <col min="4" max="4" width="12.6640625" style="32" customWidth="1"/>
    <col min="5" max="5" width="13.5546875" style="32" customWidth="1"/>
    <col min="6" max="6" width="21.6640625" style="32" customWidth="1"/>
    <col min="7" max="7" width="21" style="32" customWidth="1"/>
    <col min="8" max="8" width="26.109375" style="32" customWidth="1"/>
    <col min="9" max="28" width="9" style="32"/>
    <col min="29" max="16384" width="9" style="118"/>
  </cols>
  <sheetData>
    <row r="1" spans="1:252" s="122" customFormat="1" ht="17.399999999999999" customHeight="1" x14ac:dyDescent="0.35">
      <c r="A1" s="119"/>
      <c r="B1" s="523" t="s">
        <v>44</v>
      </c>
      <c r="C1" s="523"/>
      <c r="D1" s="119"/>
      <c r="E1" s="119"/>
      <c r="F1" s="119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52" s="122" customFormat="1" ht="17.399999999999999" customHeight="1" x14ac:dyDescent="0.35">
      <c r="A2" s="120"/>
      <c r="B2" s="523" t="s">
        <v>45</v>
      </c>
      <c r="C2" s="523"/>
      <c r="D2" s="123"/>
      <c r="E2" s="119"/>
      <c r="F2" s="119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52" s="122" customFormat="1" x14ac:dyDescent="0.35">
      <c r="A3" s="121"/>
      <c r="B3" s="121"/>
      <c r="C3" s="124" t="s">
        <v>46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252" s="122" customFormat="1" ht="39" customHeight="1" x14ac:dyDescent="0.35">
      <c r="A4" s="125" t="s">
        <v>47</v>
      </c>
      <c r="B4" s="125" t="s">
        <v>48</v>
      </c>
      <c r="C4" s="521" t="s">
        <v>49</v>
      </c>
      <c r="D4" s="522">
        <v>2020</v>
      </c>
      <c r="E4" s="522"/>
      <c r="F4" s="522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IR4" s="118"/>
    </row>
    <row r="5" spans="1:252" s="122" customFormat="1" ht="66.599999999999994" customHeight="1" x14ac:dyDescent="0.35">
      <c r="A5" s="17"/>
      <c r="B5" s="16" t="s">
        <v>51</v>
      </c>
      <c r="C5" s="521"/>
      <c r="D5" s="57" t="s">
        <v>52</v>
      </c>
      <c r="E5" s="57" t="s">
        <v>53</v>
      </c>
      <c r="F5" s="57" t="s">
        <v>54</v>
      </c>
      <c r="G5" s="58" t="s">
        <v>323</v>
      </c>
      <c r="H5" s="109" t="s">
        <v>55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IR5" s="118"/>
    </row>
    <row r="6" spans="1:252" s="122" customFormat="1" ht="20.399999999999999" x14ac:dyDescent="0.35">
      <c r="A6" s="126" t="s">
        <v>56</v>
      </c>
      <c r="B6" s="70" t="s">
        <v>74</v>
      </c>
      <c r="C6" s="61">
        <f>SUM(C7)</f>
        <v>57000</v>
      </c>
      <c r="D6" s="61">
        <f>SUM(D7)</f>
        <v>54474</v>
      </c>
      <c r="E6" s="61">
        <f>SUM(E7)</f>
        <v>7920</v>
      </c>
      <c r="F6" s="61">
        <f>SUM(F7)</f>
        <v>62394</v>
      </c>
      <c r="G6" s="61">
        <f>SUM(G7)</f>
        <v>62394</v>
      </c>
      <c r="H6" s="80">
        <f>G6/F6</f>
        <v>1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IR6" s="118"/>
    </row>
    <row r="7" spans="1:252" s="122" customFormat="1" ht="21" x14ac:dyDescent="0.35">
      <c r="A7" s="128"/>
      <c r="B7" s="76" t="s">
        <v>143</v>
      </c>
      <c r="C7" s="65">
        <v>57000</v>
      </c>
      <c r="D7" s="74">
        <v>54474</v>
      </c>
      <c r="E7" s="74">
        <v>7920</v>
      </c>
      <c r="F7" s="74">
        <f t="shared" ref="F7:F18" si="0">D7+E7</f>
        <v>62394</v>
      </c>
      <c r="G7" s="65">
        <v>62394</v>
      </c>
      <c r="H7" s="111">
        <f>G7/F7</f>
        <v>1</v>
      </c>
      <c r="I7" s="490">
        <f>G7-F7</f>
        <v>0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IR7" s="118"/>
    </row>
    <row r="8" spans="1:252" s="122" customFormat="1" ht="21" x14ac:dyDescent="0.35">
      <c r="A8" s="126" t="s">
        <v>64</v>
      </c>
      <c r="B8" s="70" t="s">
        <v>87</v>
      </c>
      <c r="C8" s="61">
        <f>'1.melléklet'!C31</f>
        <v>0</v>
      </c>
      <c r="D8" s="61">
        <f>'1.melléklet'!D31</f>
        <v>2946</v>
      </c>
      <c r="E8" s="61">
        <f>'1.melléklet'!E31</f>
        <v>0</v>
      </c>
      <c r="F8" s="61">
        <f t="shared" si="0"/>
        <v>2946</v>
      </c>
      <c r="G8" s="61">
        <f>'1.melléklet'!G31</f>
        <v>2400</v>
      </c>
      <c r="H8" s="111">
        <f t="shared" ref="H8:H9" si="1">G8/F8</f>
        <v>0.81466395112016299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IR8" s="118"/>
    </row>
    <row r="9" spans="1:252" s="122" customFormat="1" ht="21" x14ac:dyDescent="0.35">
      <c r="A9" s="129"/>
      <c r="B9" s="73" t="str">
        <f>'1.melléklet'!B32</f>
        <v>Ingatlanok értékesítése</v>
      </c>
      <c r="C9" s="65">
        <f>'1.melléklet'!C32</f>
        <v>0</v>
      </c>
      <c r="D9" s="65"/>
      <c r="E9" s="65"/>
      <c r="F9" s="74">
        <v>2946</v>
      </c>
      <c r="G9" s="65">
        <f>'1.melléklet'!G32</f>
        <v>2400</v>
      </c>
      <c r="H9" s="111">
        <f t="shared" si="1"/>
        <v>0.81466395112016299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IR9" s="118"/>
    </row>
    <row r="10" spans="1:252" s="122" customFormat="1" ht="21" x14ac:dyDescent="0.35">
      <c r="A10" s="130"/>
      <c r="B10" s="73"/>
      <c r="C10" s="65"/>
      <c r="D10" s="65">
        <f>'1.melléklet'!D33</f>
        <v>0</v>
      </c>
      <c r="E10" s="65">
        <f>'1.melléklet'!E33</f>
        <v>0</v>
      </c>
      <c r="F10" s="74">
        <f t="shared" si="0"/>
        <v>0</v>
      </c>
      <c r="G10" s="65"/>
      <c r="H10" s="65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IR10" s="118"/>
    </row>
    <row r="11" spans="1:252" s="122" customFormat="1" ht="20.399999999999999" x14ac:dyDescent="0.35">
      <c r="A11" s="131" t="s">
        <v>70</v>
      </c>
      <c r="B11" s="70" t="s">
        <v>93</v>
      </c>
      <c r="C11" s="61">
        <f>'1.melléklet'!C36</f>
        <v>145522</v>
      </c>
      <c r="D11" s="61">
        <f>'1.melléklet'!D36</f>
        <v>147550</v>
      </c>
      <c r="E11" s="61">
        <f>'1.melléklet'!E36+'1.melléklet'!E18</f>
        <v>2433</v>
      </c>
      <c r="F11" s="61">
        <f>D11+E11</f>
        <v>149983</v>
      </c>
      <c r="G11" s="61">
        <f>'1.melléklet'!G36+'1.melléklet'!G18</f>
        <v>73492</v>
      </c>
      <c r="H11" s="80">
        <f>G11/F11</f>
        <v>0.49000220024936159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IR11" s="118"/>
    </row>
    <row r="12" spans="1:252" s="122" customFormat="1" ht="61.2" customHeight="1" x14ac:dyDescent="0.35">
      <c r="A12" s="132"/>
      <c r="B12" s="76" t="s">
        <v>144</v>
      </c>
      <c r="C12" s="65">
        <f>'1.melléklet'!C37</f>
        <v>1700</v>
      </c>
      <c r="D12" s="65">
        <f>'1.melléklet'!D37</f>
        <v>1700</v>
      </c>
      <c r="E12" s="65">
        <f>'1.melléklet'!E37</f>
        <v>0</v>
      </c>
      <c r="F12" s="65">
        <f t="shared" si="0"/>
        <v>1700</v>
      </c>
      <c r="G12" s="65">
        <f>'1.melléklet'!G37</f>
        <v>1012</v>
      </c>
      <c r="H12" s="111">
        <f>G12/F12</f>
        <v>0.59529411764705886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IR12" s="118"/>
    </row>
    <row r="13" spans="1:252" s="122" customFormat="1" ht="21" x14ac:dyDescent="0.35">
      <c r="A13" s="132"/>
      <c r="B13" s="76" t="s">
        <v>446</v>
      </c>
      <c r="C13" s="65">
        <f>'1.melléklet'!C38</f>
        <v>143822</v>
      </c>
      <c r="D13" s="65">
        <f>'1.melléklet'!D38</f>
        <v>145850</v>
      </c>
      <c r="E13" s="65">
        <f>'1.melléklet'!E38+'1.melléklet'!E19</f>
        <v>2433</v>
      </c>
      <c r="F13" s="65">
        <f>D13+E13</f>
        <v>148283</v>
      </c>
      <c r="G13" s="65">
        <f>'1.melléklet'!G38+'1.melléklet'!G19</f>
        <v>72480</v>
      </c>
      <c r="H13" s="111">
        <f>G13/F13</f>
        <v>0.48879507428363334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IR13" s="118"/>
    </row>
    <row r="14" spans="1:252" s="122" customFormat="1" ht="21" x14ac:dyDescent="0.35">
      <c r="A14" s="132"/>
      <c r="B14" s="78" t="s">
        <v>145</v>
      </c>
      <c r="C14" s="74">
        <f>C6+C8+C11</f>
        <v>202522</v>
      </c>
      <c r="D14" s="74">
        <f>D6+D8+D11</f>
        <v>204970</v>
      </c>
      <c r="E14" s="74">
        <f>E6+E8+E11</f>
        <v>10353</v>
      </c>
      <c r="F14" s="74">
        <f t="shared" si="0"/>
        <v>215323</v>
      </c>
      <c r="G14" s="74">
        <f>G6+G8+G11</f>
        <v>138286</v>
      </c>
      <c r="H14" s="111">
        <f>G14/F14</f>
        <v>0.64222586532790271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IR14" s="118"/>
    </row>
    <row r="15" spans="1:252" s="122" customFormat="1" ht="20.399999999999999" x14ac:dyDescent="0.35">
      <c r="A15" s="131" t="s">
        <v>73</v>
      </c>
      <c r="B15" s="70" t="s">
        <v>146</v>
      </c>
      <c r="C15" s="61"/>
      <c r="D15" s="61"/>
      <c r="E15" s="61"/>
      <c r="F15" s="61">
        <f t="shared" si="0"/>
        <v>0</v>
      </c>
      <c r="G15" s="61"/>
      <c r="H15" s="127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IR15" s="118"/>
    </row>
    <row r="16" spans="1:252" s="122" customFormat="1" ht="20.399999999999999" x14ac:dyDescent="0.35">
      <c r="A16" s="131" t="s">
        <v>79</v>
      </c>
      <c r="B16" s="70" t="s">
        <v>102</v>
      </c>
      <c r="C16" s="61">
        <f>C17</f>
        <v>148107</v>
      </c>
      <c r="D16" s="61">
        <f>'1.melléklet'!D42</f>
        <v>138454</v>
      </c>
      <c r="E16" s="61">
        <f>'1.melléklet'!E42</f>
        <v>-30830</v>
      </c>
      <c r="F16" s="61">
        <f t="shared" si="0"/>
        <v>107624</v>
      </c>
      <c r="G16" s="61">
        <f>G17</f>
        <v>107623</v>
      </c>
      <c r="H16" s="80">
        <f>G16/F16</f>
        <v>0.99999070839218018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IR16" s="118"/>
    </row>
    <row r="17" spans="1:252" s="122" customFormat="1" ht="21" x14ac:dyDescent="0.35">
      <c r="A17" s="132"/>
      <c r="B17" s="78" t="s">
        <v>147</v>
      </c>
      <c r="C17" s="65">
        <f>'8. melléklet Önkormányzat'!C45</f>
        <v>148107</v>
      </c>
      <c r="D17" s="65">
        <f>SUM(D15:D16)</f>
        <v>138454</v>
      </c>
      <c r="E17" s="65">
        <f>SUM(E15:E16)</f>
        <v>-30830</v>
      </c>
      <c r="F17" s="65">
        <f t="shared" si="0"/>
        <v>107624</v>
      </c>
      <c r="G17" s="65">
        <f>'8. melléklet Önkormányzat'!G45</f>
        <v>107623</v>
      </c>
      <c r="H17" s="111">
        <f>G17/F17</f>
        <v>0.99999070839218018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IR17" s="118"/>
    </row>
    <row r="18" spans="1:252" s="122" customFormat="1" ht="21" x14ac:dyDescent="0.35">
      <c r="A18" s="132"/>
      <c r="B18" s="112" t="s">
        <v>106</v>
      </c>
      <c r="C18" s="74">
        <f>C14+C17</f>
        <v>350629</v>
      </c>
      <c r="D18" s="74">
        <f>D14+D17</f>
        <v>343424</v>
      </c>
      <c r="E18" s="74">
        <f>E14+E17</f>
        <v>-20477</v>
      </c>
      <c r="F18" s="74">
        <f t="shared" si="0"/>
        <v>322947</v>
      </c>
      <c r="G18" s="74">
        <f>G14+G17</f>
        <v>245909</v>
      </c>
      <c r="H18" s="111">
        <f>G18/F18</f>
        <v>0.76145311769423463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IR18" s="118"/>
    </row>
    <row r="19" spans="1:252" s="122" customFormat="1" x14ac:dyDescent="0.35">
      <c r="A19" s="32"/>
      <c r="B19" s="32"/>
      <c r="C19" s="133"/>
      <c r="D19" s="134"/>
      <c r="E19" s="32"/>
      <c r="F19" s="32"/>
      <c r="G19" s="32"/>
      <c r="H19" s="32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IR19" s="118"/>
    </row>
    <row r="20" spans="1:252" s="122" customFormat="1" x14ac:dyDescent="0.35">
      <c r="A20" s="32"/>
      <c r="B20" s="32"/>
      <c r="C20" s="133"/>
      <c r="D20" s="134"/>
      <c r="E20" s="32"/>
      <c r="F20" s="32"/>
      <c r="G20" s="32"/>
      <c r="H20" s="3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IR20" s="118"/>
    </row>
    <row r="21" spans="1:252" s="122" customFormat="1" x14ac:dyDescent="0.35">
      <c r="A21" s="121"/>
      <c r="B21" s="32"/>
      <c r="C21" s="133"/>
      <c r="D21" s="134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</row>
    <row r="22" spans="1:252" s="122" customFormat="1" ht="39" customHeight="1" x14ac:dyDescent="0.35">
      <c r="A22" s="125" t="s">
        <v>47</v>
      </c>
      <c r="B22" s="125" t="s">
        <v>48</v>
      </c>
      <c r="C22" s="521" t="s">
        <v>49</v>
      </c>
      <c r="D22" s="522">
        <v>2020</v>
      </c>
      <c r="E22" s="522"/>
      <c r="F22" s="522"/>
      <c r="G22" s="108"/>
      <c r="H22" s="13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IR22" s="118"/>
    </row>
    <row r="23" spans="1:252" s="122" customFormat="1" ht="41.4" x14ac:dyDescent="0.35">
      <c r="A23" s="125"/>
      <c r="B23" s="16" t="s">
        <v>107</v>
      </c>
      <c r="C23" s="521"/>
      <c r="D23" s="57" t="s">
        <v>52</v>
      </c>
      <c r="E23" s="57" t="s">
        <v>53</v>
      </c>
      <c r="F23" s="57" t="s">
        <v>54</v>
      </c>
      <c r="G23" s="58" t="s">
        <v>323</v>
      </c>
      <c r="H23" s="109" t="s">
        <v>55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IR23" s="118"/>
    </row>
    <row r="24" spans="1:252" s="122" customFormat="1" ht="20.399999999999999" x14ac:dyDescent="0.35">
      <c r="A24" s="136" t="s">
        <v>56</v>
      </c>
      <c r="B24" s="70" t="s">
        <v>119</v>
      </c>
      <c r="C24" s="96">
        <f>C25+C28+C29+C32</f>
        <v>349540</v>
      </c>
      <c r="D24" s="96">
        <f>D25+D28+D29+D32</f>
        <v>341577</v>
      </c>
      <c r="E24" s="96">
        <f>E25+E28+E29+E32</f>
        <v>-22657</v>
      </c>
      <c r="F24" s="96">
        <f>F25+F28+F29+F32</f>
        <v>318920</v>
      </c>
      <c r="G24" s="96">
        <f>G25+G28+G29+G32</f>
        <v>65940</v>
      </c>
      <c r="H24" s="489">
        <f>G24/F24</f>
        <v>0.20676031606672521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IR24" s="118"/>
    </row>
    <row r="25" spans="1:252" s="122" customFormat="1" ht="21" x14ac:dyDescent="0.35">
      <c r="A25" s="137"/>
      <c r="B25" s="91" t="s">
        <v>120</v>
      </c>
      <c r="C25" s="92">
        <f>'1.melléklet'!C63</f>
        <v>318694</v>
      </c>
      <c r="D25" s="92">
        <f>'1.melléklet'!D63</f>
        <v>292767</v>
      </c>
      <c r="E25" s="92">
        <f>'1.melléklet'!E63</f>
        <v>2718</v>
      </c>
      <c r="F25" s="92">
        <f t="shared" ref="F25:F36" si="2">D25+E25</f>
        <v>295485</v>
      </c>
      <c r="G25" s="92">
        <f>'1.melléklet'!G63</f>
        <v>45987</v>
      </c>
      <c r="H25" s="138">
        <f>G25/F25</f>
        <v>0.15563226559723844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</row>
    <row r="26" spans="1:252" s="122" customFormat="1" ht="42" x14ac:dyDescent="0.35">
      <c r="A26" s="137"/>
      <c r="B26" s="94" t="s">
        <v>121</v>
      </c>
      <c r="C26" s="92">
        <f>'1.melléklet'!C64</f>
        <v>0</v>
      </c>
      <c r="D26" s="92">
        <f>'1.melléklet'!D64</f>
        <v>0</v>
      </c>
      <c r="E26" s="92">
        <f>'1.melléklet'!E64</f>
        <v>0</v>
      </c>
      <c r="F26" s="92">
        <f t="shared" si="2"/>
        <v>0</v>
      </c>
      <c r="G26" s="92">
        <f>'1.melléklet'!G64</f>
        <v>0</v>
      </c>
      <c r="H26" s="138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52" s="122" customFormat="1" ht="42" x14ac:dyDescent="0.35">
      <c r="A27" s="137"/>
      <c r="B27" s="94" t="s">
        <v>122</v>
      </c>
      <c r="C27" s="92">
        <f>'1.melléklet'!C65</f>
        <v>0</v>
      </c>
      <c r="D27" s="92">
        <f>'1.melléklet'!D65</f>
        <v>0</v>
      </c>
      <c r="E27" s="92">
        <f>'1.melléklet'!E65</f>
        <v>0</v>
      </c>
      <c r="F27" s="92">
        <f t="shared" si="2"/>
        <v>0</v>
      </c>
      <c r="G27" s="92">
        <f>'1.melléklet'!G65</f>
        <v>0</v>
      </c>
      <c r="H27" s="13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52" ht="21" x14ac:dyDescent="0.35">
      <c r="A28" s="132"/>
      <c r="B28" s="76" t="s">
        <v>123</v>
      </c>
      <c r="C28" s="92">
        <f>'1.melléklet'!C66</f>
        <v>846</v>
      </c>
      <c r="D28" s="92">
        <f>'1.melléklet'!D66</f>
        <v>9019</v>
      </c>
      <c r="E28" s="92">
        <f>'1.melléklet'!E66</f>
        <v>13998</v>
      </c>
      <c r="F28" s="92">
        <f t="shared" si="2"/>
        <v>23017</v>
      </c>
      <c r="G28" s="92">
        <f>'1.melléklet'!G66</f>
        <v>19953</v>
      </c>
      <c r="H28" s="138">
        <f>G28/F28</f>
        <v>0.86688100099926146</v>
      </c>
    </row>
    <row r="29" spans="1:252" ht="21" x14ac:dyDescent="0.35">
      <c r="A29" s="132"/>
      <c r="B29" s="76" t="s">
        <v>148</v>
      </c>
      <c r="C29" s="92">
        <f>'1.melléklet'!C67</f>
        <v>0</v>
      </c>
      <c r="D29" s="92">
        <f>'1.melléklet'!D67</f>
        <v>0</v>
      </c>
      <c r="E29" s="92">
        <f>'1.melléklet'!E67</f>
        <v>0</v>
      </c>
      <c r="F29" s="92">
        <f t="shared" si="2"/>
        <v>0</v>
      </c>
      <c r="G29" s="92">
        <f>'1.melléklet'!G67</f>
        <v>0</v>
      </c>
      <c r="H29" s="138"/>
    </row>
    <row r="30" spans="1:252" ht="21" x14ac:dyDescent="0.35">
      <c r="A30" s="132"/>
      <c r="B30" s="94" t="s">
        <v>125</v>
      </c>
      <c r="C30" s="92">
        <f>'1.melléklet'!C68</f>
        <v>0</v>
      </c>
      <c r="D30" s="92">
        <f>'1.melléklet'!D68</f>
        <v>0</v>
      </c>
      <c r="E30" s="92">
        <f>'1.melléklet'!E68</f>
        <v>0</v>
      </c>
      <c r="F30" s="92">
        <f t="shared" si="2"/>
        <v>0</v>
      </c>
      <c r="G30" s="92">
        <f>'1.melléklet'!G68</f>
        <v>0</v>
      </c>
      <c r="H30" s="138"/>
    </row>
    <row r="31" spans="1:252" ht="21" x14ac:dyDescent="0.35">
      <c r="A31" s="132"/>
      <c r="B31" s="94" t="s">
        <v>126</v>
      </c>
      <c r="C31" s="92">
        <f>'1.melléklet'!C69</f>
        <v>0</v>
      </c>
      <c r="D31" s="92">
        <f>'1.melléklet'!D69</f>
        <v>0</v>
      </c>
      <c r="E31" s="92">
        <f>'1.melléklet'!E69</f>
        <v>0</v>
      </c>
      <c r="F31" s="92">
        <f t="shared" si="2"/>
        <v>0</v>
      </c>
      <c r="G31" s="92">
        <f>'1.melléklet'!G69</f>
        <v>0</v>
      </c>
      <c r="H31" s="138"/>
    </row>
    <row r="32" spans="1:252" ht="21" x14ac:dyDescent="0.35">
      <c r="A32" s="132"/>
      <c r="B32" s="76" t="s">
        <v>10</v>
      </c>
      <c r="C32" s="92">
        <v>30000</v>
      </c>
      <c r="D32" s="92">
        <f>'1.melléklet'!D70</f>
        <v>39791</v>
      </c>
      <c r="E32" s="92">
        <f>'1.melléklet'!E70</f>
        <v>-39373</v>
      </c>
      <c r="F32" s="92">
        <f t="shared" si="2"/>
        <v>418</v>
      </c>
      <c r="G32" s="92"/>
      <c r="H32" s="138">
        <f>G32/F32</f>
        <v>0</v>
      </c>
    </row>
    <row r="33" spans="1:11" ht="21" x14ac:dyDescent="0.35">
      <c r="A33" s="130"/>
      <c r="B33" s="98"/>
      <c r="C33" s="92"/>
      <c r="D33" s="92"/>
      <c r="E33" s="92"/>
      <c r="F33" s="92">
        <f t="shared" si="2"/>
        <v>0</v>
      </c>
      <c r="G33" s="108"/>
      <c r="H33" s="138"/>
    </row>
    <row r="34" spans="1:11" ht="21" x14ac:dyDescent="0.35">
      <c r="A34" s="136" t="s">
        <v>64</v>
      </c>
      <c r="B34" s="70" t="s">
        <v>128</v>
      </c>
      <c r="C34" s="139">
        <f>SUM(C35:C36)</f>
        <v>1089</v>
      </c>
      <c r="D34" s="139">
        <f>SUM(D35:D36)</f>
        <v>1089</v>
      </c>
      <c r="E34" s="139">
        <f>SUM(E35:E36)</f>
        <v>0</v>
      </c>
      <c r="F34" s="96">
        <f t="shared" si="2"/>
        <v>1089</v>
      </c>
      <c r="G34" s="139">
        <f>SUM(G35:G36)</f>
        <v>857</v>
      </c>
      <c r="H34" s="489">
        <f>G34/F34</f>
        <v>0.78696051423324154</v>
      </c>
    </row>
    <row r="35" spans="1:11" ht="21" x14ac:dyDescent="0.35">
      <c r="A35" s="137"/>
      <c r="B35" s="91" t="s">
        <v>149</v>
      </c>
      <c r="C35" s="92">
        <v>1089</v>
      </c>
      <c r="D35" s="92">
        <v>1089</v>
      </c>
      <c r="E35" s="92"/>
      <c r="F35" s="92">
        <f t="shared" si="2"/>
        <v>1089</v>
      </c>
      <c r="G35" s="92">
        <v>857</v>
      </c>
      <c r="H35" s="138">
        <f>G35/F35</f>
        <v>0.78696051423324154</v>
      </c>
    </row>
    <row r="36" spans="1:11" ht="21" x14ac:dyDescent="0.35">
      <c r="A36" s="132"/>
      <c r="B36" s="91"/>
      <c r="C36" s="92"/>
      <c r="D36" s="92"/>
      <c r="E36" s="92"/>
      <c r="F36" s="92">
        <f t="shared" si="2"/>
        <v>0</v>
      </c>
      <c r="G36" s="108"/>
      <c r="H36" s="138"/>
      <c r="K36" s="32" t="s">
        <v>325</v>
      </c>
    </row>
    <row r="37" spans="1:11" ht="21" x14ac:dyDescent="0.35">
      <c r="A37" s="140"/>
      <c r="B37" s="112" t="s">
        <v>141</v>
      </c>
      <c r="C37" s="99">
        <f>C24+C34</f>
        <v>350629</v>
      </c>
      <c r="D37" s="99">
        <f>D24+D34</f>
        <v>342666</v>
      </c>
      <c r="E37" s="99">
        <f>E24+E34</f>
        <v>-22657</v>
      </c>
      <c r="F37" s="99">
        <f>F24+F34</f>
        <v>320009</v>
      </c>
      <c r="G37" s="99">
        <f>G24+G34</f>
        <v>66797</v>
      </c>
      <c r="H37" s="138">
        <f>G37/F37</f>
        <v>0.20873475433503433</v>
      </c>
    </row>
    <row r="38" spans="1:11" ht="21" x14ac:dyDescent="0.4">
      <c r="A38" s="141"/>
      <c r="B38" s="101"/>
      <c r="C38" s="92"/>
      <c r="D38" s="115"/>
      <c r="E38" s="115"/>
      <c r="F38" s="115"/>
      <c r="G38" s="108"/>
      <c r="H38" s="108"/>
    </row>
    <row r="39" spans="1:11" ht="21" x14ac:dyDescent="0.4">
      <c r="A39" s="142"/>
      <c r="B39" s="105" t="s">
        <v>132</v>
      </c>
      <c r="C39" s="92"/>
      <c r="D39" s="115"/>
      <c r="E39" s="115"/>
      <c r="F39" s="115"/>
      <c r="G39" s="108"/>
      <c r="H39" s="108"/>
    </row>
    <row r="40" spans="1:11" ht="21" x14ac:dyDescent="0.4">
      <c r="A40" s="142"/>
      <c r="B40" s="105" t="s">
        <v>133</v>
      </c>
      <c r="C40" s="92"/>
      <c r="D40" s="115"/>
      <c r="E40" s="115"/>
      <c r="F40" s="115"/>
      <c r="G40" s="108"/>
      <c r="H40" s="108"/>
    </row>
    <row r="41" spans="1:11" ht="21" x14ac:dyDescent="0.35">
      <c r="B41" s="143" t="s">
        <v>150</v>
      </c>
      <c r="C41" s="117">
        <f>C18-C37</f>
        <v>0</v>
      </c>
      <c r="D41" s="117">
        <f>D18-D37</f>
        <v>758</v>
      </c>
      <c r="E41" s="117">
        <f>E18-E37</f>
        <v>2180</v>
      </c>
      <c r="F41" s="117">
        <f>F18-F37</f>
        <v>2938</v>
      </c>
      <c r="G41" s="92">
        <f>G18-G37</f>
        <v>179112</v>
      </c>
    </row>
  </sheetData>
  <sheetProtection selectLockedCells="1" selectUnlockedCells="1"/>
  <mergeCells count="6">
    <mergeCell ref="B1:C1"/>
    <mergeCell ref="B2:C2"/>
    <mergeCell ref="C4:C5"/>
    <mergeCell ref="D4:F4"/>
    <mergeCell ref="C22:C23"/>
    <mergeCell ref="D22:F22"/>
  </mergeCells>
  <printOptions horizontalCentered="1"/>
  <pageMargins left="0.78749999999999998" right="0.78749999999999998" top="0.98402777777777772" bottom="0.98402777777777772" header="0.51180555555555551" footer="0.51180555555555551"/>
  <pageSetup paperSize="8" scale="70" firstPageNumber="0" orientation="landscape" horizontalDpi="300" verticalDpi="300" r:id="rId1"/>
  <headerFooter alignWithMargins="0">
    <oddHeader xml:space="preserve">&amp;R 1/B melléklet a    /2021.(.)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54"/>
  <sheetViews>
    <sheetView topLeftCell="A28" zoomScale="65" zoomScaleNormal="65" zoomScaleSheetLayoutView="70" workbookViewId="0">
      <selection activeCell="C31" sqref="C31"/>
    </sheetView>
  </sheetViews>
  <sheetFormatPr defaultColWidth="9" defaultRowHeight="18" x14ac:dyDescent="0.35"/>
  <cols>
    <col min="1" max="1" width="6.33203125" style="32" customWidth="1"/>
    <col min="2" max="2" width="78.6640625" style="32" customWidth="1"/>
    <col min="3" max="3" width="15.109375" style="32" customWidth="1"/>
    <col min="4" max="4" width="5" style="32" customWidth="1"/>
    <col min="5" max="5" width="52.6640625" style="32" customWidth="1"/>
    <col min="6" max="6" width="20" style="32" customWidth="1"/>
    <col min="7" max="28" width="9" style="32"/>
    <col min="29" max="16384" width="9" style="144"/>
  </cols>
  <sheetData>
    <row r="1" spans="1:6" x14ac:dyDescent="0.35">
      <c r="A1" s="524" t="s">
        <v>151</v>
      </c>
      <c r="B1" s="524"/>
      <c r="C1" s="524"/>
      <c r="D1" s="524"/>
      <c r="E1" s="524"/>
      <c r="F1" s="524"/>
    </row>
    <row r="2" spans="1:6" x14ac:dyDescent="0.35">
      <c r="C2" s="145"/>
      <c r="D2" s="145"/>
    </row>
    <row r="3" spans="1:6" x14ac:dyDescent="0.35">
      <c r="A3" s="524" t="s">
        <v>152</v>
      </c>
      <c r="B3" s="524"/>
      <c r="C3" s="524"/>
      <c r="D3" s="524"/>
      <c r="E3" s="524"/>
      <c r="F3" s="524"/>
    </row>
    <row r="4" spans="1:6" x14ac:dyDescent="0.35">
      <c r="A4" s="525" t="s">
        <v>153</v>
      </c>
      <c r="B4" s="525"/>
      <c r="C4" s="525"/>
      <c r="D4" s="525"/>
      <c r="E4" s="525"/>
      <c r="F4" s="525"/>
    </row>
    <row r="5" spans="1:6" ht="19.649999999999999" customHeight="1" x14ac:dyDescent="0.35">
      <c r="B5" s="146" t="s">
        <v>154</v>
      </c>
      <c r="C5" s="35" t="s">
        <v>155</v>
      </c>
      <c r="D5" s="526" t="s">
        <v>156</v>
      </c>
      <c r="E5" s="526"/>
      <c r="F5" s="35" t="s">
        <v>155</v>
      </c>
    </row>
    <row r="6" spans="1:6" ht="23.85" customHeight="1" x14ac:dyDescent="0.35">
      <c r="A6" s="147" t="s">
        <v>56</v>
      </c>
      <c r="B6" s="148" t="s">
        <v>57</v>
      </c>
      <c r="C6" s="149">
        <f>C7+C8+C9+C10+C11+C12</f>
        <v>664040</v>
      </c>
      <c r="D6" s="136" t="s">
        <v>56</v>
      </c>
      <c r="E6" s="150" t="s">
        <v>108</v>
      </c>
      <c r="F6" s="149">
        <f>F7+F8+F9+F12+F13</f>
        <v>1247267</v>
      </c>
    </row>
    <row r="7" spans="1:6" x14ac:dyDescent="0.35">
      <c r="A7" s="151"/>
      <c r="B7" s="152" t="s">
        <v>58</v>
      </c>
      <c r="C7" s="153">
        <f>'1_A melléklet'!F7</f>
        <v>244590</v>
      </c>
      <c r="D7" s="137"/>
      <c r="E7" s="154" t="s">
        <v>109</v>
      </c>
      <c r="F7" s="153">
        <f>'1_A melléklet'!F41</f>
        <v>599460</v>
      </c>
    </row>
    <row r="8" spans="1:6" ht="36" x14ac:dyDescent="0.35">
      <c r="A8" s="155"/>
      <c r="B8" s="152" t="s">
        <v>59</v>
      </c>
      <c r="C8" s="153">
        <f>'1_A melléklet'!F8</f>
        <v>220981</v>
      </c>
      <c r="D8" s="132"/>
      <c r="E8" s="38" t="s">
        <v>110</v>
      </c>
      <c r="F8" s="153">
        <f>'1_A melléklet'!F42</f>
        <v>101980</v>
      </c>
    </row>
    <row r="9" spans="1:6" ht="36" x14ac:dyDescent="0.35">
      <c r="A9" s="155"/>
      <c r="B9" s="156" t="s">
        <v>60</v>
      </c>
      <c r="C9" s="153">
        <f>'1_A melléklet'!F9</f>
        <v>175706</v>
      </c>
      <c r="D9" s="132"/>
      <c r="E9" s="38" t="s">
        <v>111</v>
      </c>
      <c r="F9" s="153">
        <f>'1_A melléklet'!F43</f>
        <v>478259</v>
      </c>
    </row>
    <row r="10" spans="1:6" ht="54" x14ac:dyDescent="0.35">
      <c r="A10" s="155"/>
      <c r="B10" s="152" t="s">
        <v>61</v>
      </c>
      <c r="C10" s="153">
        <f>'1_A melléklet'!F10</f>
        <v>22651</v>
      </c>
      <c r="D10" s="132"/>
      <c r="E10" s="38" t="s">
        <v>112</v>
      </c>
      <c r="F10" s="153">
        <f>'1_A melléklet'!F44</f>
        <v>0</v>
      </c>
    </row>
    <row r="11" spans="1:6" ht="18" customHeight="1" x14ac:dyDescent="0.35">
      <c r="A11" s="155"/>
      <c r="B11" s="152" t="s">
        <v>62</v>
      </c>
      <c r="C11" s="153">
        <f>'1_A melléklet'!F11</f>
        <v>0</v>
      </c>
      <c r="D11" s="132"/>
      <c r="E11" s="38" t="s">
        <v>113</v>
      </c>
      <c r="F11" s="153">
        <f>'1_A melléklet'!F45</f>
        <v>0</v>
      </c>
    </row>
    <row r="12" spans="1:6" x14ac:dyDescent="0.35">
      <c r="A12" s="155"/>
      <c r="B12" s="152" t="s">
        <v>63</v>
      </c>
      <c r="C12" s="153">
        <f>'1_A melléklet'!F12</f>
        <v>112</v>
      </c>
      <c r="D12" s="132"/>
      <c r="E12" s="38" t="s">
        <v>114</v>
      </c>
      <c r="F12" s="153">
        <f>'1_A melléklet'!F46</f>
        <v>17653</v>
      </c>
    </row>
    <row r="13" spans="1:6" ht="28.5" customHeight="1" x14ac:dyDescent="0.35">
      <c r="A13" s="126" t="s">
        <v>64</v>
      </c>
      <c r="B13" s="148" t="s">
        <v>65</v>
      </c>
      <c r="C13" s="149">
        <f>C14+C15+C16+C17</f>
        <v>78051</v>
      </c>
      <c r="D13" s="132"/>
      <c r="E13" s="38" t="s">
        <v>115</v>
      </c>
      <c r="F13" s="153">
        <f>'1_A melléklet'!F47</f>
        <v>49915</v>
      </c>
    </row>
    <row r="14" spans="1:6" x14ac:dyDescent="0.35">
      <c r="A14" s="151"/>
      <c r="B14" s="152" t="s">
        <v>135</v>
      </c>
      <c r="C14" s="153">
        <f>'1_A melléklet'!F14</f>
        <v>7734</v>
      </c>
      <c r="D14" s="132"/>
      <c r="E14" s="38" t="s">
        <v>116</v>
      </c>
      <c r="F14" s="153">
        <f>'1_A melléklet'!F48</f>
        <v>31165</v>
      </c>
    </row>
    <row r="15" spans="1:6" ht="36" x14ac:dyDescent="0.35">
      <c r="A15" s="155"/>
      <c r="B15" s="152" t="s">
        <v>157</v>
      </c>
      <c r="C15" s="153">
        <f>'1_A melléklet'!F15</f>
        <v>213</v>
      </c>
      <c r="D15" s="132"/>
      <c r="E15" s="38" t="s">
        <v>117</v>
      </c>
      <c r="F15" s="153">
        <f>'1_A melléklet'!F49</f>
        <v>0</v>
      </c>
    </row>
    <row r="16" spans="1:6" ht="36" x14ac:dyDescent="0.35">
      <c r="A16" s="155"/>
      <c r="B16" s="152" t="s">
        <v>158</v>
      </c>
      <c r="C16" s="153">
        <f>'1_A melléklet'!F16</f>
        <v>66974</v>
      </c>
      <c r="D16" s="132"/>
      <c r="E16" s="38" t="s">
        <v>118</v>
      </c>
      <c r="F16" s="153">
        <f>'1_A melléklet'!F50</f>
        <v>17720</v>
      </c>
    </row>
    <row r="17" spans="1:6" ht="36" x14ac:dyDescent="0.35">
      <c r="A17" s="155"/>
      <c r="B17" s="152" t="s">
        <v>69</v>
      </c>
      <c r="C17" s="153">
        <f>'1_A melléklet'!F17</f>
        <v>3130</v>
      </c>
      <c r="D17" s="136" t="s">
        <v>64</v>
      </c>
      <c r="E17" s="150" t="s">
        <v>128</v>
      </c>
      <c r="F17" s="149">
        <f>F18</f>
        <v>77103</v>
      </c>
    </row>
    <row r="18" spans="1:6" x14ac:dyDescent="0.35">
      <c r="A18" s="126" t="s">
        <v>70</v>
      </c>
      <c r="B18" s="136" t="s">
        <v>74</v>
      </c>
      <c r="C18" s="149">
        <f>C19+C20+C21+C22</f>
        <v>262826</v>
      </c>
      <c r="D18" s="137"/>
      <c r="E18" s="38" t="s">
        <v>146</v>
      </c>
      <c r="F18" s="153">
        <f>'1_A melléklet'!F53</f>
        <v>77103</v>
      </c>
    </row>
    <row r="19" spans="1:6" ht="42" x14ac:dyDescent="0.35">
      <c r="A19" s="128"/>
      <c r="B19" s="64" t="s">
        <v>75</v>
      </c>
      <c r="C19" s="153">
        <f>'1_A melléklet'!F19</f>
        <v>252826</v>
      </c>
      <c r="D19" s="132"/>
      <c r="E19" s="154"/>
      <c r="F19" s="157">
        <f>'1_A melléklet'!C54</f>
        <v>0</v>
      </c>
    </row>
    <row r="20" spans="1:6" x14ac:dyDescent="0.35">
      <c r="A20" s="129"/>
      <c r="B20" s="38" t="s">
        <v>76</v>
      </c>
      <c r="C20" s="153">
        <f>'1_A melléklet'!F20</f>
        <v>0</v>
      </c>
      <c r="D20" s="2"/>
      <c r="E20" s="2"/>
      <c r="F20" s="2"/>
    </row>
    <row r="21" spans="1:6" x14ac:dyDescent="0.35">
      <c r="A21" s="128"/>
      <c r="B21" s="38" t="s">
        <v>77</v>
      </c>
      <c r="C21" s="153">
        <f>'1_A melléklet'!F21</f>
        <v>8000</v>
      </c>
      <c r="D21" s="2"/>
      <c r="E21" s="2"/>
      <c r="F21" s="2"/>
    </row>
    <row r="22" spans="1:6" ht="54" x14ac:dyDescent="0.35">
      <c r="A22" s="151"/>
      <c r="B22" s="38" t="s">
        <v>78</v>
      </c>
      <c r="C22" s="153">
        <f>'1_A melléklet'!F22</f>
        <v>2000</v>
      </c>
      <c r="D22" s="2"/>
      <c r="E22" s="2"/>
      <c r="F22" s="2"/>
    </row>
    <row r="23" spans="1:6" ht="19.350000000000001" customHeight="1" x14ac:dyDescent="0.35">
      <c r="A23" s="126" t="s">
        <v>73</v>
      </c>
      <c r="B23" s="158" t="s">
        <v>80</v>
      </c>
      <c r="C23" s="149">
        <f>C24+C25+C26+C27+C28</f>
        <v>105248</v>
      </c>
      <c r="D23" s="140"/>
      <c r="E23" s="2"/>
      <c r="F23" s="2"/>
    </row>
    <row r="24" spans="1:6" ht="36" x14ac:dyDescent="0.35">
      <c r="A24" s="128"/>
      <c r="B24" s="38" t="s">
        <v>137</v>
      </c>
      <c r="C24" s="153">
        <f>'1_A melléklet'!F24</f>
        <v>105248</v>
      </c>
      <c r="D24" s="2"/>
      <c r="E24" s="2"/>
      <c r="F24" s="159"/>
    </row>
    <row r="25" spans="1:6" ht="26.25" customHeight="1" x14ac:dyDescent="0.35">
      <c r="A25" s="128"/>
      <c r="B25" s="38" t="s">
        <v>82</v>
      </c>
      <c r="C25" s="153">
        <f>'1_A melléklet'!F25</f>
        <v>0</v>
      </c>
      <c r="D25" s="2"/>
      <c r="E25" s="2"/>
      <c r="F25" s="159"/>
    </row>
    <row r="26" spans="1:6" ht="23.85" customHeight="1" x14ac:dyDescent="0.35">
      <c r="A26" s="128"/>
      <c r="B26" s="38" t="s">
        <v>83</v>
      </c>
      <c r="C26" s="153">
        <f>'1_A melléklet'!F26</f>
        <v>0</v>
      </c>
      <c r="D26" s="2"/>
      <c r="E26" s="2"/>
      <c r="F26" s="159"/>
    </row>
    <row r="27" spans="1:6" x14ac:dyDescent="0.35">
      <c r="A27" s="128"/>
      <c r="B27" s="38" t="s">
        <v>84</v>
      </c>
      <c r="C27" s="153">
        <f>'1_A melléklet'!F27</f>
        <v>0</v>
      </c>
      <c r="D27" s="2"/>
      <c r="E27" s="2"/>
      <c r="F27" s="159"/>
    </row>
    <row r="28" spans="1:6" x14ac:dyDescent="0.35">
      <c r="A28" s="128"/>
      <c r="B28" s="38" t="s">
        <v>85</v>
      </c>
      <c r="C28" s="160">
        <f>'1_A melléklet'!C28</f>
        <v>0</v>
      </c>
      <c r="D28" s="2"/>
      <c r="E28" s="2"/>
      <c r="F28" s="159"/>
    </row>
    <row r="29" spans="1:6" x14ac:dyDescent="0.35">
      <c r="A29" s="131" t="s">
        <v>79</v>
      </c>
      <c r="B29" s="150" t="s">
        <v>90</v>
      </c>
      <c r="C29" s="149">
        <f>'1_A melléklet'!F29</f>
        <v>5837</v>
      </c>
      <c r="D29" s="2"/>
      <c r="E29" s="2"/>
      <c r="F29" s="159"/>
    </row>
    <row r="30" spans="1:6" x14ac:dyDescent="0.35">
      <c r="A30" s="132"/>
      <c r="B30" s="161" t="s">
        <v>138</v>
      </c>
      <c r="C30" s="160">
        <f>C6+C13+C18+C23</f>
        <v>1110165</v>
      </c>
      <c r="D30" s="2"/>
      <c r="E30" s="2"/>
      <c r="F30" s="159"/>
    </row>
    <row r="31" spans="1:6" ht="20.399999999999999" x14ac:dyDescent="0.35">
      <c r="A31" s="131" t="s">
        <v>86</v>
      </c>
      <c r="B31" s="70" t="s">
        <v>159</v>
      </c>
      <c r="C31" s="149">
        <f>'1_A melléklet'!F31</f>
        <v>143354</v>
      </c>
      <c r="D31" s="125"/>
      <c r="E31" s="16"/>
      <c r="F31" s="162"/>
    </row>
    <row r="32" spans="1:6" x14ac:dyDescent="0.35">
      <c r="A32" s="131" t="s">
        <v>89</v>
      </c>
      <c r="B32" s="150" t="s">
        <v>100</v>
      </c>
      <c r="C32" s="149">
        <f>'1_A melléklet'!F32</f>
        <v>62076</v>
      </c>
      <c r="D32" s="125"/>
      <c r="E32" s="16"/>
      <c r="F32" s="162"/>
    </row>
    <row r="33" spans="1:6" x14ac:dyDescent="0.35">
      <c r="A33" s="132"/>
      <c r="B33" s="161" t="s">
        <v>139</v>
      </c>
      <c r="C33" s="160">
        <f>C31+C32</f>
        <v>205430</v>
      </c>
      <c r="D33" s="125"/>
      <c r="E33" s="16"/>
      <c r="F33" s="162"/>
    </row>
    <row r="34" spans="1:6" x14ac:dyDescent="0.35">
      <c r="A34" s="132"/>
      <c r="B34" s="163" t="s">
        <v>106</v>
      </c>
      <c r="C34" s="160">
        <f>C6+C13+C18+C23+C29+C33</f>
        <v>1321432</v>
      </c>
      <c r="D34" s="125"/>
      <c r="E34" s="163" t="s">
        <v>141</v>
      </c>
      <c r="F34" s="160">
        <f>F6+F17</f>
        <v>1324370</v>
      </c>
    </row>
    <row r="35" spans="1:6" x14ac:dyDescent="0.35">
      <c r="A35" s="164"/>
      <c r="B35" s="16"/>
      <c r="C35" s="162"/>
      <c r="D35" s="125"/>
      <c r="E35" s="16"/>
      <c r="F35" s="16"/>
    </row>
    <row r="36" spans="1:6" x14ac:dyDescent="0.35">
      <c r="A36" s="164"/>
      <c r="B36" s="165"/>
      <c r="C36" s="133"/>
      <c r="D36" s="164"/>
      <c r="E36" s="165"/>
      <c r="F36" s="166">
        <f>C34-F34</f>
        <v>-2938</v>
      </c>
    </row>
    <row r="37" spans="1:6" ht="32.85" customHeight="1" x14ac:dyDescent="0.35">
      <c r="A37" s="524" t="s">
        <v>160</v>
      </c>
      <c r="B37" s="524"/>
      <c r="C37" s="524"/>
      <c r="D37" s="524"/>
      <c r="E37" s="524"/>
      <c r="F37" s="524"/>
    </row>
    <row r="38" spans="1:6" x14ac:dyDescent="0.35">
      <c r="A38" s="146"/>
      <c r="B38" s="16" t="s">
        <v>51</v>
      </c>
      <c r="C38" s="35" t="s">
        <v>155</v>
      </c>
      <c r="D38" s="35"/>
      <c r="E38" s="16" t="s">
        <v>107</v>
      </c>
      <c r="F38" s="167" t="s">
        <v>155</v>
      </c>
    </row>
    <row r="39" spans="1:6" ht="20.399999999999999" x14ac:dyDescent="0.35">
      <c r="A39" s="168" t="s">
        <v>56</v>
      </c>
      <c r="B39" s="70" t="s">
        <v>74</v>
      </c>
      <c r="C39" s="169">
        <f>'1_B_MELLÉKLET'!F6</f>
        <v>62394</v>
      </c>
      <c r="D39" s="136" t="s">
        <v>56</v>
      </c>
      <c r="E39" s="170" t="s">
        <v>119</v>
      </c>
      <c r="F39" s="149">
        <f>F40+F43+F44+F47</f>
        <v>318920</v>
      </c>
    </row>
    <row r="40" spans="1:6" ht="21" x14ac:dyDescent="0.35">
      <c r="A40" s="171"/>
      <c r="B40" s="76" t="s">
        <v>143</v>
      </c>
      <c r="C40" s="172">
        <f>'1_B_MELLÉKLET'!F7</f>
        <v>62394</v>
      </c>
      <c r="D40" s="137"/>
      <c r="E40" s="173" t="s">
        <v>120</v>
      </c>
      <c r="F40" s="153">
        <f>'1_B_MELLÉKLET'!F25</f>
        <v>295485</v>
      </c>
    </row>
    <row r="41" spans="1:6" ht="54" x14ac:dyDescent="0.35">
      <c r="A41" s="168" t="s">
        <v>64</v>
      </c>
      <c r="B41" s="150" t="s">
        <v>87</v>
      </c>
      <c r="C41" s="149">
        <f>C42+C43</f>
        <v>2946</v>
      </c>
      <c r="D41" s="137"/>
      <c r="E41" s="174" t="s">
        <v>121</v>
      </c>
      <c r="F41" s="153">
        <f>'1_B_MELLÉKLET'!F26</f>
        <v>0</v>
      </c>
    </row>
    <row r="42" spans="1:6" ht="68.400000000000006" customHeight="1" x14ac:dyDescent="0.35">
      <c r="A42" s="175"/>
      <c r="B42" s="38" t="s">
        <v>88</v>
      </c>
      <c r="C42" s="153">
        <f>'1_B_MELLÉKLET'!F9</f>
        <v>2946</v>
      </c>
      <c r="D42" s="137"/>
      <c r="E42" s="174" t="s">
        <v>122</v>
      </c>
      <c r="F42" s="17">
        <f>'1_B_MELLÉKLET'!C27</f>
        <v>0</v>
      </c>
    </row>
    <row r="43" spans="1:6" ht="26.25" customHeight="1" x14ac:dyDescent="0.35">
      <c r="A43" s="175"/>
      <c r="B43" s="38" t="s">
        <v>161</v>
      </c>
      <c r="C43" s="153">
        <f>'1_B_MELLÉKLET'!F10</f>
        <v>0</v>
      </c>
      <c r="D43" s="132"/>
      <c r="E43" s="174" t="s">
        <v>123</v>
      </c>
      <c r="F43" s="153">
        <f>'1_B_MELLÉKLET'!F28</f>
        <v>23017</v>
      </c>
    </row>
    <row r="44" spans="1:6" ht="26.25" customHeight="1" x14ac:dyDescent="0.35">
      <c r="A44" s="176" t="s">
        <v>70</v>
      </c>
      <c r="B44" s="150" t="s">
        <v>93</v>
      </c>
      <c r="C44" s="149">
        <f>C45+C46</f>
        <v>149983</v>
      </c>
      <c r="D44" s="132"/>
      <c r="E44" s="174" t="s">
        <v>148</v>
      </c>
      <c r="F44" s="153">
        <f>'1_B_MELLÉKLET'!C29</f>
        <v>0</v>
      </c>
    </row>
    <row r="45" spans="1:6" ht="39.9" customHeight="1" x14ac:dyDescent="0.35">
      <c r="A45" s="171"/>
      <c r="B45" s="38" t="s">
        <v>162</v>
      </c>
      <c r="C45" s="153">
        <f>'1_B_MELLÉKLET'!F12</f>
        <v>1700</v>
      </c>
      <c r="D45" s="132"/>
      <c r="E45" s="174" t="s">
        <v>125</v>
      </c>
      <c r="F45" s="17">
        <f>'1_B_MELLÉKLET'!C30</f>
        <v>0</v>
      </c>
    </row>
    <row r="46" spans="1:6" ht="43.95" customHeight="1" x14ac:dyDescent="0.35">
      <c r="A46" s="171"/>
      <c r="B46" s="38" t="s">
        <v>95</v>
      </c>
      <c r="C46" s="153">
        <f>'1_B_MELLÉKLET'!F13</f>
        <v>148283</v>
      </c>
      <c r="D46" s="132"/>
      <c r="E46" s="174" t="s">
        <v>126</v>
      </c>
      <c r="F46" s="17">
        <f>'1_B_MELLÉKLET'!C31</f>
        <v>0</v>
      </c>
    </row>
    <row r="47" spans="1:6" x14ac:dyDescent="0.35">
      <c r="A47" s="168" t="s">
        <v>73</v>
      </c>
      <c r="B47" s="150" t="s">
        <v>145</v>
      </c>
      <c r="C47" s="149">
        <f>C39+C41+C44</f>
        <v>215323</v>
      </c>
      <c r="D47" s="132"/>
      <c r="E47" s="174" t="s">
        <v>10</v>
      </c>
      <c r="F47" s="153">
        <f>'1_B_MELLÉKLET'!F32</f>
        <v>418</v>
      </c>
    </row>
    <row r="48" spans="1:6" ht="34.799999999999997" x14ac:dyDescent="0.35">
      <c r="A48" s="168" t="s">
        <v>79</v>
      </c>
      <c r="B48" s="70" t="s">
        <v>146</v>
      </c>
      <c r="C48" s="177">
        <f>'1_B_MELLÉKLET'!C15</f>
        <v>0</v>
      </c>
      <c r="D48" s="136" t="s">
        <v>64</v>
      </c>
      <c r="E48" s="170" t="s">
        <v>128</v>
      </c>
      <c r="F48" s="178">
        <f>'1_B_MELLÉKLET'!C34</f>
        <v>1089</v>
      </c>
    </row>
    <row r="49" spans="1:36" ht="34.799999999999997" x14ac:dyDescent="0.35">
      <c r="A49" s="168" t="s">
        <v>86</v>
      </c>
      <c r="B49" s="150" t="s">
        <v>102</v>
      </c>
      <c r="C49" s="149">
        <f>'1_B_MELLÉKLET'!F16</f>
        <v>107624</v>
      </c>
      <c r="D49" s="2"/>
      <c r="E49" s="174" t="s">
        <v>163</v>
      </c>
      <c r="F49" s="17">
        <f>'1_B_MELLÉKLET'!C35</f>
        <v>1089</v>
      </c>
    </row>
    <row r="50" spans="1:36" x14ac:dyDescent="0.35">
      <c r="A50" s="175"/>
      <c r="B50" s="161" t="s">
        <v>147</v>
      </c>
      <c r="C50" s="160">
        <f>C49</f>
        <v>107624</v>
      </c>
      <c r="D50" s="2"/>
      <c r="E50" s="174"/>
      <c r="F50" s="17">
        <f>'1_B_MELLÉKLET'!C36</f>
        <v>0</v>
      </c>
    </row>
    <row r="51" spans="1:36" s="180" customFormat="1" x14ac:dyDescent="0.35">
      <c r="A51" s="125"/>
      <c r="B51" s="163" t="s">
        <v>106</v>
      </c>
      <c r="C51" s="160">
        <f>'1_B_MELLÉKLET'!F18</f>
        <v>322947</v>
      </c>
      <c r="D51" s="2"/>
      <c r="E51" s="179" t="s">
        <v>141</v>
      </c>
      <c r="F51" s="160">
        <f>'1_B_MELLÉKLET'!F37</f>
        <v>320009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144"/>
      <c r="AD51" s="144"/>
      <c r="AE51" s="144"/>
      <c r="AF51" s="144"/>
      <c r="AG51" s="144"/>
      <c r="AH51" s="144"/>
      <c r="AI51" s="144"/>
      <c r="AJ51" s="144"/>
    </row>
    <row r="52" spans="1:36" s="180" customFormat="1" x14ac:dyDescent="0.35">
      <c r="A52" s="181"/>
      <c r="B52" s="181"/>
      <c r="C52" s="182">
        <f>C34+C51</f>
        <v>1644379</v>
      </c>
      <c r="D52" s="32"/>
      <c r="E52" s="183"/>
      <c r="F52" s="166">
        <f>C51-F51</f>
        <v>2938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144"/>
      <c r="AD52" s="144"/>
      <c r="AE52" s="144"/>
      <c r="AF52" s="144"/>
      <c r="AG52" s="144"/>
      <c r="AH52" s="144"/>
      <c r="AI52" s="144"/>
      <c r="AJ52" s="144"/>
    </row>
    <row r="53" spans="1:36" s="180" customFormat="1" x14ac:dyDescent="0.35">
      <c r="A53" s="181"/>
      <c r="B53" s="181"/>
      <c r="C53" s="181"/>
      <c r="D53" s="32"/>
      <c r="E53" s="183"/>
      <c r="F53" s="39">
        <f>F34+F51</f>
        <v>1644379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144"/>
      <c r="AD53" s="144"/>
      <c r="AE53" s="144"/>
      <c r="AF53" s="144"/>
      <c r="AG53" s="144"/>
      <c r="AH53" s="144"/>
      <c r="AI53" s="144"/>
      <c r="AJ53" s="144"/>
    </row>
    <row r="54" spans="1:36" s="180" customFormat="1" x14ac:dyDescent="0.35">
      <c r="A54" s="181"/>
      <c r="B54" s="181"/>
      <c r="C54" s="18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144"/>
      <c r="AD54" s="144"/>
      <c r="AE54" s="144"/>
      <c r="AF54" s="144"/>
      <c r="AG54" s="144"/>
      <c r="AH54" s="144"/>
      <c r="AI54" s="144"/>
      <c r="AJ54" s="144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ageMargins left="0.74791666666666667" right="0.74791666666666667" top="0.98402777777777772" bottom="0.98402777777777772" header="0.51180555555555551" footer="0.51180555555555551"/>
  <pageSetup paperSize="9" scale="48" firstPageNumber="0" orientation="portrait" horizontalDpi="300" verticalDpi="300" r:id="rId1"/>
  <headerFooter alignWithMargins="0">
    <oddHeader xml:space="preserve">&amp;R2. melléklet a    /2021.(.) 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11"/>
  <sheetViews>
    <sheetView zoomScale="65" zoomScaleNormal="65" zoomScaleSheetLayoutView="50" workbookViewId="0">
      <selection activeCell="D6" sqref="D6:E6"/>
    </sheetView>
  </sheetViews>
  <sheetFormatPr defaultColWidth="8.44140625" defaultRowHeight="13.8" x14ac:dyDescent="0.25"/>
  <cols>
    <col min="1" max="1" width="9" style="184" customWidth="1"/>
    <col min="2" max="2" width="40.109375" style="184" customWidth="1"/>
    <col min="3" max="4" width="13.5546875" style="184" customWidth="1"/>
    <col min="5" max="5" width="15.6640625" style="184" customWidth="1"/>
    <col min="6" max="6" width="14.33203125" style="184" customWidth="1"/>
    <col min="7" max="28" width="8.44140625" style="184"/>
    <col min="29" max="16384" width="8.44140625" style="185"/>
  </cols>
  <sheetData>
    <row r="1" spans="1:28" ht="33" customHeight="1" x14ac:dyDescent="0.25">
      <c r="A1" s="527" t="s">
        <v>164</v>
      </c>
      <c r="B1" s="527"/>
      <c r="C1" s="527"/>
      <c r="D1" s="527"/>
      <c r="E1" s="527"/>
      <c r="F1" s="527"/>
    </row>
    <row r="2" spans="1:28" ht="15.9" customHeight="1" x14ac:dyDescent="0.35">
      <c r="A2" s="186"/>
      <c r="B2" s="186"/>
      <c r="C2" s="528"/>
      <c r="D2" s="528"/>
      <c r="E2" s="529" t="s">
        <v>165</v>
      </c>
      <c r="F2" s="529"/>
      <c r="G2" s="187"/>
    </row>
    <row r="3" spans="1:28" ht="63" customHeight="1" x14ac:dyDescent="0.25">
      <c r="A3" s="530" t="s">
        <v>166</v>
      </c>
      <c r="B3" s="531" t="s">
        <v>167</v>
      </c>
      <c r="C3" s="532" t="s">
        <v>168</v>
      </c>
      <c r="D3" s="532"/>
      <c r="E3" s="532"/>
      <c r="F3" s="533" t="s">
        <v>169</v>
      </c>
    </row>
    <row r="4" spans="1:28" ht="34.799999999999997" x14ac:dyDescent="0.25">
      <c r="A4" s="530"/>
      <c r="B4" s="531"/>
      <c r="C4" s="188" t="s">
        <v>170</v>
      </c>
      <c r="D4" s="188" t="s">
        <v>171</v>
      </c>
      <c r="E4" s="188" t="s">
        <v>172</v>
      </c>
      <c r="F4" s="533"/>
    </row>
    <row r="5" spans="1:28" ht="18" x14ac:dyDescent="0.25">
      <c r="A5" s="189"/>
      <c r="B5" s="190" t="s">
        <v>173</v>
      </c>
      <c r="C5" s="190" t="s">
        <v>174</v>
      </c>
      <c r="D5" s="190" t="s">
        <v>175</v>
      </c>
      <c r="E5" s="190" t="s">
        <v>176</v>
      </c>
      <c r="F5" s="191" t="s">
        <v>177</v>
      </c>
    </row>
    <row r="6" spans="1:28" ht="29.85" customHeight="1" x14ac:dyDescent="0.35">
      <c r="A6" s="192" t="s">
        <v>178</v>
      </c>
      <c r="B6" s="193" t="s">
        <v>179</v>
      </c>
      <c r="C6" s="194">
        <v>1089</v>
      </c>
      <c r="D6" s="194">
        <v>1189</v>
      </c>
      <c r="E6" s="194">
        <v>1073</v>
      </c>
      <c r="F6" s="195">
        <f>SUM(C6:E6)</f>
        <v>3351</v>
      </c>
    </row>
    <row r="7" spans="1:28" ht="18" x14ac:dyDescent="0.35">
      <c r="A7" s="196" t="s">
        <v>180</v>
      </c>
      <c r="B7" s="197"/>
      <c r="C7" s="198"/>
      <c r="D7" s="198"/>
      <c r="E7" s="198"/>
      <c r="F7" s="199"/>
    </row>
    <row r="8" spans="1:28" ht="18" x14ac:dyDescent="0.35">
      <c r="A8" s="196" t="s">
        <v>181</v>
      </c>
      <c r="B8" s="197"/>
      <c r="C8" s="198"/>
      <c r="D8" s="198"/>
      <c r="E8" s="198"/>
      <c r="F8" s="199"/>
    </row>
    <row r="9" spans="1:28" ht="18" x14ac:dyDescent="0.35">
      <c r="A9" s="196" t="s">
        <v>182</v>
      </c>
      <c r="B9" s="197"/>
      <c r="C9" s="198"/>
      <c r="D9" s="198"/>
      <c r="E9" s="198"/>
      <c r="F9" s="199"/>
    </row>
    <row r="10" spans="1:28" ht="18" x14ac:dyDescent="0.35">
      <c r="A10" s="200" t="s">
        <v>183</v>
      </c>
      <c r="B10" s="201"/>
      <c r="C10" s="202"/>
      <c r="D10" s="202"/>
      <c r="E10" s="202"/>
      <c r="F10" s="199"/>
    </row>
    <row r="11" spans="1:28" s="208" customFormat="1" ht="17.399999999999999" x14ac:dyDescent="0.3">
      <c r="A11" s="203" t="s">
        <v>184</v>
      </c>
      <c r="B11" s="204" t="s">
        <v>185</v>
      </c>
      <c r="C11" s="205">
        <f>SUM(C6:C10)</f>
        <v>1089</v>
      </c>
      <c r="D11" s="205">
        <f>SUM(D6:D10)</f>
        <v>1189</v>
      </c>
      <c r="E11" s="205">
        <f>SUM(E6:E10)</f>
        <v>1073</v>
      </c>
      <c r="F11" s="206">
        <f>SUM(F6:F10)</f>
        <v>3351</v>
      </c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ageMargins left="0.78749999999999998" right="0.78749999999999998" top="1.0631944444444446" bottom="0.90555555555555556" header="0.78749999999999998" footer="0.51180555555555551"/>
  <pageSetup paperSize="9" scale="81" firstPageNumber="0" orientation="portrait" horizontalDpi="300" verticalDpi="300" r:id="rId1"/>
  <headerFooter alignWithMargins="0">
    <oddHeader xml:space="preserve">&amp;R&amp;"Times New Roman,Normál"&amp;12 3. melléklet a    /2021.(.) 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93"/>
  <sheetViews>
    <sheetView topLeftCell="A37" zoomScale="65" zoomScaleNormal="65" workbookViewId="0">
      <selection activeCell="H50" sqref="H50"/>
    </sheetView>
  </sheetViews>
  <sheetFormatPr defaultColWidth="9" defaultRowHeight="18" x14ac:dyDescent="0.35"/>
  <cols>
    <col min="1" max="1" width="9.44140625" style="116" customWidth="1"/>
    <col min="2" max="2" width="77.6640625" style="116" customWidth="1"/>
    <col min="3" max="3" width="15.6640625" style="116" customWidth="1"/>
    <col min="4" max="4" width="25.33203125" style="116" customWidth="1"/>
    <col min="5" max="5" width="23.6640625" style="116" customWidth="1"/>
    <col min="6" max="6" width="14.6640625" style="116" customWidth="1"/>
    <col min="7" max="7" width="24.6640625" style="415" customWidth="1"/>
    <col min="8" max="8" width="24.6640625" style="116" customWidth="1"/>
    <col min="9" max="9" width="21.44140625" style="209" customWidth="1"/>
    <col min="10" max="10" width="20.5546875" style="209" customWidth="1"/>
    <col min="11" max="11" width="27.33203125" style="209" customWidth="1"/>
    <col min="12" max="12" width="16.6640625" style="116" customWidth="1"/>
    <col min="13" max="13" width="11.5546875" style="116" customWidth="1"/>
    <col min="14" max="14" width="14.44140625" style="116" customWidth="1"/>
    <col min="15" max="15" width="19.109375" style="116" customWidth="1"/>
    <col min="16" max="16" width="26.109375" style="116" customWidth="1"/>
    <col min="17" max="17" width="13.6640625" style="116" customWidth="1"/>
    <col min="18" max="18" width="13.33203125" style="116" customWidth="1"/>
    <col min="19" max="25" width="9" style="116"/>
    <col min="26" max="16384" width="9" style="210"/>
  </cols>
  <sheetData>
    <row r="1" spans="1:18" x14ac:dyDescent="0.35">
      <c r="A1" s="211" t="s">
        <v>186</v>
      </c>
      <c r="B1" s="212"/>
      <c r="C1" s="212"/>
      <c r="D1" s="209"/>
      <c r="E1" s="209"/>
      <c r="F1" s="213"/>
      <c r="G1" s="407"/>
      <c r="H1" s="213"/>
    </row>
    <row r="2" spans="1:18" ht="91.95" customHeight="1" x14ac:dyDescent="0.35">
      <c r="A2" s="27" t="s">
        <v>47</v>
      </c>
      <c r="B2" s="27" t="s">
        <v>187</v>
      </c>
      <c r="C2" s="214" t="s">
        <v>49</v>
      </c>
      <c r="D2" s="215" t="s">
        <v>188</v>
      </c>
      <c r="E2" s="216" t="s">
        <v>53</v>
      </c>
      <c r="F2" s="216" t="s">
        <v>54</v>
      </c>
      <c r="G2" s="408" t="s">
        <v>323</v>
      </c>
      <c r="H2" s="216" t="s">
        <v>55</v>
      </c>
      <c r="I2" s="217"/>
      <c r="J2" s="217"/>
      <c r="K2" s="217"/>
      <c r="L2" s="117"/>
      <c r="M2" s="117"/>
      <c r="N2" s="117"/>
      <c r="O2" s="117"/>
    </row>
    <row r="3" spans="1:18" ht="20.399999999999999" x14ac:dyDescent="0.35">
      <c r="A3" s="218" t="s">
        <v>56</v>
      </c>
      <c r="B3" s="219" t="s">
        <v>189</v>
      </c>
      <c r="C3" s="220"/>
      <c r="D3" s="220"/>
      <c r="E3" s="220"/>
      <c r="F3" s="27"/>
      <c r="G3" s="398"/>
      <c r="H3" s="221"/>
      <c r="L3" s="117"/>
      <c r="M3" s="117"/>
      <c r="N3" s="117"/>
      <c r="O3" s="117"/>
      <c r="P3" s="117"/>
      <c r="Q3" s="117"/>
      <c r="R3" s="117"/>
    </row>
    <row r="4" spans="1:18" x14ac:dyDescent="0.35">
      <c r="A4" s="27"/>
      <c r="B4" s="26"/>
      <c r="C4" s="220"/>
      <c r="D4" s="220"/>
      <c r="E4" s="220"/>
      <c r="F4" s="27"/>
      <c r="G4" s="398"/>
      <c r="H4" s="221"/>
      <c r="I4" s="223"/>
      <c r="L4" s="117"/>
      <c r="M4" s="117"/>
      <c r="N4" s="117"/>
      <c r="O4" s="117"/>
      <c r="P4" s="117"/>
      <c r="Q4" s="117"/>
      <c r="R4" s="117"/>
    </row>
    <row r="5" spans="1:18" x14ac:dyDescent="0.35">
      <c r="A5" s="27"/>
      <c r="B5" s="26" t="s">
        <v>190</v>
      </c>
      <c r="C5" s="220">
        <f>90+756</f>
        <v>846</v>
      </c>
      <c r="D5" s="220">
        <v>4642</v>
      </c>
      <c r="E5" s="220">
        <f>G5-D5+3048</f>
        <v>7822</v>
      </c>
      <c r="F5" s="224">
        <f t="shared" ref="F5:F13" si="0">SUM(D5:E5)</f>
        <v>12464</v>
      </c>
      <c r="G5" s="397">
        <f>330+3882+430+4774</f>
        <v>9416</v>
      </c>
      <c r="H5" s="221">
        <f t="shared" ref="H5:H13" si="1">G5/F5</f>
        <v>0.75545571245186138</v>
      </c>
      <c r="I5" s="223"/>
      <c r="L5" s="117"/>
      <c r="M5" s="117"/>
      <c r="N5" s="117"/>
      <c r="O5" s="117"/>
      <c r="P5" s="117"/>
      <c r="Q5" s="117"/>
      <c r="R5" s="117"/>
    </row>
    <row r="6" spans="1:18" x14ac:dyDescent="0.35">
      <c r="A6" s="27"/>
      <c r="B6" s="26" t="s">
        <v>191</v>
      </c>
      <c r="C6" s="220"/>
      <c r="D6" s="220">
        <v>1051</v>
      </c>
      <c r="E6" s="220">
        <v>0</v>
      </c>
      <c r="F6" s="224">
        <v>1050</v>
      </c>
      <c r="G6" s="397">
        <v>1050</v>
      </c>
      <c r="H6" s="221">
        <f t="shared" si="1"/>
        <v>1</v>
      </c>
      <c r="I6" s="223"/>
      <c r="L6" s="117"/>
      <c r="M6" s="117"/>
      <c r="N6" s="117"/>
      <c r="O6" s="117"/>
      <c r="P6" s="117"/>
      <c r="Q6" s="117"/>
      <c r="R6" s="117"/>
    </row>
    <row r="7" spans="1:18" x14ac:dyDescent="0.35">
      <c r="A7" s="27"/>
      <c r="B7" s="26" t="s">
        <v>192</v>
      </c>
      <c r="C7" s="220"/>
      <c r="D7" s="220">
        <v>143</v>
      </c>
      <c r="E7" s="220">
        <v>0</v>
      </c>
      <c r="F7" s="224">
        <f t="shared" si="0"/>
        <v>143</v>
      </c>
      <c r="G7" s="397">
        <v>143</v>
      </c>
      <c r="H7" s="221">
        <f t="shared" si="1"/>
        <v>1</v>
      </c>
      <c r="I7" s="223"/>
      <c r="L7" s="117"/>
      <c r="M7" s="117"/>
      <c r="N7" s="117"/>
      <c r="O7" s="117"/>
      <c r="P7" s="117"/>
      <c r="Q7" s="117"/>
      <c r="R7" s="117"/>
    </row>
    <row r="8" spans="1:18" x14ac:dyDescent="0.35">
      <c r="A8" s="27"/>
      <c r="B8" s="26" t="s">
        <v>12</v>
      </c>
      <c r="C8" s="220"/>
      <c r="D8" s="220">
        <v>1029</v>
      </c>
      <c r="E8" s="220">
        <f>G8-D8</f>
        <v>60</v>
      </c>
      <c r="F8" s="224">
        <f t="shared" si="0"/>
        <v>1089</v>
      </c>
      <c r="G8" s="397">
        <f>1029+60</f>
        <v>1089</v>
      </c>
      <c r="H8" s="221">
        <f t="shared" si="1"/>
        <v>1</v>
      </c>
      <c r="I8" s="223"/>
      <c r="L8" s="117"/>
      <c r="M8" s="117"/>
      <c r="N8" s="117"/>
      <c r="O8" s="117"/>
      <c r="P8" s="117"/>
      <c r="Q8" s="117"/>
      <c r="R8" s="117"/>
    </row>
    <row r="9" spans="1:18" x14ac:dyDescent="0.35">
      <c r="A9" s="27"/>
      <c r="B9" s="26" t="s">
        <v>13</v>
      </c>
      <c r="C9" s="220"/>
      <c r="D9" s="220">
        <v>55</v>
      </c>
      <c r="E9" s="220">
        <v>0</v>
      </c>
      <c r="F9" s="224">
        <f t="shared" si="0"/>
        <v>55</v>
      </c>
      <c r="G9" s="397">
        <v>55</v>
      </c>
      <c r="H9" s="221">
        <f t="shared" si="1"/>
        <v>1</v>
      </c>
      <c r="I9" s="223"/>
      <c r="L9" s="117"/>
      <c r="M9" s="117"/>
      <c r="N9" s="117"/>
      <c r="O9" s="117"/>
      <c r="P9" s="117"/>
      <c r="Q9" s="117"/>
      <c r="R9" s="117"/>
    </row>
    <row r="10" spans="1:18" x14ac:dyDescent="0.35">
      <c r="A10" s="27"/>
      <c r="B10" s="26" t="s">
        <v>14</v>
      </c>
      <c r="C10" s="220"/>
      <c r="D10" s="220">
        <v>2000</v>
      </c>
      <c r="E10" s="220">
        <v>0</v>
      </c>
      <c r="F10" s="225">
        <f t="shared" si="0"/>
        <v>2000</v>
      </c>
      <c r="G10" s="396">
        <v>1985</v>
      </c>
      <c r="H10" s="221">
        <f t="shared" si="1"/>
        <v>0.99250000000000005</v>
      </c>
      <c r="I10" s="223"/>
      <c r="L10" s="117"/>
      <c r="M10" s="117"/>
      <c r="N10" s="117"/>
      <c r="O10" s="117"/>
      <c r="P10" s="117"/>
      <c r="Q10" s="117"/>
      <c r="R10" s="117"/>
    </row>
    <row r="11" spans="1:18" x14ac:dyDescent="0.35">
      <c r="A11" s="27"/>
      <c r="B11" s="26" t="s">
        <v>326</v>
      </c>
      <c r="C11" s="220"/>
      <c r="D11" s="220">
        <v>0</v>
      </c>
      <c r="E11" s="220">
        <v>923</v>
      </c>
      <c r="F11" s="225">
        <f t="shared" si="0"/>
        <v>923</v>
      </c>
      <c r="G11" s="396">
        <v>923</v>
      </c>
      <c r="H11" s="221">
        <f t="shared" si="1"/>
        <v>1</v>
      </c>
      <c r="I11" s="223"/>
      <c r="L11" s="117"/>
      <c r="M11" s="117"/>
      <c r="N11" s="117"/>
      <c r="O11" s="117"/>
      <c r="P11" s="117"/>
      <c r="Q11" s="117"/>
      <c r="R11" s="117"/>
    </row>
    <row r="12" spans="1:18" x14ac:dyDescent="0.35">
      <c r="A12" s="27"/>
      <c r="B12" s="26" t="s">
        <v>199</v>
      </c>
      <c r="C12" s="220"/>
      <c r="D12" s="220">
        <v>0</v>
      </c>
      <c r="E12" s="220">
        <v>5193</v>
      </c>
      <c r="F12" s="225">
        <f t="shared" si="0"/>
        <v>5193</v>
      </c>
      <c r="G12" s="396">
        <v>5193</v>
      </c>
      <c r="H12" s="221">
        <f t="shared" si="1"/>
        <v>1</v>
      </c>
      <c r="I12" s="223"/>
      <c r="L12" s="117"/>
      <c r="M12" s="117"/>
      <c r="N12" s="117"/>
      <c r="O12" s="117"/>
      <c r="P12" s="117"/>
      <c r="Q12" s="117"/>
      <c r="R12" s="117"/>
    </row>
    <row r="13" spans="1:18" x14ac:dyDescent="0.35">
      <c r="A13" s="27"/>
      <c r="B13" s="26" t="s">
        <v>15</v>
      </c>
      <c r="C13" s="220"/>
      <c r="D13" s="220">
        <v>99</v>
      </c>
      <c r="E13" s="220">
        <v>0</v>
      </c>
      <c r="F13" s="224">
        <f t="shared" si="0"/>
        <v>99</v>
      </c>
      <c r="G13" s="397">
        <v>99</v>
      </c>
      <c r="H13" s="221">
        <f t="shared" si="1"/>
        <v>1</v>
      </c>
      <c r="I13" s="223"/>
      <c r="L13" s="117"/>
      <c r="M13" s="117"/>
      <c r="N13" s="117"/>
      <c r="O13" s="117"/>
      <c r="P13" s="117"/>
      <c r="Q13" s="117"/>
      <c r="R13" s="117"/>
    </row>
    <row r="14" spans="1:18" x14ac:dyDescent="0.35">
      <c r="A14" s="27"/>
      <c r="B14" s="26"/>
      <c r="C14" s="220"/>
      <c r="D14" s="220"/>
      <c r="E14" s="220"/>
      <c r="F14" s="222"/>
      <c r="G14" s="401"/>
      <c r="H14" s="221"/>
      <c r="I14" s="223"/>
      <c r="L14" s="117"/>
      <c r="M14" s="117"/>
      <c r="N14" s="117"/>
      <c r="O14" s="117"/>
      <c r="P14" s="117"/>
      <c r="Q14" s="117"/>
      <c r="R14" s="117"/>
    </row>
    <row r="15" spans="1:18" x14ac:dyDescent="0.35">
      <c r="A15" s="218"/>
      <c r="B15" s="226" t="s">
        <v>193</v>
      </c>
      <c r="C15" s="227">
        <f>SUM(C3:C10)</f>
        <v>846</v>
      </c>
      <c r="D15" s="227">
        <f>SUM(D3:D13)</f>
        <v>9019</v>
      </c>
      <c r="E15" s="227">
        <f>SUM(E3:E13)</f>
        <v>13998</v>
      </c>
      <c r="F15" s="227">
        <f>SUM(F3:F13)</f>
        <v>23016</v>
      </c>
      <c r="G15" s="409">
        <f>SUM(G3:G13)</f>
        <v>19953</v>
      </c>
      <c r="H15" s="221">
        <f>G15/F15</f>
        <v>0.86691866527632955</v>
      </c>
      <c r="I15" s="223"/>
      <c r="K15" s="246"/>
      <c r="L15" s="117"/>
      <c r="M15" s="117"/>
      <c r="N15" s="117"/>
      <c r="O15" s="117"/>
      <c r="P15" s="117"/>
      <c r="Q15" s="117"/>
      <c r="R15" s="117"/>
    </row>
    <row r="16" spans="1:18" ht="20.399999999999999" x14ac:dyDescent="0.35">
      <c r="A16" s="226" t="s">
        <v>194</v>
      </c>
      <c r="B16" s="228" t="s">
        <v>195</v>
      </c>
      <c r="C16" s="27"/>
      <c r="D16" s="27"/>
      <c r="E16" s="27"/>
      <c r="F16" s="222">
        <f t="shared" ref="F16:F44" si="2">SUM(D16:E16)</f>
        <v>0</v>
      </c>
      <c r="G16" s="410"/>
      <c r="H16" s="221"/>
      <c r="I16" s="223"/>
      <c r="L16" s="117"/>
      <c r="M16" s="117"/>
      <c r="N16" s="117"/>
      <c r="O16" s="117"/>
      <c r="P16" s="117"/>
      <c r="Q16" s="117"/>
      <c r="R16" s="117"/>
    </row>
    <row r="17" spans="1:25" s="231" customFormat="1" x14ac:dyDescent="0.35">
      <c r="A17" s="27"/>
      <c r="B17" s="26"/>
      <c r="C17" s="229"/>
      <c r="D17" s="229"/>
      <c r="E17" s="229"/>
      <c r="F17" s="222">
        <f t="shared" si="2"/>
        <v>0</v>
      </c>
      <c r="G17" s="401"/>
      <c r="H17" s="221"/>
      <c r="I17" s="223"/>
      <c r="J17" s="209"/>
      <c r="K17" s="209"/>
      <c r="L17" s="117"/>
      <c r="M17" s="117"/>
      <c r="N17" s="117"/>
      <c r="O17" s="117"/>
      <c r="P17" s="117"/>
      <c r="Q17" s="117"/>
      <c r="R17" s="117"/>
      <c r="S17" s="230"/>
      <c r="T17" s="230"/>
      <c r="U17" s="230"/>
      <c r="V17" s="230"/>
      <c r="W17" s="230"/>
      <c r="X17" s="230"/>
      <c r="Y17" s="230"/>
    </row>
    <row r="18" spans="1:25" s="231" customFormat="1" x14ac:dyDescent="0.35">
      <c r="A18" s="232"/>
      <c r="B18" s="40" t="s">
        <v>196</v>
      </c>
      <c r="C18" s="229">
        <f>4699+635+635</f>
        <v>5969</v>
      </c>
      <c r="D18" s="229">
        <v>13676</v>
      </c>
      <c r="E18" s="229">
        <v>2452</v>
      </c>
      <c r="F18" s="224">
        <f t="shared" si="2"/>
        <v>16128</v>
      </c>
      <c r="G18" s="397">
        <f>13676+2452</f>
        <v>16128</v>
      </c>
      <c r="H18" s="221">
        <f>G18/F18</f>
        <v>1</v>
      </c>
      <c r="I18" s="223"/>
      <c r="J18" s="233"/>
      <c r="K18" s="233"/>
      <c r="L18" s="117"/>
      <c r="M18" s="117"/>
      <c r="N18" s="117"/>
      <c r="O18" s="117"/>
      <c r="P18" s="117"/>
      <c r="Q18" s="117"/>
      <c r="R18" s="117"/>
      <c r="S18" s="230"/>
      <c r="T18" s="230"/>
      <c r="U18" s="230"/>
      <c r="V18" s="230"/>
      <c r="W18" s="230"/>
      <c r="X18" s="230"/>
      <c r="Y18" s="230"/>
    </row>
    <row r="19" spans="1:25" s="231" customFormat="1" x14ac:dyDescent="0.35">
      <c r="A19" s="27"/>
      <c r="B19" s="27" t="s">
        <v>197</v>
      </c>
      <c r="C19" s="220">
        <f>209801+1691</f>
        <v>211492</v>
      </c>
      <c r="D19" s="220">
        <v>211492</v>
      </c>
      <c r="E19" s="220">
        <v>0</v>
      </c>
      <c r="F19" s="224">
        <f t="shared" si="2"/>
        <v>211492</v>
      </c>
      <c r="G19" s="397">
        <v>845</v>
      </c>
      <c r="H19" s="234">
        <f>G19/F19</f>
        <v>3.9954229947232051E-3</v>
      </c>
      <c r="I19" s="223"/>
      <c r="J19" s="233"/>
      <c r="K19" s="233"/>
      <c r="L19" s="117"/>
      <c r="M19" s="117"/>
      <c r="N19" s="117"/>
      <c r="O19" s="117"/>
      <c r="P19" s="117"/>
      <c r="Q19" s="117"/>
      <c r="R19" s="117"/>
      <c r="S19" s="230"/>
      <c r="T19" s="230"/>
      <c r="U19" s="230"/>
      <c r="V19" s="230"/>
      <c r="W19" s="230"/>
      <c r="X19" s="230"/>
      <c r="Y19" s="230"/>
    </row>
    <row r="20" spans="1:25" s="231" customFormat="1" ht="36" x14ac:dyDescent="0.35">
      <c r="A20" s="232"/>
      <c r="B20" s="40" t="s">
        <v>198</v>
      </c>
      <c r="C20" s="229">
        <v>6641</v>
      </c>
      <c r="D20" s="229">
        <v>0</v>
      </c>
      <c r="E20" s="229">
        <v>0</v>
      </c>
      <c r="F20" s="222">
        <f t="shared" si="2"/>
        <v>0</v>
      </c>
      <c r="G20" s="397">
        <v>0</v>
      </c>
      <c r="H20" s="221"/>
      <c r="I20" s="223"/>
      <c r="J20" s="233"/>
      <c r="K20" s="233"/>
      <c r="L20" s="117"/>
      <c r="M20" s="117"/>
      <c r="N20" s="117"/>
      <c r="O20" s="117"/>
      <c r="P20" s="117"/>
      <c r="Q20" s="117"/>
      <c r="R20" s="117"/>
      <c r="S20" s="230"/>
      <c r="T20" s="230"/>
      <c r="U20" s="230"/>
      <c r="V20" s="230"/>
      <c r="W20" s="230"/>
      <c r="X20" s="230"/>
      <c r="Y20" s="230"/>
    </row>
    <row r="21" spans="1:25" x14ac:dyDescent="0.35">
      <c r="A21" s="226"/>
      <c r="B21" s="26" t="s">
        <v>199</v>
      </c>
      <c r="C21" s="229">
        <v>15192</v>
      </c>
      <c r="D21" s="229">
        <v>15192</v>
      </c>
      <c r="E21" s="229">
        <v>-5193</v>
      </c>
      <c r="F21" s="224">
        <f t="shared" si="2"/>
        <v>9999</v>
      </c>
      <c r="G21" s="397">
        <f>625+4813</f>
        <v>5438</v>
      </c>
      <c r="H21" s="221">
        <f t="shared" ref="H21:H35" si="3">G21/F21</f>
        <v>0.54385438543854381</v>
      </c>
      <c r="I21" s="223"/>
      <c r="L21" s="117"/>
      <c r="M21" s="117"/>
      <c r="N21" s="117"/>
      <c r="O21" s="117"/>
      <c r="P21" s="117"/>
      <c r="Q21" s="117"/>
      <c r="R21" s="117"/>
    </row>
    <row r="22" spans="1:25" s="236" customFormat="1" ht="36" x14ac:dyDescent="0.35">
      <c r="A22" s="226"/>
      <c r="B22" s="26" t="s">
        <v>200</v>
      </c>
      <c r="C22" s="220">
        <f>4230+3963</f>
        <v>8193</v>
      </c>
      <c r="D22" s="220">
        <v>8193</v>
      </c>
      <c r="E22" s="220">
        <v>0</v>
      </c>
      <c r="F22" s="224">
        <f t="shared" si="2"/>
        <v>8193</v>
      </c>
      <c r="G22" s="397">
        <v>8192</v>
      </c>
      <c r="H22" s="221">
        <f t="shared" si="3"/>
        <v>0.99987794458684243</v>
      </c>
      <c r="I22" s="223"/>
      <c r="J22" s="235"/>
      <c r="K22" s="235"/>
      <c r="L22" s="117"/>
      <c r="M22" s="117"/>
      <c r="N22" s="117"/>
      <c r="O22" s="117"/>
      <c r="P22" s="117"/>
      <c r="Q22" s="117"/>
      <c r="R22" s="117"/>
      <c r="S22" s="143"/>
      <c r="T22" s="143"/>
      <c r="U22" s="143"/>
      <c r="V22" s="143"/>
      <c r="W22" s="143"/>
      <c r="X22" s="143"/>
      <c r="Y22" s="143"/>
    </row>
    <row r="23" spans="1:25" ht="27.75" customHeight="1" x14ac:dyDescent="0.35">
      <c r="A23" s="226"/>
      <c r="B23" s="26" t="s">
        <v>201</v>
      </c>
      <c r="C23" s="220">
        <v>7000</v>
      </c>
      <c r="D23" s="220">
        <v>7000</v>
      </c>
      <c r="E23" s="220">
        <v>0</v>
      </c>
      <c r="F23" s="224">
        <f t="shared" si="2"/>
        <v>7000</v>
      </c>
      <c r="G23" s="401">
        <v>0</v>
      </c>
      <c r="H23" s="221">
        <f t="shared" si="3"/>
        <v>0</v>
      </c>
      <c r="I23" s="223"/>
      <c r="J23" s="237"/>
      <c r="K23" s="237"/>
      <c r="L23" s="117"/>
      <c r="M23" s="117"/>
      <c r="N23" s="117"/>
      <c r="O23" s="117"/>
      <c r="P23" s="117"/>
      <c r="Q23" s="117"/>
      <c r="R23" s="117"/>
    </row>
    <row r="24" spans="1:25" s="236" customFormat="1" ht="33.75" customHeight="1" x14ac:dyDescent="0.35">
      <c r="A24" s="27"/>
      <c r="B24" s="27" t="s">
        <v>202</v>
      </c>
      <c r="C24" s="220">
        <v>64207</v>
      </c>
      <c r="D24" s="220">
        <v>17772</v>
      </c>
      <c r="E24" s="220">
        <v>0</v>
      </c>
      <c r="F24" s="224">
        <f t="shared" si="2"/>
        <v>17772</v>
      </c>
      <c r="G24" s="401">
        <v>0</v>
      </c>
      <c r="H24" s="221">
        <f t="shared" si="3"/>
        <v>0</v>
      </c>
      <c r="I24" s="223"/>
      <c r="J24" s="238"/>
      <c r="K24" s="238"/>
      <c r="L24" s="117"/>
      <c r="M24" s="117"/>
      <c r="N24" s="117"/>
      <c r="O24" s="117"/>
      <c r="P24" s="117"/>
      <c r="Q24" s="117"/>
      <c r="R24" s="117"/>
      <c r="S24" s="143"/>
      <c r="T24" s="143"/>
      <c r="U24" s="143"/>
      <c r="V24" s="143"/>
      <c r="W24" s="143"/>
      <c r="X24" s="143"/>
      <c r="Y24" s="143"/>
    </row>
    <row r="25" spans="1:25" s="236" customFormat="1" ht="33.75" customHeight="1" x14ac:dyDescent="0.35">
      <c r="A25" s="27"/>
      <c r="B25" s="27" t="s">
        <v>16</v>
      </c>
      <c r="C25" s="220">
        <v>0</v>
      </c>
      <c r="D25" s="220">
        <v>828</v>
      </c>
      <c r="E25" s="220">
        <f>G25-D25</f>
        <v>121</v>
      </c>
      <c r="F25" s="224">
        <f t="shared" si="2"/>
        <v>949</v>
      </c>
      <c r="G25" s="397">
        <v>949</v>
      </c>
      <c r="H25" s="221">
        <f t="shared" si="3"/>
        <v>1</v>
      </c>
      <c r="I25" s="223"/>
      <c r="J25" s="238"/>
      <c r="K25" s="238"/>
      <c r="L25" s="117"/>
      <c r="M25" s="117"/>
      <c r="N25" s="117"/>
      <c r="O25" s="117"/>
      <c r="P25" s="117"/>
      <c r="Q25" s="117"/>
      <c r="R25" s="117"/>
      <c r="S25" s="143"/>
      <c r="T25" s="143"/>
      <c r="U25" s="143"/>
      <c r="V25" s="143"/>
      <c r="W25" s="143"/>
      <c r="X25" s="143"/>
      <c r="Y25" s="143"/>
    </row>
    <row r="26" spans="1:25" s="236" customFormat="1" ht="33.75" customHeight="1" x14ac:dyDescent="0.35">
      <c r="A26" s="27"/>
      <c r="B26" s="27" t="s">
        <v>17</v>
      </c>
      <c r="C26" s="220">
        <v>0</v>
      </c>
      <c r="D26" s="220">
        <v>286</v>
      </c>
      <c r="E26" s="220">
        <f t="shared" ref="E26:E42" si="4">G26-D26</f>
        <v>26</v>
      </c>
      <c r="F26" s="224">
        <f t="shared" si="2"/>
        <v>312</v>
      </c>
      <c r="G26" s="397">
        <v>312</v>
      </c>
      <c r="H26" s="221">
        <f t="shared" si="3"/>
        <v>1</v>
      </c>
      <c r="I26" s="223"/>
      <c r="J26" s="238"/>
      <c r="K26" s="238"/>
      <c r="L26" s="117"/>
      <c r="M26" s="117"/>
      <c r="N26" s="117"/>
      <c r="O26" s="117"/>
      <c r="P26" s="117"/>
      <c r="Q26" s="117"/>
      <c r="R26" s="117"/>
      <c r="S26" s="143"/>
      <c r="T26" s="143"/>
      <c r="U26" s="143"/>
      <c r="V26" s="143"/>
      <c r="W26" s="143"/>
      <c r="X26" s="143"/>
      <c r="Y26" s="143"/>
    </row>
    <row r="27" spans="1:25" s="236" customFormat="1" ht="33.75" customHeight="1" x14ac:dyDescent="0.35">
      <c r="A27" s="27"/>
      <c r="B27" s="27" t="s">
        <v>203</v>
      </c>
      <c r="C27" s="220">
        <v>0</v>
      </c>
      <c r="D27" s="220">
        <v>28</v>
      </c>
      <c r="E27" s="220">
        <f>G27-D27+267</f>
        <v>291</v>
      </c>
      <c r="F27" s="224">
        <f t="shared" si="2"/>
        <v>319</v>
      </c>
      <c r="G27" s="397">
        <v>52</v>
      </c>
      <c r="H27" s="221">
        <f t="shared" si="3"/>
        <v>0.16300940438871472</v>
      </c>
      <c r="I27" s="223"/>
      <c r="J27" s="238"/>
      <c r="K27" s="238"/>
      <c r="L27" s="117"/>
      <c r="M27" s="117"/>
      <c r="N27" s="117"/>
      <c r="O27" s="117"/>
      <c r="P27" s="117"/>
      <c r="Q27" s="117"/>
      <c r="R27" s="117"/>
      <c r="S27" s="143"/>
      <c r="T27" s="143"/>
      <c r="U27" s="143"/>
      <c r="V27" s="143"/>
      <c r="W27" s="143"/>
      <c r="X27" s="143"/>
      <c r="Y27" s="143"/>
    </row>
    <row r="28" spans="1:25" s="236" customFormat="1" ht="33.75" customHeight="1" x14ac:dyDescent="0.35">
      <c r="A28" s="27"/>
      <c r="B28" s="27" t="s">
        <v>18</v>
      </c>
      <c r="C28" s="220">
        <v>0</v>
      </c>
      <c r="D28" s="220">
        <v>595</v>
      </c>
      <c r="E28" s="220">
        <f t="shared" si="4"/>
        <v>182</v>
      </c>
      <c r="F28" s="224">
        <f t="shared" si="2"/>
        <v>777</v>
      </c>
      <c r="G28" s="397">
        <v>777</v>
      </c>
      <c r="H28" s="221">
        <f t="shared" si="3"/>
        <v>1</v>
      </c>
      <c r="I28" s="223"/>
      <c r="J28" s="238"/>
      <c r="K28" s="238"/>
      <c r="L28" s="117"/>
      <c r="M28" s="117"/>
      <c r="N28" s="117"/>
      <c r="O28" s="117"/>
      <c r="P28" s="117"/>
      <c r="Q28" s="117"/>
      <c r="R28" s="117"/>
      <c r="S28" s="143"/>
      <c r="T28" s="143"/>
      <c r="U28" s="143"/>
      <c r="V28" s="143"/>
      <c r="W28" s="143"/>
      <c r="X28" s="143"/>
      <c r="Y28" s="143"/>
    </row>
    <row r="29" spans="1:25" s="236" customFormat="1" ht="33.75" customHeight="1" x14ac:dyDescent="0.35">
      <c r="A29" s="27"/>
      <c r="B29" s="27" t="s">
        <v>19</v>
      </c>
      <c r="C29" s="220">
        <v>0</v>
      </c>
      <c r="D29" s="220">
        <v>2207</v>
      </c>
      <c r="E29" s="220">
        <f t="shared" si="4"/>
        <v>488</v>
      </c>
      <c r="F29" s="224">
        <f t="shared" si="2"/>
        <v>2695</v>
      </c>
      <c r="G29" s="397">
        <v>2695</v>
      </c>
      <c r="H29" s="221">
        <f t="shared" si="3"/>
        <v>1</v>
      </c>
      <c r="I29" s="223"/>
      <c r="J29" s="238"/>
      <c r="K29" s="238"/>
      <c r="L29" s="117"/>
      <c r="M29" s="117"/>
      <c r="N29" s="117"/>
      <c r="O29" s="117"/>
      <c r="P29" s="117"/>
      <c r="Q29" s="117"/>
      <c r="R29" s="117"/>
      <c r="S29" s="143"/>
      <c r="T29" s="143"/>
      <c r="U29" s="143"/>
      <c r="V29" s="143"/>
      <c r="W29" s="143"/>
      <c r="X29" s="143"/>
      <c r="Y29" s="143"/>
    </row>
    <row r="30" spans="1:25" s="406" customFormat="1" ht="33.75" customHeight="1" x14ac:dyDescent="0.35">
      <c r="A30" s="398"/>
      <c r="B30" s="398" t="s">
        <v>204</v>
      </c>
      <c r="C30" s="399">
        <v>0</v>
      </c>
      <c r="D30" s="399">
        <v>30</v>
      </c>
      <c r="E30" s="220">
        <f>G30-D30+42</f>
        <v>1545</v>
      </c>
      <c r="F30" s="397">
        <f t="shared" si="2"/>
        <v>1575</v>
      </c>
      <c r="G30" s="397">
        <f>1533</f>
        <v>1533</v>
      </c>
      <c r="H30" s="400">
        <f t="shared" si="3"/>
        <v>0.97333333333333338</v>
      </c>
      <c r="I30" s="402"/>
      <c r="J30" s="403"/>
      <c r="K30" s="403"/>
      <c r="L30" s="404"/>
      <c r="M30" s="404"/>
      <c r="N30" s="404"/>
      <c r="O30" s="404"/>
      <c r="P30" s="404"/>
      <c r="Q30" s="404"/>
      <c r="R30" s="404"/>
      <c r="S30" s="405"/>
      <c r="T30" s="405"/>
      <c r="U30" s="405"/>
      <c r="V30" s="405"/>
      <c r="W30" s="405"/>
      <c r="X30" s="405"/>
      <c r="Y30" s="405"/>
    </row>
    <row r="31" spans="1:25" s="236" customFormat="1" ht="33.75" customHeight="1" x14ac:dyDescent="0.35">
      <c r="A31" s="27"/>
      <c r="B31" s="27" t="s">
        <v>20</v>
      </c>
      <c r="C31" s="220">
        <v>0</v>
      </c>
      <c r="D31" s="220">
        <v>1414</v>
      </c>
      <c r="E31" s="220">
        <f t="shared" si="4"/>
        <v>1202</v>
      </c>
      <c r="F31" s="224">
        <f t="shared" si="2"/>
        <v>2616</v>
      </c>
      <c r="G31" s="397">
        <f>2556+41+19</f>
        <v>2616</v>
      </c>
      <c r="H31" s="221">
        <f t="shared" si="3"/>
        <v>1</v>
      </c>
      <c r="I31" s="223"/>
      <c r="J31" s="238"/>
      <c r="K31" s="238"/>
      <c r="L31" s="117"/>
      <c r="M31" s="117"/>
      <c r="N31" s="117"/>
      <c r="O31" s="117"/>
      <c r="P31" s="117"/>
      <c r="Q31" s="117"/>
      <c r="R31" s="117"/>
      <c r="S31" s="143"/>
      <c r="T31" s="143"/>
      <c r="U31" s="143"/>
      <c r="V31" s="143"/>
      <c r="W31" s="143"/>
      <c r="X31" s="143"/>
      <c r="Y31" s="143"/>
    </row>
    <row r="32" spans="1:25" s="406" customFormat="1" ht="33.75" customHeight="1" x14ac:dyDescent="0.35">
      <c r="A32" s="398"/>
      <c r="B32" s="398" t="s">
        <v>205</v>
      </c>
      <c r="C32" s="399">
        <v>0</v>
      </c>
      <c r="D32" s="399">
        <v>292</v>
      </c>
      <c r="E32" s="220">
        <f t="shared" si="4"/>
        <v>0</v>
      </c>
      <c r="F32" s="401">
        <f t="shared" si="2"/>
        <v>292</v>
      </c>
      <c r="G32" s="397">
        <v>292</v>
      </c>
      <c r="H32" s="400">
        <f t="shared" si="3"/>
        <v>1</v>
      </c>
      <c r="I32" s="402"/>
      <c r="J32" s="403"/>
      <c r="K32" s="403"/>
      <c r="L32" s="404"/>
      <c r="M32" s="404"/>
      <c r="N32" s="404"/>
      <c r="O32" s="404"/>
      <c r="P32" s="404"/>
      <c r="Q32" s="404"/>
      <c r="R32" s="404"/>
      <c r="S32" s="405"/>
      <c r="T32" s="405"/>
      <c r="U32" s="405"/>
      <c r="V32" s="405"/>
      <c r="W32" s="405"/>
      <c r="X32" s="405"/>
      <c r="Y32" s="405"/>
    </row>
    <row r="33" spans="1:25" s="236" customFormat="1" ht="33.75" customHeight="1" x14ac:dyDescent="0.35">
      <c r="A33" s="27"/>
      <c r="B33" s="27" t="s">
        <v>21</v>
      </c>
      <c r="C33" s="220">
        <v>0</v>
      </c>
      <c r="D33" s="220">
        <v>1267</v>
      </c>
      <c r="E33" s="220">
        <f t="shared" si="4"/>
        <v>0</v>
      </c>
      <c r="F33" s="224">
        <f t="shared" si="2"/>
        <v>1267</v>
      </c>
      <c r="G33" s="397">
        <v>1267</v>
      </c>
      <c r="H33" s="221">
        <f t="shared" si="3"/>
        <v>1</v>
      </c>
      <c r="I33" s="223"/>
      <c r="J33" s="238"/>
      <c r="K33" s="238"/>
      <c r="L33" s="117"/>
      <c r="M33" s="117"/>
      <c r="N33" s="117"/>
      <c r="O33" s="117"/>
      <c r="P33" s="117"/>
      <c r="Q33" s="117"/>
      <c r="R33" s="117"/>
      <c r="S33" s="143"/>
      <c r="T33" s="143"/>
      <c r="U33" s="143"/>
      <c r="V33" s="143"/>
      <c r="W33" s="143"/>
      <c r="X33" s="143"/>
      <c r="Y33" s="143"/>
    </row>
    <row r="34" spans="1:25" s="236" customFormat="1" ht="33.75" customHeight="1" x14ac:dyDescent="0.35">
      <c r="A34" s="27"/>
      <c r="B34" s="27" t="s">
        <v>22</v>
      </c>
      <c r="C34" s="220">
        <v>0</v>
      </c>
      <c r="D34" s="220">
        <v>254</v>
      </c>
      <c r="E34" s="220">
        <f t="shared" si="4"/>
        <v>0</v>
      </c>
      <c r="F34" s="224">
        <f t="shared" si="2"/>
        <v>254</v>
      </c>
      <c r="G34" s="397">
        <v>254</v>
      </c>
      <c r="H34" s="221">
        <f t="shared" si="3"/>
        <v>1</v>
      </c>
      <c r="I34" s="223"/>
      <c r="J34" s="238"/>
      <c r="K34" s="238"/>
      <c r="L34" s="117"/>
      <c r="M34" s="117"/>
      <c r="N34" s="117"/>
      <c r="O34" s="117"/>
      <c r="P34" s="117"/>
      <c r="Q34" s="117"/>
      <c r="R34" s="117"/>
      <c r="S34" s="143"/>
      <c r="T34" s="143"/>
      <c r="U34" s="143"/>
      <c r="V34" s="143"/>
      <c r="W34" s="143"/>
      <c r="X34" s="143"/>
      <c r="Y34" s="143"/>
    </row>
    <row r="35" spans="1:25" s="236" customFormat="1" ht="33.75" customHeight="1" x14ac:dyDescent="0.35">
      <c r="A35" s="27"/>
      <c r="B35" s="27" t="s">
        <v>206</v>
      </c>
      <c r="C35" s="220">
        <v>0</v>
      </c>
      <c r="D35" s="220">
        <v>69</v>
      </c>
      <c r="E35" s="220">
        <f t="shared" si="4"/>
        <v>0</v>
      </c>
      <c r="F35" s="224">
        <f t="shared" si="2"/>
        <v>69</v>
      </c>
      <c r="G35" s="397">
        <v>69</v>
      </c>
      <c r="H35" s="221">
        <f t="shared" si="3"/>
        <v>1</v>
      </c>
      <c r="I35" s="223"/>
      <c r="J35" s="238"/>
      <c r="K35" s="238"/>
      <c r="L35" s="117"/>
      <c r="M35" s="117"/>
      <c r="N35" s="117"/>
      <c r="O35" s="117"/>
      <c r="P35" s="117"/>
      <c r="Q35" s="117"/>
      <c r="R35" s="117"/>
      <c r="S35" s="143"/>
      <c r="T35" s="143"/>
      <c r="U35" s="143"/>
      <c r="V35" s="143"/>
      <c r="W35" s="143"/>
      <c r="X35" s="143"/>
      <c r="Y35" s="143"/>
    </row>
    <row r="36" spans="1:25" s="236" customFormat="1" ht="33.75" customHeight="1" x14ac:dyDescent="0.35">
      <c r="A36" s="27"/>
      <c r="B36" s="27" t="s">
        <v>23</v>
      </c>
      <c r="C36" s="220">
        <v>0</v>
      </c>
      <c r="D36" s="220">
        <v>0</v>
      </c>
      <c r="E36" s="220">
        <f t="shared" si="4"/>
        <v>0</v>
      </c>
      <c r="F36" s="224">
        <f t="shared" si="2"/>
        <v>0</v>
      </c>
      <c r="G36" s="397">
        <v>0</v>
      </c>
      <c r="H36" s="221"/>
      <c r="I36" s="223"/>
      <c r="J36" s="238"/>
      <c r="K36" s="238"/>
      <c r="L36" s="117"/>
      <c r="M36" s="117"/>
      <c r="N36" s="117"/>
      <c r="O36" s="117"/>
      <c r="P36" s="117"/>
      <c r="Q36" s="117"/>
      <c r="R36" s="117"/>
      <c r="S36" s="143"/>
      <c r="T36" s="143"/>
      <c r="U36" s="143"/>
      <c r="V36" s="143"/>
      <c r="W36" s="143"/>
      <c r="X36" s="143"/>
      <c r="Y36" s="143"/>
    </row>
    <row r="37" spans="1:25" s="236" customFormat="1" ht="33.75" customHeight="1" x14ac:dyDescent="0.35">
      <c r="A37" s="27"/>
      <c r="B37" s="27" t="s">
        <v>24</v>
      </c>
      <c r="C37" s="220">
        <v>0</v>
      </c>
      <c r="D37" s="220">
        <v>908</v>
      </c>
      <c r="E37" s="220">
        <f t="shared" si="4"/>
        <v>230</v>
      </c>
      <c r="F37" s="225">
        <f t="shared" si="2"/>
        <v>1138</v>
      </c>
      <c r="G37" s="411">
        <v>1138</v>
      </c>
      <c r="H37" s="221">
        <f>G37/F37</f>
        <v>1</v>
      </c>
      <c r="I37" s="223"/>
      <c r="J37" s="238"/>
      <c r="K37" s="238"/>
      <c r="L37" s="117"/>
      <c r="M37" s="117"/>
      <c r="N37" s="117"/>
      <c r="O37" s="117"/>
      <c r="P37" s="117"/>
      <c r="Q37" s="117"/>
      <c r="R37" s="117"/>
      <c r="S37" s="143"/>
      <c r="T37" s="143"/>
      <c r="U37" s="143"/>
      <c r="V37" s="143"/>
      <c r="W37" s="143"/>
      <c r="X37" s="143"/>
      <c r="Y37" s="143"/>
    </row>
    <row r="38" spans="1:25" s="236" customFormat="1" ht="33.75" customHeight="1" x14ac:dyDescent="0.35">
      <c r="A38" s="27"/>
      <c r="B38" s="27" t="s">
        <v>14</v>
      </c>
      <c r="C38" s="220">
        <v>0</v>
      </c>
      <c r="D38" s="220">
        <v>0</v>
      </c>
      <c r="E38" s="220">
        <f t="shared" si="4"/>
        <v>0</v>
      </c>
      <c r="F38" s="220">
        <f t="shared" si="2"/>
        <v>0</v>
      </c>
      <c r="G38" s="399">
        <v>0</v>
      </c>
      <c r="H38" s="27"/>
      <c r="I38" s="223"/>
      <c r="J38" s="238"/>
      <c r="K38" s="238"/>
      <c r="L38" s="117"/>
      <c r="M38" s="117"/>
      <c r="N38" s="117"/>
      <c r="O38" s="117"/>
      <c r="P38" s="117"/>
      <c r="Q38" s="117"/>
      <c r="R38" s="117"/>
      <c r="S38" s="143"/>
      <c r="T38" s="143"/>
      <c r="U38" s="143"/>
      <c r="V38" s="143"/>
      <c r="W38" s="143"/>
      <c r="X38" s="143"/>
      <c r="Y38" s="143"/>
    </row>
    <row r="39" spans="1:25" s="236" customFormat="1" ht="33.75" customHeight="1" x14ac:dyDescent="0.35">
      <c r="A39" s="27"/>
      <c r="B39" s="27" t="s">
        <v>25</v>
      </c>
      <c r="C39" s="220">
        <v>0</v>
      </c>
      <c r="D39" s="27">
        <v>76</v>
      </c>
      <c r="E39" s="220">
        <f t="shared" si="4"/>
        <v>74</v>
      </c>
      <c r="F39" s="225">
        <f t="shared" si="2"/>
        <v>150</v>
      </c>
      <c r="G39" s="396">
        <v>150</v>
      </c>
      <c r="H39" s="221">
        <f>G39/F39</f>
        <v>1</v>
      </c>
      <c r="I39" s="223"/>
      <c r="J39" s="238"/>
      <c r="K39" s="238"/>
      <c r="L39" s="117"/>
      <c r="M39" s="117"/>
      <c r="N39" s="117"/>
      <c r="O39" s="117"/>
      <c r="P39" s="117"/>
      <c r="Q39" s="117"/>
      <c r="R39" s="117"/>
      <c r="S39" s="143"/>
      <c r="T39" s="143"/>
      <c r="U39" s="143"/>
      <c r="V39" s="143"/>
      <c r="W39" s="143"/>
      <c r="X39" s="143"/>
      <c r="Y39" s="143"/>
    </row>
    <row r="40" spans="1:25" s="236" customFormat="1" ht="33.75" customHeight="1" x14ac:dyDescent="0.35">
      <c r="A40" s="27"/>
      <c r="B40" s="27" t="s">
        <v>328</v>
      </c>
      <c r="C40" s="220">
        <v>0</v>
      </c>
      <c r="D40" s="27">
        <v>0</v>
      </c>
      <c r="E40" s="220">
        <f t="shared" si="4"/>
        <v>386</v>
      </c>
      <c r="F40" s="225">
        <f t="shared" ref="F40" si="5">SUM(D40:E40)</f>
        <v>386</v>
      </c>
      <c r="G40" s="396">
        <v>386</v>
      </c>
      <c r="H40" s="221">
        <f>G40/F40</f>
        <v>1</v>
      </c>
      <c r="I40" s="223"/>
      <c r="J40" s="238"/>
      <c r="K40" s="238"/>
      <c r="L40" s="117"/>
      <c r="M40" s="117"/>
      <c r="N40" s="117"/>
      <c r="O40" s="117"/>
      <c r="P40" s="117"/>
      <c r="Q40" s="117"/>
      <c r="R40" s="117"/>
      <c r="S40" s="143"/>
      <c r="T40" s="143"/>
      <c r="U40" s="143"/>
      <c r="V40" s="143"/>
      <c r="W40" s="143"/>
      <c r="X40" s="143"/>
      <c r="Y40" s="143"/>
    </row>
    <row r="41" spans="1:25" s="236" customFormat="1" ht="33.75" customHeight="1" x14ac:dyDescent="0.35">
      <c r="A41" s="27"/>
      <c r="B41" s="27" t="s">
        <v>327</v>
      </c>
      <c r="C41" s="220">
        <v>0</v>
      </c>
      <c r="D41" s="27">
        <v>0</v>
      </c>
      <c r="E41" s="220">
        <f t="shared" si="4"/>
        <v>28</v>
      </c>
      <c r="F41" s="225">
        <f t="shared" ref="F41" si="6">SUM(D41:E41)</f>
        <v>28</v>
      </c>
      <c r="G41" s="396">
        <v>28</v>
      </c>
      <c r="H41" s="221">
        <f>G41/F41</f>
        <v>1</v>
      </c>
      <c r="I41" s="223"/>
      <c r="J41" s="238"/>
      <c r="K41" s="238"/>
      <c r="L41" s="117"/>
      <c r="M41" s="117"/>
      <c r="N41" s="117"/>
      <c r="O41" s="117"/>
      <c r="P41" s="117"/>
      <c r="Q41" s="117"/>
      <c r="R41" s="117"/>
      <c r="S41" s="143"/>
      <c r="T41" s="143"/>
      <c r="U41" s="143"/>
      <c r="V41" s="143"/>
      <c r="W41" s="143"/>
      <c r="X41" s="143"/>
      <c r="Y41" s="143"/>
    </row>
    <row r="42" spans="1:25" s="236" customFormat="1" ht="33.75" customHeight="1" x14ac:dyDescent="0.35">
      <c r="A42" s="27"/>
      <c r="B42" s="390" t="s">
        <v>464</v>
      </c>
      <c r="C42" s="220">
        <v>0</v>
      </c>
      <c r="D42" s="27">
        <v>0</v>
      </c>
      <c r="E42" s="220">
        <f t="shared" si="4"/>
        <v>633</v>
      </c>
      <c r="F42" s="225">
        <f t="shared" ref="F42" si="7">SUM(D42:E42)</f>
        <v>633</v>
      </c>
      <c r="G42" s="396">
        <v>633</v>
      </c>
      <c r="H42" s="221">
        <f>G42/F42</f>
        <v>1</v>
      </c>
      <c r="I42" s="223"/>
      <c r="J42" s="238"/>
      <c r="K42" s="238"/>
      <c r="L42" s="117"/>
      <c r="M42" s="117"/>
      <c r="N42" s="117"/>
      <c r="O42" s="117"/>
      <c r="P42" s="117"/>
      <c r="Q42" s="117"/>
      <c r="R42" s="117"/>
      <c r="S42" s="143"/>
      <c r="T42" s="143"/>
      <c r="U42" s="143"/>
      <c r="V42" s="143"/>
      <c r="W42" s="143"/>
      <c r="X42" s="143"/>
      <c r="Y42" s="143"/>
    </row>
    <row r="43" spans="1:25" s="236" customFormat="1" ht="33.75" customHeight="1" x14ac:dyDescent="0.35">
      <c r="A43" s="27"/>
      <c r="B43" s="14" t="s">
        <v>26</v>
      </c>
      <c r="C43" s="220">
        <v>0</v>
      </c>
      <c r="D43" s="27">
        <v>8000</v>
      </c>
      <c r="E43" s="220">
        <v>0</v>
      </c>
      <c r="F43" s="225">
        <f t="shared" si="2"/>
        <v>8000</v>
      </c>
      <c r="G43" s="398"/>
      <c r="H43" s="221"/>
      <c r="I43" s="223"/>
      <c r="J43" s="238"/>
      <c r="K43" s="238"/>
      <c r="L43" s="117"/>
      <c r="M43" s="117"/>
      <c r="N43" s="117"/>
      <c r="O43" s="117"/>
      <c r="P43" s="117"/>
      <c r="Q43" s="117"/>
      <c r="R43" s="117"/>
      <c r="S43" s="143"/>
      <c r="T43" s="143"/>
      <c r="U43" s="143"/>
      <c r="V43" s="143"/>
      <c r="W43" s="143"/>
      <c r="X43" s="143"/>
      <c r="Y43" s="143"/>
    </row>
    <row r="44" spans="1:25" s="236" customFormat="1" ht="33.75" customHeight="1" x14ac:dyDescent="0.35">
      <c r="A44" s="27"/>
      <c r="B44" s="14" t="s">
        <v>27</v>
      </c>
      <c r="C44" s="220">
        <v>0</v>
      </c>
      <c r="D44" s="27">
        <v>1000</v>
      </c>
      <c r="E44" s="220">
        <v>0</v>
      </c>
      <c r="F44" s="225">
        <f t="shared" si="2"/>
        <v>1000</v>
      </c>
      <c r="G44" s="398"/>
      <c r="H44" s="221"/>
      <c r="I44" s="223"/>
      <c r="J44" s="238"/>
      <c r="K44" s="238"/>
      <c r="L44" s="117"/>
      <c r="M44" s="117"/>
      <c r="N44" s="117"/>
      <c r="O44" s="117"/>
      <c r="P44" s="117"/>
      <c r="Q44" s="117"/>
      <c r="R44" s="117"/>
      <c r="S44" s="143"/>
      <c r="T44" s="143"/>
      <c r="U44" s="143"/>
      <c r="V44" s="143"/>
      <c r="W44" s="143"/>
      <c r="X44" s="143"/>
      <c r="Y44" s="143"/>
    </row>
    <row r="45" spans="1:25" s="236" customFormat="1" ht="33.75" customHeight="1" x14ac:dyDescent="0.35">
      <c r="A45" s="27"/>
      <c r="B45" s="27"/>
      <c r="C45" s="27"/>
      <c r="D45" s="27"/>
      <c r="E45" s="27"/>
      <c r="F45" s="220"/>
      <c r="G45" s="398"/>
      <c r="H45" s="221"/>
      <c r="I45" s="223"/>
      <c r="J45" s="238"/>
      <c r="K45" s="238"/>
      <c r="L45" s="117"/>
      <c r="M45" s="117"/>
      <c r="N45" s="117"/>
      <c r="O45" s="117"/>
      <c r="P45" s="117"/>
      <c r="Q45" s="117"/>
      <c r="R45" s="117"/>
      <c r="S45" s="143"/>
      <c r="T45" s="143"/>
      <c r="U45" s="143"/>
      <c r="V45" s="143"/>
      <c r="W45" s="143"/>
      <c r="X45" s="143"/>
      <c r="Y45" s="143"/>
    </row>
    <row r="46" spans="1:25" s="236" customFormat="1" ht="33.75" customHeight="1" x14ac:dyDescent="0.35">
      <c r="A46" s="226"/>
      <c r="B46" s="226" t="s">
        <v>207</v>
      </c>
      <c r="C46" s="227">
        <f>SUM(C18:C39)</f>
        <v>318694</v>
      </c>
      <c r="D46" s="227">
        <f>SUM(D18:D44)</f>
        <v>290579</v>
      </c>
      <c r="E46" s="227">
        <f>SUM(E18:E44)</f>
        <v>2465</v>
      </c>
      <c r="F46" s="227">
        <f>SUM(F18:F44)</f>
        <v>293044</v>
      </c>
      <c r="G46" s="409">
        <f>SUM(G18:G45)</f>
        <v>43754</v>
      </c>
      <c r="H46" s="221">
        <f>G46/F46</f>
        <v>0.1493086362457515</v>
      </c>
      <c r="I46" s="223"/>
      <c r="J46" s="238"/>
      <c r="K46" s="238"/>
      <c r="L46" s="117"/>
      <c r="M46" s="117"/>
      <c r="N46" s="117"/>
      <c r="O46" s="117"/>
      <c r="P46" s="117"/>
      <c r="Q46" s="117"/>
      <c r="R46" s="117"/>
      <c r="S46" s="143"/>
      <c r="T46" s="143"/>
      <c r="U46" s="143"/>
      <c r="V46" s="143"/>
      <c r="W46" s="143"/>
      <c r="X46" s="143"/>
      <c r="Y46" s="143"/>
    </row>
    <row r="47" spans="1:25" s="236" customFormat="1" ht="33.75" customHeight="1" x14ac:dyDescent="0.35">
      <c r="A47" s="27"/>
      <c r="B47" s="27"/>
      <c r="C47" s="27"/>
      <c r="D47" s="27"/>
      <c r="E47" s="27"/>
      <c r="F47" s="222">
        <f>SUM(D47:E47)</f>
        <v>0</v>
      </c>
      <c r="G47" s="412"/>
      <c r="H47" s="221"/>
      <c r="I47" s="223"/>
      <c r="J47" s="238"/>
      <c r="K47" s="238"/>
      <c r="L47" s="117"/>
      <c r="M47" s="117"/>
      <c r="N47" s="117"/>
      <c r="O47" s="117"/>
      <c r="P47" s="117"/>
      <c r="Q47" s="117"/>
      <c r="R47" s="117"/>
      <c r="S47" s="143"/>
      <c r="T47" s="143"/>
      <c r="U47" s="143"/>
      <c r="V47" s="143"/>
      <c r="W47" s="143"/>
      <c r="X47" s="143"/>
      <c r="Y47" s="143"/>
    </row>
    <row r="48" spans="1:25" s="236" customFormat="1" ht="33.75" customHeight="1" x14ac:dyDescent="0.35">
      <c r="A48" s="27"/>
      <c r="B48" s="27"/>
      <c r="C48" s="27"/>
      <c r="D48" s="27"/>
      <c r="E48" s="27"/>
      <c r="F48" s="222"/>
      <c r="G48" s="401"/>
      <c r="H48" s="221"/>
      <c r="I48" s="223"/>
      <c r="J48" s="238"/>
      <c r="K48" s="238"/>
      <c r="L48" s="117"/>
      <c r="M48" s="117"/>
      <c r="N48" s="117"/>
      <c r="O48" s="117"/>
      <c r="P48" s="117"/>
      <c r="Q48" s="117"/>
      <c r="R48" s="117"/>
      <c r="S48" s="143"/>
      <c r="T48" s="143"/>
      <c r="U48" s="143"/>
      <c r="V48" s="143"/>
      <c r="W48" s="143"/>
      <c r="X48" s="143"/>
      <c r="Y48" s="143"/>
    </row>
    <row r="49" spans="1:29" s="231" customFormat="1" x14ac:dyDescent="0.35">
      <c r="A49" s="27"/>
      <c r="B49" s="239" t="s">
        <v>208</v>
      </c>
      <c r="C49" s="227"/>
      <c r="D49" s="227"/>
      <c r="E49" s="227"/>
      <c r="F49" s="222">
        <f>SUM(D49:E49)</f>
        <v>0</v>
      </c>
      <c r="G49" s="413"/>
      <c r="H49" s="221"/>
      <c r="I49" s="223"/>
      <c r="J49" s="240"/>
      <c r="K49" s="209"/>
      <c r="L49" s="117"/>
      <c r="M49" s="117"/>
      <c r="N49" s="117"/>
      <c r="O49" s="117"/>
      <c r="P49" s="117"/>
      <c r="Q49" s="117"/>
      <c r="R49" s="117"/>
      <c r="S49" s="241"/>
      <c r="T49" s="241"/>
      <c r="U49" s="241"/>
      <c r="V49" s="241"/>
      <c r="W49" s="241"/>
      <c r="X49" s="241"/>
      <c r="Y49" s="241"/>
      <c r="Z49" s="242"/>
      <c r="AA49" s="242"/>
      <c r="AB49" s="242"/>
      <c r="AC49" s="242"/>
    </row>
    <row r="50" spans="1:29" s="236" customFormat="1" ht="33.75" customHeight="1" x14ac:dyDescent="0.35">
      <c r="A50" s="27"/>
      <c r="B50" s="243" t="s">
        <v>209</v>
      </c>
      <c r="C50" s="244">
        <f>C15+C46+C49</f>
        <v>319540</v>
      </c>
      <c r="D50" s="244">
        <f>D15+D46+D49</f>
        <v>299598</v>
      </c>
      <c r="E50" s="227">
        <f>E15+E46+E49</f>
        <v>16463</v>
      </c>
      <c r="F50" s="227">
        <f>F15+F46+F49</f>
        <v>316060</v>
      </c>
      <c r="G50" s="409">
        <f>G15+G46+G48</f>
        <v>63707</v>
      </c>
      <c r="H50" s="245">
        <f>G50/F50</f>
        <v>0.20156615832436878</v>
      </c>
      <c r="I50" s="223"/>
      <c r="J50" s="238"/>
      <c r="K50" s="238"/>
      <c r="L50" s="117"/>
      <c r="M50" s="117"/>
      <c r="N50" s="117"/>
      <c r="O50" s="117"/>
      <c r="P50" s="117"/>
      <c r="Q50" s="117"/>
      <c r="R50" s="117"/>
      <c r="S50" s="143"/>
      <c r="T50" s="143"/>
      <c r="U50" s="143"/>
      <c r="V50" s="143"/>
      <c r="W50" s="143"/>
      <c r="X50" s="143"/>
      <c r="Y50" s="143"/>
    </row>
    <row r="51" spans="1:29" x14ac:dyDescent="0.35">
      <c r="A51" s="27"/>
      <c r="B51" s="27"/>
      <c r="C51" s="27"/>
      <c r="D51" s="27"/>
      <c r="E51" s="27"/>
      <c r="F51" s="222">
        <f>SUM(D51:E51)</f>
        <v>0</v>
      </c>
      <c r="G51" s="410"/>
      <c r="H51" s="221"/>
      <c r="I51" s="223"/>
      <c r="K51" s="246"/>
      <c r="L51" s="117"/>
      <c r="M51" s="117"/>
      <c r="N51" s="117"/>
      <c r="O51" s="117"/>
      <c r="P51" s="117"/>
      <c r="Q51" s="117"/>
      <c r="R51" s="117"/>
    </row>
    <row r="52" spans="1:29" x14ac:dyDescent="0.35">
      <c r="A52" s="27"/>
      <c r="B52" s="27"/>
      <c r="C52" s="27"/>
      <c r="D52" s="27"/>
      <c r="E52" s="27"/>
      <c r="F52" s="222"/>
      <c r="G52" s="410"/>
      <c r="H52" s="221"/>
      <c r="I52" s="223"/>
      <c r="K52" s="246"/>
      <c r="L52" s="117"/>
      <c r="M52" s="117"/>
      <c r="N52" s="117"/>
      <c r="O52" s="117"/>
      <c r="P52" s="117"/>
      <c r="Q52" s="117"/>
      <c r="R52" s="117"/>
    </row>
    <row r="53" spans="1:29" x14ac:dyDescent="0.35">
      <c r="A53" s="226" t="s">
        <v>70</v>
      </c>
      <c r="B53" s="226" t="s">
        <v>10</v>
      </c>
      <c r="C53" s="227">
        <v>30000</v>
      </c>
      <c r="D53" s="227">
        <v>39671</v>
      </c>
      <c r="E53" s="227">
        <f>'8. melléklet Önkormányzat'!E71</f>
        <v>-39373</v>
      </c>
      <c r="F53" s="224">
        <f>SUM(D53:E53)</f>
        <v>298</v>
      </c>
      <c r="G53" s="397"/>
      <c r="H53" s="221">
        <f>G53/F53</f>
        <v>0</v>
      </c>
      <c r="I53" s="223"/>
      <c r="L53" s="117"/>
      <c r="M53" s="117"/>
      <c r="N53" s="117"/>
      <c r="O53" s="117"/>
      <c r="P53" s="117"/>
      <c r="Q53" s="117"/>
      <c r="R53" s="117"/>
    </row>
    <row r="54" spans="1:29" ht="26.25" customHeight="1" x14ac:dyDescent="0.35">
      <c r="A54" s="27"/>
      <c r="B54" s="27"/>
      <c r="C54" s="247"/>
      <c r="D54" s="247"/>
      <c r="E54" s="247"/>
      <c r="F54" s="222">
        <f>SUM(D54:E54)</f>
        <v>0</v>
      </c>
      <c r="G54" s="401"/>
      <c r="H54" s="221"/>
      <c r="I54" s="223"/>
      <c r="L54" s="117"/>
      <c r="M54" s="117"/>
      <c r="N54" s="117"/>
      <c r="O54" s="117"/>
      <c r="P54" s="117"/>
      <c r="Q54" s="117"/>
      <c r="R54" s="117"/>
    </row>
    <row r="55" spans="1:29" ht="26.85" customHeight="1" x14ac:dyDescent="0.35">
      <c r="A55" s="27"/>
      <c r="B55" s="27"/>
      <c r="C55" s="247"/>
      <c r="D55" s="247"/>
      <c r="E55" s="247"/>
      <c r="F55" s="222">
        <f>SUM(D55:E55)</f>
        <v>0</v>
      </c>
      <c r="G55" s="401"/>
      <c r="H55" s="221"/>
      <c r="I55" s="223"/>
      <c r="L55" s="117"/>
      <c r="M55" s="117"/>
      <c r="N55" s="117"/>
      <c r="O55" s="117"/>
      <c r="P55" s="117"/>
      <c r="Q55" s="117"/>
      <c r="R55" s="117"/>
    </row>
    <row r="56" spans="1:29" ht="43.5" customHeight="1" x14ac:dyDescent="0.35">
      <c r="A56" s="27"/>
      <c r="B56" s="239" t="s">
        <v>210</v>
      </c>
      <c r="C56" s="248">
        <f>SUM(C50:C55)</f>
        <v>349540</v>
      </c>
      <c r="D56" s="248">
        <f>SUM(D50:D55)</f>
        <v>339269</v>
      </c>
      <c r="E56" s="248">
        <f>SUM(E50:E55)</f>
        <v>-22910</v>
      </c>
      <c r="F56" s="248">
        <f>SUM(F50:F55)</f>
        <v>316358</v>
      </c>
      <c r="G56" s="414">
        <f>SUM(G50:G55)</f>
        <v>63707</v>
      </c>
      <c r="H56" s="245">
        <f>G56/F56</f>
        <v>0.20137628888790549</v>
      </c>
      <c r="I56" s="223"/>
      <c r="L56" s="117"/>
      <c r="M56" s="117"/>
      <c r="N56" s="117"/>
      <c r="O56" s="117"/>
      <c r="P56" s="117"/>
      <c r="Q56" s="117"/>
      <c r="R56" s="117"/>
    </row>
    <row r="57" spans="1:29" s="242" customFormat="1" ht="58.2" customHeight="1" x14ac:dyDescent="0.35">
      <c r="A57" s="116"/>
      <c r="B57" s="116"/>
      <c r="C57" s="116"/>
      <c r="D57" s="116"/>
      <c r="E57" s="116"/>
      <c r="F57" s="116"/>
      <c r="G57" s="415"/>
      <c r="H57" s="116"/>
      <c r="I57" s="249"/>
      <c r="J57" s="250"/>
      <c r="K57" s="250"/>
      <c r="L57" s="117"/>
      <c r="M57" s="117"/>
      <c r="N57" s="117"/>
      <c r="O57" s="117"/>
      <c r="P57" s="117"/>
      <c r="Q57" s="117"/>
      <c r="R57" s="117"/>
      <c r="S57" s="241"/>
      <c r="T57" s="241"/>
      <c r="U57" s="241"/>
      <c r="V57" s="241"/>
      <c r="W57" s="241"/>
      <c r="X57" s="241"/>
      <c r="Y57" s="241"/>
    </row>
    <row r="58" spans="1:29" s="242" customFormat="1" ht="37.35" customHeight="1" x14ac:dyDescent="0.35">
      <c r="A58" s="116"/>
      <c r="B58" s="116"/>
      <c r="C58" s="116"/>
      <c r="D58" s="116"/>
      <c r="E58" s="116"/>
      <c r="F58" s="116"/>
      <c r="G58" s="415"/>
      <c r="H58" s="116"/>
      <c r="I58" s="249"/>
      <c r="J58" s="250"/>
      <c r="K58" s="223"/>
      <c r="L58" s="117"/>
      <c r="M58" s="117"/>
      <c r="N58" s="117"/>
      <c r="O58" s="117"/>
      <c r="P58" s="117"/>
      <c r="Q58" s="117"/>
      <c r="R58" s="117"/>
      <c r="S58" s="241"/>
      <c r="T58" s="241"/>
      <c r="U58" s="241"/>
      <c r="V58" s="241"/>
      <c r="W58" s="241"/>
      <c r="X58" s="241"/>
      <c r="Y58" s="241"/>
    </row>
    <row r="59" spans="1:29" ht="43.35" customHeight="1" x14ac:dyDescent="0.35">
      <c r="I59" s="249"/>
      <c r="L59" s="117"/>
      <c r="M59" s="117"/>
      <c r="N59" s="117"/>
      <c r="O59" s="117"/>
      <c r="P59" s="117"/>
      <c r="Q59" s="117"/>
      <c r="R59" s="117"/>
    </row>
    <row r="60" spans="1:29" s="242" customFormat="1" ht="25.35" customHeight="1" x14ac:dyDescent="0.35">
      <c r="A60" s="116"/>
      <c r="B60" s="116"/>
      <c r="C60" s="116"/>
      <c r="D60" s="116"/>
      <c r="E60" s="116"/>
      <c r="F60" s="116"/>
      <c r="G60" s="415"/>
      <c r="H60" s="116"/>
      <c r="I60" s="249"/>
      <c r="J60" s="250"/>
      <c r="K60" s="250"/>
      <c r="L60" s="117"/>
      <c r="M60" s="117"/>
      <c r="N60" s="117"/>
      <c r="O60" s="117"/>
      <c r="P60" s="117"/>
      <c r="Q60" s="117"/>
      <c r="R60" s="117"/>
      <c r="S60" s="241"/>
      <c r="T60" s="241"/>
      <c r="U60" s="241"/>
      <c r="V60" s="241"/>
      <c r="W60" s="241"/>
      <c r="X60" s="241"/>
      <c r="Y60" s="241"/>
    </row>
    <row r="61" spans="1:29" s="251" customFormat="1" ht="22.35" customHeight="1" x14ac:dyDescent="0.35">
      <c r="A61" s="116"/>
      <c r="B61" s="116"/>
      <c r="C61" s="116"/>
      <c r="D61" s="116"/>
      <c r="E61" s="116"/>
      <c r="F61" s="116"/>
      <c r="G61" s="415"/>
      <c r="H61" s="116"/>
      <c r="I61" s="249"/>
      <c r="J61" s="209"/>
      <c r="K61" s="209"/>
      <c r="L61" s="117"/>
      <c r="M61" s="117"/>
      <c r="N61" s="117"/>
      <c r="O61" s="117"/>
      <c r="P61" s="117"/>
      <c r="Q61" s="117"/>
      <c r="R61" s="117"/>
      <c r="S61" s="241"/>
      <c r="T61" s="241"/>
      <c r="U61" s="241"/>
      <c r="V61" s="241"/>
      <c r="W61" s="241"/>
      <c r="X61" s="241"/>
      <c r="Y61" s="241"/>
      <c r="Z61" s="242"/>
      <c r="AA61" s="242"/>
      <c r="AB61" s="242"/>
      <c r="AC61" s="242"/>
    </row>
    <row r="62" spans="1:29" s="254" customFormat="1" ht="42.75" customHeight="1" x14ac:dyDescent="0.35">
      <c r="A62" s="116"/>
      <c r="B62" s="116"/>
      <c r="C62" s="116"/>
      <c r="D62" s="116"/>
      <c r="E62" s="116"/>
      <c r="F62" s="116"/>
      <c r="G62" s="415"/>
      <c r="H62" s="116"/>
      <c r="I62" s="249"/>
      <c r="J62" s="252"/>
      <c r="K62" s="253"/>
      <c r="L62" s="117"/>
      <c r="M62" s="117"/>
      <c r="N62" s="117"/>
      <c r="O62" s="117"/>
      <c r="P62" s="117"/>
      <c r="Q62" s="117"/>
      <c r="R62" s="117"/>
      <c r="S62" s="241"/>
      <c r="T62" s="241"/>
      <c r="U62" s="241"/>
      <c r="V62" s="241"/>
      <c r="W62" s="241"/>
      <c r="X62" s="241"/>
      <c r="Y62" s="241"/>
      <c r="Z62" s="242"/>
      <c r="AA62" s="242"/>
      <c r="AB62" s="242"/>
      <c r="AC62" s="242"/>
    </row>
    <row r="63" spans="1:29" s="231" customFormat="1" ht="31.35" customHeight="1" x14ac:dyDescent="0.35">
      <c r="A63" s="116"/>
      <c r="B63" s="116"/>
      <c r="C63" s="116"/>
      <c r="D63" s="116"/>
      <c r="E63" s="116"/>
      <c r="F63" s="116"/>
      <c r="G63" s="415"/>
      <c r="H63" s="116"/>
      <c r="I63" s="249"/>
      <c r="J63" s="252"/>
      <c r="K63" s="209"/>
      <c r="L63" s="117"/>
      <c r="M63" s="117"/>
      <c r="N63" s="117"/>
      <c r="O63" s="117"/>
      <c r="P63" s="117"/>
      <c r="Q63" s="117"/>
      <c r="R63" s="117"/>
      <c r="S63" s="241"/>
      <c r="T63" s="241"/>
      <c r="U63" s="241"/>
      <c r="V63" s="241"/>
      <c r="W63" s="241"/>
      <c r="X63" s="241"/>
      <c r="Y63" s="241"/>
      <c r="Z63" s="242"/>
      <c r="AA63" s="242"/>
      <c r="AB63" s="242"/>
      <c r="AC63" s="242"/>
    </row>
    <row r="64" spans="1:29" ht="23.85" customHeight="1" x14ac:dyDescent="0.35">
      <c r="I64" s="249"/>
      <c r="L64" s="117"/>
      <c r="M64" s="117"/>
      <c r="N64" s="117"/>
      <c r="O64" s="117"/>
      <c r="P64" s="117"/>
      <c r="Q64" s="117"/>
      <c r="R64" s="117"/>
    </row>
    <row r="65" spans="9:18" ht="39" customHeight="1" x14ac:dyDescent="0.35">
      <c r="I65" s="249"/>
      <c r="J65" s="223"/>
      <c r="K65" s="255"/>
      <c r="L65" s="117"/>
      <c r="M65" s="117"/>
      <c r="N65" s="117"/>
      <c r="O65" s="117"/>
      <c r="P65" s="117"/>
      <c r="Q65" s="117"/>
      <c r="R65" s="117"/>
    </row>
    <row r="66" spans="9:18" ht="35.85" customHeight="1" x14ac:dyDescent="0.35">
      <c r="I66" s="249"/>
      <c r="J66" s="223"/>
      <c r="K66" s="255"/>
      <c r="L66" s="117"/>
      <c r="M66" s="117"/>
      <c r="N66" s="117"/>
      <c r="O66" s="117"/>
      <c r="P66" s="117"/>
      <c r="Q66" s="117"/>
      <c r="R66" s="117"/>
    </row>
    <row r="67" spans="9:18" ht="35.85" customHeight="1" x14ac:dyDescent="0.35">
      <c r="I67" s="249"/>
      <c r="J67" s="223"/>
      <c r="K67" s="255"/>
      <c r="L67" s="117"/>
      <c r="M67" s="117"/>
      <c r="N67" s="117"/>
      <c r="O67" s="117"/>
      <c r="P67" s="117"/>
      <c r="Q67" s="117"/>
      <c r="R67" s="117"/>
    </row>
    <row r="68" spans="9:18" ht="35.85" customHeight="1" x14ac:dyDescent="0.35">
      <c r="I68" s="249"/>
      <c r="J68" s="223"/>
      <c r="K68" s="255"/>
      <c r="L68" s="117"/>
      <c r="M68" s="117"/>
      <c r="N68" s="117"/>
      <c r="O68" s="117"/>
      <c r="P68" s="117"/>
      <c r="Q68" s="117"/>
      <c r="R68" s="117"/>
    </row>
    <row r="69" spans="9:18" ht="35.85" customHeight="1" x14ac:dyDescent="0.35">
      <c r="I69" s="249"/>
      <c r="J69" s="223"/>
      <c r="K69" s="255"/>
      <c r="L69" s="117"/>
      <c r="M69" s="117"/>
      <c r="N69" s="117"/>
      <c r="O69" s="117"/>
      <c r="P69" s="117"/>
      <c r="Q69" s="117"/>
      <c r="R69" s="117"/>
    </row>
    <row r="70" spans="9:18" ht="35.85" customHeight="1" x14ac:dyDescent="0.35">
      <c r="I70" s="223"/>
      <c r="J70" s="255"/>
      <c r="K70" s="223"/>
      <c r="L70" s="117"/>
      <c r="M70" s="117"/>
      <c r="N70" s="117"/>
      <c r="O70" s="117"/>
      <c r="P70" s="117"/>
      <c r="Q70" s="117"/>
      <c r="R70" s="117"/>
    </row>
    <row r="71" spans="9:18" ht="35.85" customHeight="1" x14ac:dyDescent="0.35">
      <c r="I71" s="223"/>
      <c r="J71" s="255"/>
      <c r="K71" s="223"/>
      <c r="L71" s="117"/>
      <c r="M71" s="117"/>
      <c r="N71" s="117"/>
      <c r="O71" s="117"/>
      <c r="P71" s="117"/>
      <c r="Q71" s="117"/>
      <c r="R71" s="117"/>
    </row>
    <row r="72" spans="9:18" x14ac:dyDescent="0.35">
      <c r="I72" s="249"/>
      <c r="J72" s="223"/>
      <c r="K72" s="255"/>
      <c r="L72" s="117"/>
      <c r="M72" s="117"/>
      <c r="N72" s="117"/>
      <c r="O72" s="117"/>
      <c r="P72" s="117"/>
      <c r="Q72" s="117"/>
      <c r="R72" s="117"/>
    </row>
    <row r="73" spans="9:18" x14ac:dyDescent="0.35">
      <c r="I73" s="256"/>
      <c r="J73" s="250"/>
      <c r="K73" s="250"/>
      <c r="L73" s="117"/>
      <c r="M73" s="117"/>
      <c r="N73" s="117"/>
      <c r="O73" s="117"/>
      <c r="P73" s="117"/>
      <c r="Q73" s="117"/>
      <c r="R73" s="117"/>
    </row>
    <row r="74" spans="9:18" ht="25.35" customHeight="1" x14ac:dyDescent="0.35">
      <c r="I74" s="249"/>
      <c r="J74" s="257"/>
      <c r="K74" s="257"/>
      <c r="L74" s="117"/>
      <c r="M74" s="117"/>
      <c r="N74" s="117"/>
      <c r="O74" s="117"/>
      <c r="P74" s="117"/>
      <c r="Q74" s="117"/>
      <c r="R74" s="117"/>
    </row>
    <row r="75" spans="9:18" ht="55.5" customHeight="1" x14ac:dyDescent="0.35">
      <c r="I75" s="249"/>
      <c r="J75" s="257"/>
      <c r="K75" s="257"/>
      <c r="L75" s="117"/>
      <c r="M75" s="117"/>
      <c r="N75" s="117"/>
      <c r="O75" s="117"/>
      <c r="P75" s="117"/>
      <c r="Q75" s="117"/>
      <c r="R75" s="117"/>
    </row>
    <row r="76" spans="9:18" ht="69.75" customHeight="1" x14ac:dyDescent="0.35">
      <c r="I76" s="249"/>
      <c r="J76" s="257"/>
      <c r="K76" s="257"/>
      <c r="L76" s="117"/>
      <c r="M76" s="117"/>
      <c r="N76" s="117"/>
      <c r="O76" s="117"/>
      <c r="P76" s="117"/>
      <c r="Q76" s="117"/>
      <c r="R76" s="117"/>
    </row>
    <row r="77" spans="9:18" ht="41.85" customHeight="1" x14ac:dyDescent="0.35">
      <c r="I77" s="249"/>
      <c r="J77" s="257"/>
      <c r="K77" s="257"/>
      <c r="L77" s="117"/>
      <c r="M77" s="117"/>
      <c r="N77" s="117"/>
      <c r="O77" s="117"/>
      <c r="P77" s="117"/>
      <c r="Q77" s="117"/>
      <c r="R77" s="117"/>
    </row>
    <row r="78" spans="9:18" ht="25.35" customHeight="1" x14ac:dyDescent="0.35">
      <c r="I78" s="249"/>
      <c r="J78" s="257"/>
      <c r="K78" s="257"/>
      <c r="L78" s="117"/>
      <c r="M78" s="117"/>
      <c r="N78" s="117"/>
      <c r="O78" s="117"/>
      <c r="P78" s="117"/>
      <c r="Q78" s="117"/>
      <c r="R78" s="117"/>
    </row>
    <row r="79" spans="9:18" ht="22.35" customHeight="1" x14ac:dyDescent="0.35">
      <c r="I79" s="249"/>
      <c r="J79" s="257"/>
      <c r="K79" s="257"/>
      <c r="L79" s="117"/>
      <c r="M79" s="117"/>
      <c r="N79" s="117"/>
      <c r="O79" s="117"/>
      <c r="P79" s="117"/>
      <c r="Q79" s="117"/>
      <c r="R79" s="117"/>
    </row>
    <row r="80" spans="9:18" ht="57" customHeight="1" x14ac:dyDescent="0.35">
      <c r="I80" s="257"/>
      <c r="J80" s="257"/>
      <c r="K80" s="257"/>
      <c r="L80" s="117"/>
      <c r="M80" s="117"/>
      <c r="N80" s="117"/>
      <c r="O80" s="117"/>
      <c r="P80" s="117"/>
      <c r="Q80" s="117"/>
      <c r="R80" s="117"/>
    </row>
    <row r="81" spans="9:18" x14ac:dyDescent="0.35">
      <c r="J81" s="252"/>
      <c r="L81" s="117"/>
      <c r="M81" s="117"/>
      <c r="N81" s="117"/>
      <c r="O81" s="117"/>
      <c r="P81" s="117"/>
      <c r="Q81" s="117"/>
      <c r="R81" s="117"/>
    </row>
    <row r="82" spans="9:18" x14ac:dyDescent="0.35">
      <c r="I82" s="250"/>
      <c r="J82" s="250"/>
      <c r="K82" s="250"/>
      <c r="L82" s="117"/>
      <c r="M82" s="117"/>
      <c r="N82" s="117"/>
      <c r="O82" s="117"/>
      <c r="P82" s="117"/>
      <c r="Q82" s="117"/>
      <c r="R82" s="117"/>
    </row>
    <row r="83" spans="9:18" x14ac:dyDescent="0.35">
      <c r="I83" s="223"/>
      <c r="J83" s="223"/>
      <c r="K83" s="255"/>
      <c r="L83" s="117"/>
      <c r="M83" s="117"/>
      <c r="N83" s="117"/>
      <c r="O83" s="117"/>
      <c r="P83" s="117"/>
      <c r="Q83" s="117"/>
      <c r="R83" s="117"/>
    </row>
    <row r="84" spans="9:18" x14ac:dyDescent="0.35">
      <c r="I84" s="238"/>
      <c r="J84" s="238"/>
      <c r="K84" s="238"/>
      <c r="L84" s="117"/>
      <c r="M84" s="117"/>
      <c r="N84" s="117"/>
      <c r="O84" s="117"/>
      <c r="P84" s="117"/>
      <c r="Q84" s="117"/>
      <c r="R84" s="117"/>
    </row>
    <row r="85" spans="9:18" x14ac:dyDescent="0.35">
      <c r="I85" s="240"/>
      <c r="L85" s="117"/>
      <c r="M85" s="117"/>
      <c r="N85" s="117"/>
      <c r="O85" s="117"/>
      <c r="P85" s="117"/>
      <c r="Q85" s="117"/>
      <c r="R85" s="117"/>
    </row>
    <row r="86" spans="9:18" x14ac:dyDescent="0.35">
      <c r="I86" s="237"/>
      <c r="J86" s="237"/>
      <c r="K86" s="237"/>
      <c r="L86" s="117"/>
      <c r="M86" s="117"/>
      <c r="N86" s="117"/>
      <c r="O86" s="117"/>
      <c r="P86" s="117"/>
      <c r="Q86" s="117"/>
      <c r="R86" s="117"/>
    </row>
    <row r="87" spans="9:18" x14ac:dyDescent="0.35">
      <c r="I87" s="237"/>
      <c r="J87" s="237"/>
      <c r="K87" s="237"/>
      <c r="L87" s="117"/>
      <c r="M87" s="117"/>
      <c r="N87" s="117"/>
      <c r="O87" s="117"/>
      <c r="P87" s="117"/>
      <c r="Q87" s="117"/>
      <c r="R87" s="117"/>
    </row>
    <row r="88" spans="9:18" x14ac:dyDescent="0.35">
      <c r="L88" s="117"/>
      <c r="M88" s="117"/>
      <c r="N88" s="117"/>
      <c r="O88" s="117"/>
      <c r="P88" s="117"/>
      <c r="Q88" s="117"/>
      <c r="R88" s="117"/>
    </row>
    <row r="89" spans="9:18" x14ac:dyDescent="0.35">
      <c r="L89" s="117"/>
      <c r="M89" s="117"/>
      <c r="N89" s="117"/>
      <c r="O89" s="117"/>
      <c r="P89" s="117"/>
      <c r="Q89" s="117"/>
      <c r="R89" s="117"/>
    </row>
    <row r="90" spans="9:18" x14ac:dyDescent="0.35">
      <c r="I90" s="258"/>
      <c r="J90" s="258"/>
      <c r="L90" s="117"/>
      <c r="M90" s="117"/>
      <c r="N90" s="117"/>
      <c r="O90" s="117"/>
      <c r="P90" s="117"/>
      <c r="Q90" s="117"/>
      <c r="R90" s="117"/>
    </row>
    <row r="91" spans="9:18" x14ac:dyDescent="0.35">
      <c r="I91" s="259"/>
      <c r="J91" s="259"/>
      <c r="L91" s="117"/>
      <c r="M91" s="117"/>
      <c r="N91" s="117"/>
      <c r="O91" s="117"/>
      <c r="P91" s="117"/>
      <c r="Q91" s="117"/>
      <c r="R91" s="117"/>
    </row>
    <row r="92" spans="9:18" x14ac:dyDescent="0.35">
      <c r="I92" s="235"/>
      <c r="J92" s="235"/>
      <c r="K92" s="235"/>
      <c r="L92" s="117"/>
      <c r="M92" s="117"/>
      <c r="N92" s="117"/>
      <c r="O92" s="117"/>
      <c r="P92" s="117"/>
      <c r="Q92" s="117"/>
      <c r="R92" s="117"/>
    </row>
    <row r="93" spans="9:18" ht="25.2" customHeight="1" x14ac:dyDescent="0.35">
      <c r="K93" s="246"/>
      <c r="L93" s="117">
        <f>I87+J87+K87</f>
        <v>0</v>
      </c>
      <c r="M93" s="117"/>
    </row>
  </sheetData>
  <sheetProtection selectLockedCells="1" selectUnlockedCells="1"/>
  <printOptions horizontalCentered="1"/>
  <pageMargins left="0.78749999999999998" right="0.78749999999999998" top="0.98402777777777772" bottom="0.98402777777777772" header="0.51180555555555551" footer="0.51180555555555551"/>
  <pageSetup paperSize="9" scale="30" firstPageNumber="0" orientation="portrait" horizontalDpi="300" verticalDpi="300" r:id="rId1"/>
  <headerFooter alignWithMargins="0">
    <oddHeader xml:space="preserve">&amp;R 4. melléklet a    /2021.(.) 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7"/>
  <sheetViews>
    <sheetView zoomScale="65" zoomScaleNormal="65" zoomScaleSheetLayoutView="50" workbookViewId="0">
      <selection activeCell="J9" sqref="I9:J9"/>
    </sheetView>
  </sheetViews>
  <sheetFormatPr defaultRowHeight="21" x14ac:dyDescent="0.4"/>
  <cols>
    <col min="1" max="1" width="13.44140625" style="507" customWidth="1"/>
    <col min="2" max="2" width="69.5546875" style="507" customWidth="1"/>
    <col min="3" max="3" width="28.6640625" style="507" customWidth="1"/>
    <col min="4" max="4" width="21.109375" style="507" customWidth="1"/>
    <col min="5" max="5" width="10.5546875" style="507" customWidth="1"/>
    <col min="6" max="24" width="9.109375" style="507"/>
    <col min="25" max="256" width="9.109375" style="508"/>
    <col min="257" max="257" width="13.44140625" style="508" customWidth="1"/>
    <col min="258" max="258" width="69.5546875" style="508" customWidth="1"/>
    <col min="259" max="259" width="28.6640625" style="508" customWidth="1"/>
    <col min="260" max="260" width="21.109375" style="508" customWidth="1"/>
    <col min="261" max="261" width="10.5546875" style="508" customWidth="1"/>
    <col min="262" max="512" width="9.109375" style="508"/>
    <col min="513" max="513" width="13.44140625" style="508" customWidth="1"/>
    <col min="514" max="514" width="69.5546875" style="508" customWidth="1"/>
    <col min="515" max="515" width="28.6640625" style="508" customWidth="1"/>
    <col min="516" max="516" width="21.109375" style="508" customWidth="1"/>
    <col min="517" max="517" width="10.5546875" style="508" customWidth="1"/>
    <col min="518" max="768" width="9.109375" style="508"/>
    <col min="769" max="769" width="13.44140625" style="508" customWidth="1"/>
    <col min="770" max="770" width="69.5546875" style="508" customWidth="1"/>
    <col min="771" max="771" width="28.6640625" style="508" customWidth="1"/>
    <col min="772" max="772" width="21.109375" style="508" customWidth="1"/>
    <col min="773" max="773" width="10.5546875" style="508" customWidth="1"/>
    <col min="774" max="1024" width="9.109375" style="508"/>
    <col min="1025" max="1025" width="13.44140625" style="508" customWidth="1"/>
    <col min="1026" max="1026" width="69.5546875" style="508" customWidth="1"/>
    <col min="1027" max="1027" width="28.6640625" style="508" customWidth="1"/>
    <col min="1028" max="1028" width="21.109375" style="508" customWidth="1"/>
    <col min="1029" max="1029" width="10.5546875" style="508" customWidth="1"/>
    <col min="1030" max="1280" width="9.109375" style="508"/>
    <col min="1281" max="1281" width="13.44140625" style="508" customWidth="1"/>
    <col min="1282" max="1282" width="69.5546875" style="508" customWidth="1"/>
    <col min="1283" max="1283" width="28.6640625" style="508" customWidth="1"/>
    <col min="1284" max="1284" width="21.109375" style="508" customWidth="1"/>
    <col min="1285" max="1285" width="10.5546875" style="508" customWidth="1"/>
    <col min="1286" max="1536" width="9.109375" style="508"/>
    <col min="1537" max="1537" width="13.44140625" style="508" customWidth="1"/>
    <col min="1538" max="1538" width="69.5546875" style="508" customWidth="1"/>
    <col min="1539" max="1539" width="28.6640625" style="508" customWidth="1"/>
    <col min="1540" max="1540" width="21.109375" style="508" customWidth="1"/>
    <col min="1541" max="1541" width="10.5546875" style="508" customWidth="1"/>
    <col min="1542" max="1792" width="9.109375" style="508"/>
    <col min="1793" max="1793" width="13.44140625" style="508" customWidth="1"/>
    <col min="1794" max="1794" width="69.5546875" style="508" customWidth="1"/>
    <col min="1795" max="1795" width="28.6640625" style="508" customWidth="1"/>
    <col min="1796" max="1796" width="21.109375" style="508" customWidth="1"/>
    <col min="1797" max="1797" width="10.5546875" style="508" customWidth="1"/>
    <col min="1798" max="2048" width="9.109375" style="508"/>
    <col min="2049" max="2049" width="13.44140625" style="508" customWidth="1"/>
    <col min="2050" max="2050" width="69.5546875" style="508" customWidth="1"/>
    <col min="2051" max="2051" width="28.6640625" style="508" customWidth="1"/>
    <col min="2052" max="2052" width="21.109375" style="508" customWidth="1"/>
    <col min="2053" max="2053" width="10.5546875" style="508" customWidth="1"/>
    <col min="2054" max="2304" width="9.109375" style="508"/>
    <col min="2305" max="2305" width="13.44140625" style="508" customWidth="1"/>
    <col min="2306" max="2306" width="69.5546875" style="508" customWidth="1"/>
    <col min="2307" max="2307" width="28.6640625" style="508" customWidth="1"/>
    <col min="2308" max="2308" width="21.109375" style="508" customWidth="1"/>
    <col min="2309" max="2309" width="10.5546875" style="508" customWidth="1"/>
    <col min="2310" max="2560" width="9.109375" style="508"/>
    <col min="2561" max="2561" width="13.44140625" style="508" customWidth="1"/>
    <col min="2562" max="2562" width="69.5546875" style="508" customWidth="1"/>
    <col min="2563" max="2563" width="28.6640625" style="508" customWidth="1"/>
    <col min="2564" max="2564" width="21.109375" style="508" customWidth="1"/>
    <col min="2565" max="2565" width="10.5546875" style="508" customWidth="1"/>
    <col min="2566" max="2816" width="9.109375" style="508"/>
    <col min="2817" max="2817" width="13.44140625" style="508" customWidth="1"/>
    <col min="2818" max="2818" width="69.5546875" style="508" customWidth="1"/>
    <col min="2819" max="2819" width="28.6640625" style="508" customWidth="1"/>
    <col min="2820" max="2820" width="21.109375" style="508" customWidth="1"/>
    <col min="2821" max="2821" width="10.5546875" style="508" customWidth="1"/>
    <col min="2822" max="3072" width="9.109375" style="508"/>
    <col min="3073" max="3073" width="13.44140625" style="508" customWidth="1"/>
    <col min="3074" max="3074" width="69.5546875" style="508" customWidth="1"/>
    <col min="3075" max="3075" width="28.6640625" style="508" customWidth="1"/>
    <col min="3076" max="3076" width="21.109375" style="508" customWidth="1"/>
    <col min="3077" max="3077" width="10.5546875" style="508" customWidth="1"/>
    <col min="3078" max="3328" width="9.109375" style="508"/>
    <col min="3329" max="3329" width="13.44140625" style="508" customWidth="1"/>
    <col min="3330" max="3330" width="69.5546875" style="508" customWidth="1"/>
    <col min="3331" max="3331" width="28.6640625" style="508" customWidth="1"/>
    <col min="3332" max="3332" width="21.109375" style="508" customWidth="1"/>
    <col min="3333" max="3333" width="10.5546875" style="508" customWidth="1"/>
    <col min="3334" max="3584" width="9.109375" style="508"/>
    <col min="3585" max="3585" width="13.44140625" style="508" customWidth="1"/>
    <col min="3586" max="3586" width="69.5546875" style="508" customWidth="1"/>
    <col min="3587" max="3587" width="28.6640625" style="508" customWidth="1"/>
    <col min="3588" max="3588" width="21.109375" style="508" customWidth="1"/>
    <col min="3589" max="3589" width="10.5546875" style="508" customWidth="1"/>
    <col min="3590" max="3840" width="9.109375" style="508"/>
    <col min="3841" max="3841" width="13.44140625" style="508" customWidth="1"/>
    <col min="3842" max="3842" width="69.5546875" style="508" customWidth="1"/>
    <col min="3843" max="3843" width="28.6640625" style="508" customWidth="1"/>
    <col min="3844" max="3844" width="21.109375" style="508" customWidth="1"/>
    <col min="3845" max="3845" width="10.5546875" style="508" customWidth="1"/>
    <col min="3846" max="4096" width="9.109375" style="508"/>
    <col min="4097" max="4097" width="13.44140625" style="508" customWidth="1"/>
    <col min="4098" max="4098" width="69.5546875" style="508" customWidth="1"/>
    <col min="4099" max="4099" width="28.6640625" style="508" customWidth="1"/>
    <col min="4100" max="4100" width="21.109375" style="508" customWidth="1"/>
    <col min="4101" max="4101" width="10.5546875" style="508" customWidth="1"/>
    <col min="4102" max="4352" width="9.109375" style="508"/>
    <col min="4353" max="4353" width="13.44140625" style="508" customWidth="1"/>
    <col min="4354" max="4354" width="69.5546875" style="508" customWidth="1"/>
    <col min="4355" max="4355" width="28.6640625" style="508" customWidth="1"/>
    <col min="4356" max="4356" width="21.109375" style="508" customWidth="1"/>
    <col min="4357" max="4357" width="10.5546875" style="508" customWidth="1"/>
    <col min="4358" max="4608" width="9.109375" style="508"/>
    <col min="4609" max="4609" width="13.44140625" style="508" customWidth="1"/>
    <col min="4610" max="4610" width="69.5546875" style="508" customWidth="1"/>
    <col min="4611" max="4611" width="28.6640625" style="508" customWidth="1"/>
    <col min="4612" max="4612" width="21.109375" style="508" customWidth="1"/>
    <col min="4613" max="4613" width="10.5546875" style="508" customWidth="1"/>
    <col min="4614" max="4864" width="9.109375" style="508"/>
    <col min="4865" max="4865" width="13.44140625" style="508" customWidth="1"/>
    <col min="4866" max="4866" width="69.5546875" style="508" customWidth="1"/>
    <col min="4867" max="4867" width="28.6640625" style="508" customWidth="1"/>
    <col min="4868" max="4868" width="21.109375" style="508" customWidth="1"/>
    <col min="4869" max="4869" width="10.5546875" style="508" customWidth="1"/>
    <col min="4870" max="5120" width="9.109375" style="508"/>
    <col min="5121" max="5121" width="13.44140625" style="508" customWidth="1"/>
    <col min="5122" max="5122" width="69.5546875" style="508" customWidth="1"/>
    <col min="5123" max="5123" width="28.6640625" style="508" customWidth="1"/>
    <col min="5124" max="5124" width="21.109375" style="508" customWidth="1"/>
    <col min="5125" max="5125" width="10.5546875" style="508" customWidth="1"/>
    <col min="5126" max="5376" width="9.109375" style="508"/>
    <col min="5377" max="5377" width="13.44140625" style="508" customWidth="1"/>
    <col min="5378" max="5378" width="69.5546875" style="508" customWidth="1"/>
    <col min="5379" max="5379" width="28.6640625" style="508" customWidth="1"/>
    <col min="5380" max="5380" width="21.109375" style="508" customWidth="1"/>
    <col min="5381" max="5381" width="10.5546875" style="508" customWidth="1"/>
    <col min="5382" max="5632" width="9.109375" style="508"/>
    <col min="5633" max="5633" width="13.44140625" style="508" customWidth="1"/>
    <col min="5634" max="5634" width="69.5546875" style="508" customWidth="1"/>
    <col min="5635" max="5635" width="28.6640625" style="508" customWidth="1"/>
    <col min="5636" max="5636" width="21.109375" style="508" customWidth="1"/>
    <col min="5637" max="5637" width="10.5546875" style="508" customWidth="1"/>
    <col min="5638" max="5888" width="9.109375" style="508"/>
    <col min="5889" max="5889" width="13.44140625" style="508" customWidth="1"/>
    <col min="5890" max="5890" width="69.5546875" style="508" customWidth="1"/>
    <col min="5891" max="5891" width="28.6640625" style="508" customWidth="1"/>
    <col min="5892" max="5892" width="21.109375" style="508" customWidth="1"/>
    <col min="5893" max="5893" width="10.5546875" style="508" customWidth="1"/>
    <col min="5894" max="6144" width="9.109375" style="508"/>
    <col min="6145" max="6145" width="13.44140625" style="508" customWidth="1"/>
    <col min="6146" max="6146" width="69.5546875" style="508" customWidth="1"/>
    <col min="6147" max="6147" width="28.6640625" style="508" customWidth="1"/>
    <col min="6148" max="6148" width="21.109375" style="508" customWidth="1"/>
    <col min="6149" max="6149" width="10.5546875" style="508" customWidth="1"/>
    <col min="6150" max="6400" width="9.109375" style="508"/>
    <col min="6401" max="6401" width="13.44140625" style="508" customWidth="1"/>
    <col min="6402" max="6402" width="69.5546875" style="508" customWidth="1"/>
    <col min="6403" max="6403" width="28.6640625" style="508" customWidth="1"/>
    <col min="6404" max="6404" width="21.109375" style="508" customWidth="1"/>
    <col min="6405" max="6405" width="10.5546875" style="508" customWidth="1"/>
    <col min="6406" max="6656" width="9.109375" style="508"/>
    <col min="6657" max="6657" width="13.44140625" style="508" customWidth="1"/>
    <col min="6658" max="6658" width="69.5546875" style="508" customWidth="1"/>
    <col min="6659" max="6659" width="28.6640625" style="508" customWidth="1"/>
    <col min="6660" max="6660" width="21.109375" style="508" customWidth="1"/>
    <col min="6661" max="6661" width="10.5546875" style="508" customWidth="1"/>
    <col min="6662" max="6912" width="9.109375" style="508"/>
    <col min="6913" max="6913" width="13.44140625" style="508" customWidth="1"/>
    <col min="6914" max="6914" width="69.5546875" style="508" customWidth="1"/>
    <col min="6915" max="6915" width="28.6640625" style="508" customWidth="1"/>
    <col min="6916" max="6916" width="21.109375" style="508" customWidth="1"/>
    <col min="6917" max="6917" width="10.5546875" style="508" customWidth="1"/>
    <col min="6918" max="7168" width="9.109375" style="508"/>
    <col min="7169" max="7169" width="13.44140625" style="508" customWidth="1"/>
    <col min="7170" max="7170" width="69.5546875" style="508" customWidth="1"/>
    <col min="7171" max="7171" width="28.6640625" style="508" customWidth="1"/>
    <col min="7172" max="7172" width="21.109375" style="508" customWidth="1"/>
    <col min="7173" max="7173" width="10.5546875" style="508" customWidth="1"/>
    <col min="7174" max="7424" width="9.109375" style="508"/>
    <col min="7425" max="7425" width="13.44140625" style="508" customWidth="1"/>
    <col min="7426" max="7426" width="69.5546875" style="508" customWidth="1"/>
    <col min="7427" max="7427" width="28.6640625" style="508" customWidth="1"/>
    <col min="7428" max="7428" width="21.109375" style="508" customWidth="1"/>
    <col min="7429" max="7429" width="10.5546875" style="508" customWidth="1"/>
    <col min="7430" max="7680" width="9.109375" style="508"/>
    <col min="7681" max="7681" width="13.44140625" style="508" customWidth="1"/>
    <col min="7682" max="7682" width="69.5546875" style="508" customWidth="1"/>
    <col min="7683" max="7683" width="28.6640625" style="508" customWidth="1"/>
    <col min="7684" max="7684" width="21.109375" style="508" customWidth="1"/>
    <col min="7685" max="7685" width="10.5546875" style="508" customWidth="1"/>
    <col min="7686" max="7936" width="9.109375" style="508"/>
    <col min="7937" max="7937" width="13.44140625" style="508" customWidth="1"/>
    <col min="7938" max="7938" width="69.5546875" style="508" customWidth="1"/>
    <col min="7939" max="7939" width="28.6640625" style="508" customWidth="1"/>
    <col min="7940" max="7940" width="21.109375" style="508" customWidth="1"/>
    <col min="7941" max="7941" width="10.5546875" style="508" customWidth="1"/>
    <col min="7942" max="8192" width="9.109375" style="508"/>
    <col min="8193" max="8193" width="13.44140625" style="508" customWidth="1"/>
    <col min="8194" max="8194" width="69.5546875" style="508" customWidth="1"/>
    <col min="8195" max="8195" width="28.6640625" style="508" customWidth="1"/>
    <col min="8196" max="8196" width="21.109375" style="508" customWidth="1"/>
    <col min="8197" max="8197" width="10.5546875" style="508" customWidth="1"/>
    <col min="8198" max="8448" width="9.109375" style="508"/>
    <col min="8449" max="8449" width="13.44140625" style="508" customWidth="1"/>
    <col min="8450" max="8450" width="69.5546875" style="508" customWidth="1"/>
    <col min="8451" max="8451" width="28.6640625" style="508" customWidth="1"/>
    <col min="8452" max="8452" width="21.109375" style="508" customWidth="1"/>
    <col min="8453" max="8453" width="10.5546875" style="508" customWidth="1"/>
    <col min="8454" max="8704" width="9.109375" style="508"/>
    <col min="8705" max="8705" width="13.44140625" style="508" customWidth="1"/>
    <col min="8706" max="8706" width="69.5546875" style="508" customWidth="1"/>
    <col min="8707" max="8707" width="28.6640625" style="508" customWidth="1"/>
    <col min="8708" max="8708" width="21.109375" style="508" customWidth="1"/>
    <col min="8709" max="8709" width="10.5546875" style="508" customWidth="1"/>
    <col min="8710" max="8960" width="9.109375" style="508"/>
    <col min="8961" max="8961" width="13.44140625" style="508" customWidth="1"/>
    <col min="8962" max="8962" width="69.5546875" style="508" customWidth="1"/>
    <col min="8963" max="8963" width="28.6640625" style="508" customWidth="1"/>
    <col min="8964" max="8964" width="21.109375" style="508" customWidth="1"/>
    <col min="8965" max="8965" width="10.5546875" style="508" customWidth="1"/>
    <col min="8966" max="9216" width="9.109375" style="508"/>
    <col min="9217" max="9217" width="13.44140625" style="508" customWidth="1"/>
    <col min="9218" max="9218" width="69.5546875" style="508" customWidth="1"/>
    <col min="9219" max="9219" width="28.6640625" style="508" customWidth="1"/>
    <col min="9220" max="9220" width="21.109375" style="508" customWidth="1"/>
    <col min="9221" max="9221" width="10.5546875" style="508" customWidth="1"/>
    <col min="9222" max="9472" width="9.109375" style="508"/>
    <col min="9473" max="9473" width="13.44140625" style="508" customWidth="1"/>
    <col min="9474" max="9474" width="69.5546875" style="508" customWidth="1"/>
    <col min="9475" max="9475" width="28.6640625" style="508" customWidth="1"/>
    <col min="9476" max="9476" width="21.109375" style="508" customWidth="1"/>
    <col min="9477" max="9477" width="10.5546875" style="508" customWidth="1"/>
    <col min="9478" max="9728" width="9.109375" style="508"/>
    <col min="9729" max="9729" width="13.44140625" style="508" customWidth="1"/>
    <col min="9730" max="9730" width="69.5546875" style="508" customWidth="1"/>
    <col min="9731" max="9731" width="28.6640625" style="508" customWidth="1"/>
    <col min="9732" max="9732" width="21.109375" style="508" customWidth="1"/>
    <col min="9733" max="9733" width="10.5546875" style="508" customWidth="1"/>
    <col min="9734" max="9984" width="9.109375" style="508"/>
    <col min="9985" max="9985" width="13.44140625" style="508" customWidth="1"/>
    <col min="9986" max="9986" width="69.5546875" style="508" customWidth="1"/>
    <col min="9987" max="9987" width="28.6640625" style="508" customWidth="1"/>
    <col min="9988" max="9988" width="21.109375" style="508" customWidth="1"/>
    <col min="9989" max="9989" width="10.5546875" style="508" customWidth="1"/>
    <col min="9990" max="10240" width="9.109375" style="508"/>
    <col min="10241" max="10241" width="13.44140625" style="508" customWidth="1"/>
    <col min="10242" max="10242" width="69.5546875" style="508" customWidth="1"/>
    <col min="10243" max="10243" width="28.6640625" style="508" customWidth="1"/>
    <col min="10244" max="10244" width="21.109375" style="508" customWidth="1"/>
    <col min="10245" max="10245" width="10.5546875" style="508" customWidth="1"/>
    <col min="10246" max="10496" width="9.109375" style="508"/>
    <col min="10497" max="10497" width="13.44140625" style="508" customWidth="1"/>
    <col min="10498" max="10498" width="69.5546875" style="508" customWidth="1"/>
    <col min="10499" max="10499" width="28.6640625" style="508" customWidth="1"/>
    <col min="10500" max="10500" width="21.109375" style="508" customWidth="1"/>
    <col min="10501" max="10501" width="10.5546875" style="508" customWidth="1"/>
    <col min="10502" max="10752" width="9.109375" style="508"/>
    <col min="10753" max="10753" width="13.44140625" style="508" customWidth="1"/>
    <col min="10754" max="10754" width="69.5546875" style="508" customWidth="1"/>
    <col min="10755" max="10755" width="28.6640625" style="508" customWidth="1"/>
    <col min="10756" max="10756" width="21.109375" style="508" customWidth="1"/>
    <col min="10757" max="10757" width="10.5546875" style="508" customWidth="1"/>
    <col min="10758" max="11008" width="9.109375" style="508"/>
    <col min="11009" max="11009" width="13.44140625" style="508" customWidth="1"/>
    <col min="11010" max="11010" width="69.5546875" style="508" customWidth="1"/>
    <col min="11011" max="11011" width="28.6640625" style="508" customWidth="1"/>
    <col min="11012" max="11012" width="21.109375" style="508" customWidth="1"/>
    <col min="11013" max="11013" width="10.5546875" style="508" customWidth="1"/>
    <col min="11014" max="11264" width="9.109375" style="508"/>
    <col min="11265" max="11265" width="13.44140625" style="508" customWidth="1"/>
    <col min="11266" max="11266" width="69.5546875" style="508" customWidth="1"/>
    <col min="11267" max="11267" width="28.6640625" style="508" customWidth="1"/>
    <col min="11268" max="11268" width="21.109375" style="508" customWidth="1"/>
    <col min="11269" max="11269" width="10.5546875" style="508" customWidth="1"/>
    <col min="11270" max="11520" width="9.109375" style="508"/>
    <col min="11521" max="11521" width="13.44140625" style="508" customWidth="1"/>
    <col min="11522" max="11522" width="69.5546875" style="508" customWidth="1"/>
    <col min="11523" max="11523" width="28.6640625" style="508" customWidth="1"/>
    <col min="11524" max="11524" width="21.109375" style="508" customWidth="1"/>
    <col min="11525" max="11525" width="10.5546875" style="508" customWidth="1"/>
    <col min="11526" max="11776" width="9.109375" style="508"/>
    <col min="11777" max="11777" width="13.44140625" style="508" customWidth="1"/>
    <col min="11778" max="11778" width="69.5546875" style="508" customWidth="1"/>
    <col min="11779" max="11779" width="28.6640625" style="508" customWidth="1"/>
    <col min="11780" max="11780" width="21.109375" style="508" customWidth="1"/>
    <col min="11781" max="11781" width="10.5546875" style="508" customWidth="1"/>
    <col min="11782" max="12032" width="9.109375" style="508"/>
    <col min="12033" max="12033" width="13.44140625" style="508" customWidth="1"/>
    <col min="12034" max="12034" width="69.5546875" style="508" customWidth="1"/>
    <col min="12035" max="12035" width="28.6640625" style="508" customWidth="1"/>
    <col min="12036" max="12036" width="21.109375" style="508" customWidth="1"/>
    <col min="12037" max="12037" width="10.5546875" style="508" customWidth="1"/>
    <col min="12038" max="12288" width="9.109375" style="508"/>
    <col min="12289" max="12289" width="13.44140625" style="508" customWidth="1"/>
    <col min="12290" max="12290" width="69.5546875" style="508" customWidth="1"/>
    <col min="12291" max="12291" width="28.6640625" style="508" customWidth="1"/>
    <col min="12292" max="12292" width="21.109375" style="508" customWidth="1"/>
    <col min="12293" max="12293" width="10.5546875" style="508" customWidth="1"/>
    <col min="12294" max="12544" width="9.109375" style="508"/>
    <col min="12545" max="12545" width="13.44140625" style="508" customWidth="1"/>
    <col min="12546" max="12546" width="69.5546875" style="508" customWidth="1"/>
    <col min="12547" max="12547" width="28.6640625" style="508" customWidth="1"/>
    <col min="12548" max="12548" width="21.109375" style="508" customWidth="1"/>
    <col min="12549" max="12549" width="10.5546875" style="508" customWidth="1"/>
    <col min="12550" max="12800" width="9.109375" style="508"/>
    <col min="12801" max="12801" width="13.44140625" style="508" customWidth="1"/>
    <col min="12802" max="12802" width="69.5546875" style="508" customWidth="1"/>
    <col min="12803" max="12803" width="28.6640625" style="508" customWidth="1"/>
    <col min="12804" max="12804" width="21.109375" style="508" customWidth="1"/>
    <col min="12805" max="12805" width="10.5546875" style="508" customWidth="1"/>
    <col min="12806" max="13056" width="9.109375" style="508"/>
    <col min="13057" max="13057" width="13.44140625" style="508" customWidth="1"/>
    <col min="13058" max="13058" width="69.5546875" style="508" customWidth="1"/>
    <col min="13059" max="13059" width="28.6640625" style="508" customWidth="1"/>
    <col min="13060" max="13060" width="21.109375" style="508" customWidth="1"/>
    <col min="13061" max="13061" width="10.5546875" style="508" customWidth="1"/>
    <col min="13062" max="13312" width="9.109375" style="508"/>
    <col min="13313" max="13313" width="13.44140625" style="508" customWidth="1"/>
    <col min="13314" max="13314" width="69.5546875" style="508" customWidth="1"/>
    <col min="13315" max="13315" width="28.6640625" style="508" customWidth="1"/>
    <col min="13316" max="13316" width="21.109375" style="508" customWidth="1"/>
    <col min="13317" max="13317" width="10.5546875" style="508" customWidth="1"/>
    <col min="13318" max="13568" width="9.109375" style="508"/>
    <col min="13569" max="13569" width="13.44140625" style="508" customWidth="1"/>
    <col min="13570" max="13570" width="69.5546875" style="508" customWidth="1"/>
    <col min="13571" max="13571" width="28.6640625" style="508" customWidth="1"/>
    <col min="13572" max="13572" width="21.109375" style="508" customWidth="1"/>
    <col min="13573" max="13573" width="10.5546875" style="508" customWidth="1"/>
    <col min="13574" max="13824" width="9.109375" style="508"/>
    <col min="13825" max="13825" width="13.44140625" style="508" customWidth="1"/>
    <col min="13826" max="13826" width="69.5546875" style="508" customWidth="1"/>
    <col min="13827" max="13827" width="28.6640625" style="508" customWidth="1"/>
    <col min="13828" max="13828" width="21.109375" style="508" customWidth="1"/>
    <col min="13829" max="13829" width="10.5546875" style="508" customWidth="1"/>
    <col min="13830" max="14080" width="9.109375" style="508"/>
    <col min="14081" max="14081" width="13.44140625" style="508" customWidth="1"/>
    <col min="14082" max="14082" width="69.5546875" style="508" customWidth="1"/>
    <col min="14083" max="14083" width="28.6640625" style="508" customWidth="1"/>
    <col min="14084" max="14084" width="21.109375" style="508" customWidth="1"/>
    <col min="14085" max="14085" width="10.5546875" style="508" customWidth="1"/>
    <col min="14086" max="14336" width="9.109375" style="508"/>
    <col min="14337" max="14337" width="13.44140625" style="508" customWidth="1"/>
    <col min="14338" max="14338" width="69.5546875" style="508" customWidth="1"/>
    <col min="14339" max="14339" width="28.6640625" style="508" customWidth="1"/>
    <col min="14340" max="14340" width="21.109375" style="508" customWidth="1"/>
    <col min="14341" max="14341" width="10.5546875" style="508" customWidth="1"/>
    <col min="14342" max="14592" width="9.109375" style="508"/>
    <col min="14593" max="14593" width="13.44140625" style="508" customWidth="1"/>
    <col min="14594" max="14594" width="69.5546875" style="508" customWidth="1"/>
    <col min="14595" max="14595" width="28.6640625" style="508" customWidth="1"/>
    <col min="14596" max="14596" width="21.109375" style="508" customWidth="1"/>
    <col min="14597" max="14597" width="10.5546875" style="508" customWidth="1"/>
    <col min="14598" max="14848" width="9.109375" style="508"/>
    <col min="14849" max="14849" width="13.44140625" style="508" customWidth="1"/>
    <col min="14850" max="14850" width="69.5546875" style="508" customWidth="1"/>
    <col min="14851" max="14851" width="28.6640625" style="508" customWidth="1"/>
    <col min="14852" max="14852" width="21.109375" style="508" customWidth="1"/>
    <col min="14853" max="14853" width="10.5546875" style="508" customWidth="1"/>
    <col min="14854" max="15104" width="9.109375" style="508"/>
    <col min="15105" max="15105" width="13.44140625" style="508" customWidth="1"/>
    <col min="15106" max="15106" width="69.5546875" style="508" customWidth="1"/>
    <col min="15107" max="15107" width="28.6640625" style="508" customWidth="1"/>
    <col min="15108" max="15108" width="21.109375" style="508" customWidth="1"/>
    <col min="15109" max="15109" width="10.5546875" style="508" customWidth="1"/>
    <col min="15110" max="15360" width="9.109375" style="508"/>
    <col min="15361" max="15361" width="13.44140625" style="508" customWidth="1"/>
    <col min="15362" max="15362" width="69.5546875" style="508" customWidth="1"/>
    <col min="15363" max="15363" width="28.6640625" style="508" customWidth="1"/>
    <col min="15364" max="15364" width="21.109375" style="508" customWidth="1"/>
    <col min="15365" max="15365" width="10.5546875" style="508" customWidth="1"/>
    <col min="15366" max="15616" width="9.109375" style="508"/>
    <col min="15617" max="15617" width="13.44140625" style="508" customWidth="1"/>
    <col min="15618" max="15618" width="69.5546875" style="508" customWidth="1"/>
    <col min="15619" max="15619" width="28.6640625" style="508" customWidth="1"/>
    <col min="15620" max="15620" width="21.109375" style="508" customWidth="1"/>
    <col min="15621" max="15621" width="10.5546875" style="508" customWidth="1"/>
    <col min="15622" max="15872" width="9.109375" style="508"/>
    <col min="15873" max="15873" width="13.44140625" style="508" customWidth="1"/>
    <col min="15874" max="15874" width="69.5546875" style="508" customWidth="1"/>
    <col min="15875" max="15875" width="28.6640625" style="508" customWidth="1"/>
    <col min="15876" max="15876" width="21.109375" style="508" customWidth="1"/>
    <col min="15877" max="15877" width="10.5546875" style="508" customWidth="1"/>
    <col min="15878" max="16128" width="9.109375" style="508"/>
    <col min="16129" max="16129" width="13.44140625" style="508" customWidth="1"/>
    <col min="16130" max="16130" width="69.5546875" style="508" customWidth="1"/>
    <col min="16131" max="16131" width="28.6640625" style="508" customWidth="1"/>
    <col min="16132" max="16132" width="21.109375" style="508" customWidth="1"/>
    <col min="16133" max="16133" width="10.5546875" style="508" customWidth="1"/>
    <col min="16134" max="16384" width="9.109375" style="508"/>
  </cols>
  <sheetData>
    <row r="1" spans="1:5" ht="54.75" customHeight="1" x14ac:dyDescent="0.4">
      <c r="A1" s="535" t="s">
        <v>493</v>
      </c>
      <c r="B1" s="535"/>
      <c r="C1" s="535"/>
      <c r="D1" s="535"/>
      <c r="E1" s="458" t="s">
        <v>46</v>
      </c>
    </row>
    <row r="2" spans="1:5" ht="40.799999999999997" x14ac:dyDescent="0.4">
      <c r="A2" s="509" t="s">
        <v>335</v>
      </c>
      <c r="B2" s="509" t="s">
        <v>482</v>
      </c>
      <c r="C2" s="509" t="s">
        <v>483</v>
      </c>
      <c r="D2" s="509" t="s">
        <v>484</v>
      </c>
      <c r="E2" s="510"/>
    </row>
    <row r="3" spans="1:5" ht="42" x14ac:dyDescent="0.4">
      <c r="A3" s="535"/>
      <c r="B3" s="511" t="s">
        <v>485</v>
      </c>
      <c r="C3" s="512"/>
      <c r="D3" s="509"/>
      <c r="E3" s="510"/>
    </row>
    <row r="4" spans="1:5" ht="42" x14ac:dyDescent="0.4">
      <c r="A4" s="535"/>
      <c r="B4" s="511" t="s">
        <v>486</v>
      </c>
      <c r="C4" s="509"/>
      <c r="D4" s="512"/>
      <c r="E4" s="510"/>
    </row>
    <row r="5" spans="1:5" x14ac:dyDescent="0.4">
      <c r="A5" s="535"/>
      <c r="B5" s="511" t="s">
        <v>487</v>
      </c>
      <c r="C5" s="512">
        <v>271359</v>
      </c>
      <c r="D5" s="519">
        <v>0</v>
      </c>
      <c r="E5" s="458"/>
    </row>
    <row r="6" spans="1:5" ht="42" x14ac:dyDescent="0.4">
      <c r="A6" s="535"/>
      <c r="B6" s="511" t="s">
        <v>488</v>
      </c>
      <c r="C6" s="512">
        <v>62394</v>
      </c>
      <c r="D6" s="519">
        <v>0</v>
      </c>
      <c r="E6" s="458"/>
    </row>
    <row r="7" spans="1:5" x14ac:dyDescent="0.4">
      <c r="A7" s="535"/>
      <c r="B7" s="511" t="s">
        <v>489</v>
      </c>
      <c r="C7" s="512">
        <v>3932</v>
      </c>
      <c r="D7" s="519">
        <v>0</v>
      </c>
      <c r="E7" s="458"/>
    </row>
    <row r="8" spans="1:5" x14ac:dyDescent="0.4">
      <c r="A8" s="535"/>
      <c r="B8" s="511" t="s">
        <v>490</v>
      </c>
      <c r="C8" s="512">
        <v>0</v>
      </c>
      <c r="D8" s="519">
        <v>0</v>
      </c>
      <c r="E8" s="458"/>
    </row>
    <row r="9" spans="1:5" ht="42" x14ac:dyDescent="0.4">
      <c r="A9" s="535"/>
      <c r="B9" s="513" t="s">
        <v>491</v>
      </c>
      <c r="C9" s="512"/>
      <c r="D9" s="519"/>
      <c r="E9" s="458"/>
    </row>
    <row r="10" spans="1:5" ht="42" x14ac:dyDescent="0.4">
      <c r="A10" s="535"/>
      <c r="B10" s="511" t="s">
        <v>492</v>
      </c>
      <c r="C10" s="512"/>
      <c r="D10" s="519"/>
      <c r="E10" s="458"/>
    </row>
    <row r="11" spans="1:5" x14ac:dyDescent="0.4">
      <c r="A11" s="514" t="s">
        <v>183</v>
      </c>
      <c r="B11" s="515" t="s">
        <v>341</v>
      </c>
      <c r="C11" s="516">
        <f>SUM(C5:C8)</f>
        <v>337685</v>
      </c>
      <c r="D11" s="519">
        <f>SUM(D5:D8)</f>
        <v>0</v>
      </c>
      <c r="E11" s="458"/>
    </row>
    <row r="12" spans="1:5" ht="45" customHeight="1" x14ac:dyDescent="0.4">
      <c r="A12" s="534" t="s">
        <v>212</v>
      </c>
      <c r="B12" s="534"/>
      <c r="C12" s="534"/>
      <c r="D12" s="517"/>
    </row>
    <row r="47" spans="6:6" x14ac:dyDescent="0.4">
      <c r="F47" s="518"/>
    </row>
  </sheetData>
  <sheetProtection selectLockedCells="1" selectUnlockedCells="1"/>
  <mergeCells count="3">
    <mergeCell ref="A12:C12"/>
    <mergeCell ref="A1:D1"/>
    <mergeCell ref="A3:A10"/>
  </mergeCells>
  <pageMargins left="0.74791666666666667" right="0.74791666666666667" top="0.98402777777777772" bottom="0.98402777777777772" header="0.51180555555555551" footer="0.51180555555555551"/>
  <pageSetup paperSize="9" scale="86" firstPageNumber="0" orientation="portrait" horizontalDpi="300" verticalDpi="300" r:id="rId1"/>
  <headerFooter alignWithMargins="0">
    <oddHeader xml:space="preserve">&amp;R5. melléklet a    /2021.()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15</vt:i4>
      </vt:variant>
    </vt:vector>
  </HeadingPairs>
  <TitlesOfParts>
    <vt:vector size="42" baseType="lpstr">
      <vt:lpstr>A melléklet</vt:lpstr>
      <vt:lpstr>A2 melléklet</vt:lpstr>
      <vt:lpstr>1.melléklet</vt:lpstr>
      <vt:lpstr>1_A melléklet</vt:lpstr>
      <vt:lpstr>1_B_MELLÉKLET</vt:lpstr>
      <vt:lpstr>2. melléklet</vt:lpstr>
      <vt:lpstr>3. melléklet</vt:lpstr>
      <vt:lpstr>4_.melléklet</vt:lpstr>
      <vt:lpstr>5.  melléklet</vt:lpstr>
      <vt:lpstr>6.melléket</vt:lpstr>
      <vt:lpstr>7. melléklet</vt:lpstr>
      <vt:lpstr>8. melléklet Önkormányzat</vt:lpstr>
      <vt:lpstr>9.  melléklet Hivatal</vt:lpstr>
      <vt:lpstr>10. melléklet Isaszegi Héts</vt:lpstr>
      <vt:lpstr>11.  melléklet Isaszegi Bóbi</vt:lpstr>
      <vt:lpstr>12. mell. Isaszegi Humánszol</vt:lpstr>
      <vt:lpstr>13.  mellékletMűvelődési ház</vt:lpstr>
      <vt:lpstr>14. melléklet Könyvtár</vt:lpstr>
      <vt:lpstr>15.melléklet IVÜSZ</vt:lpstr>
      <vt:lpstr>16. melléklet Bölcsőde</vt:lpstr>
      <vt:lpstr>17. melléklet</vt:lpstr>
      <vt:lpstr>18. melléklet</vt:lpstr>
      <vt:lpstr>19. melléklet</vt:lpstr>
      <vt:lpstr>20. melléklet</vt:lpstr>
      <vt:lpstr>21. melléklet</vt:lpstr>
      <vt:lpstr>22. melléklet</vt:lpstr>
      <vt:lpstr>23. melléklet</vt:lpstr>
      <vt:lpstr>'1.melléklet'!Excel_BuiltIn_Print_Area</vt:lpstr>
      <vt:lpstr>'1_A melléklet'!Excel_BuiltIn_Print_Area</vt:lpstr>
      <vt:lpstr>'1_B_MELLÉKLET'!Excel_BuiltIn_Print_Area</vt:lpstr>
      <vt:lpstr>'12. mell. Isaszegi Humánszol'!Excel_BuiltIn_Print_Area</vt:lpstr>
      <vt:lpstr>'17. melléklet'!Excel_BuiltIn_Print_Area</vt:lpstr>
      <vt:lpstr>'4_.melléklet'!Excel_BuiltIn_Print_Area</vt:lpstr>
      <vt:lpstr>'6.melléket'!Excel_BuiltIn_Print_Area</vt:lpstr>
      <vt:lpstr>'1.melléklet'!Nyomtatási_terület</vt:lpstr>
      <vt:lpstr>'1_A melléklet'!Nyomtatási_terület</vt:lpstr>
      <vt:lpstr>'1_B_MELLÉKLET'!Nyomtatási_terület</vt:lpstr>
      <vt:lpstr>'12. mell. Isaszegi Humánszol'!Nyomtatási_terület</vt:lpstr>
      <vt:lpstr>'17. melléklet'!Nyomtatási_terület</vt:lpstr>
      <vt:lpstr>'19. melléklet'!Nyomtatási_terület</vt:lpstr>
      <vt:lpstr>'4_.melléklet'!Nyomtatási_terület</vt:lpstr>
      <vt:lpstr>'6.melléket'!Nyomtatási_terület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meszaros.edit</cp:lastModifiedBy>
  <cp:lastPrinted>2021-05-04T11:15:34Z</cp:lastPrinted>
  <dcterms:created xsi:type="dcterms:W3CDTF">2020-12-01T15:05:14Z</dcterms:created>
  <dcterms:modified xsi:type="dcterms:W3CDTF">2021-05-14T18:40:22Z</dcterms:modified>
</cp:coreProperties>
</file>