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4000" windowHeight="9630" tabRatio="944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4" r:id="rId9"/>
    <sheet name="8. Létszám" sheetId="195" r:id="rId10"/>
    <sheet name="9. Adósságk." sheetId="198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Bevételek'!$3:$5</definedName>
    <definedName name="_xlnm.Print_Titles" localSheetId="2">'2. Kiadások'!$3:$3</definedName>
  </definedNames>
  <calcPr calcId="162913"/>
</workbook>
</file>

<file path=xl/calcChain.xml><?xml version="1.0" encoding="utf-8"?>
<calcChain xmlns="http://schemas.openxmlformats.org/spreadsheetml/2006/main">
  <c r="F19" i="196" l="1"/>
  <c r="E19" i="196"/>
  <c r="D19" i="196"/>
  <c r="F24" i="196"/>
  <c r="E24" i="196"/>
  <c r="I16" i="198" l="1"/>
  <c r="G16" i="198"/>
  <c r="G10" i="198"/>
  <c r="G11" i="198"/>
  <c r="G12" i="198"/>
  <c r="G13" i="198"/>
  <c r="G14" i="198"/>
  <c r="G15" i="198"/>
  <c r="G9" i="198"/>
  <c r="F16" i="198"/>
  <c r="F17" i="198" s="1"/>
  <c r="H10" i="194" l="1"/>
  <c r="I10" i="194"/>
  <c r="K10" i="194"/>
  <c r="L10" i="194"/>
  <c r="G10" i="194"/>
  <c r="J11" i="194"/>
  <c r="J10" i="194" s="1"/>
  <c r="J20" i="194" l="1"/>
  <c r="K14" i="194"/>
  <c r="L14" i="194"/>
  <c r="H14" i="194"/>
  <c r="I14" i="194"/>
  <c r="G14" i="194"/>
  <c r="G21" i="194"/>
  <c r="J56" i="194"/>
  <c r="J54" i="194"/>
  <c r="J48" i="194"/>
  <c r="J47" i="194"/>
  <c r="J44" i="194"/>
  <c r="J45" i="194"/>
  <c r="J43" i="194"/>
  <c r="J41" i="194"/>
  <c r="J34" i="194"/>
  <c r="J33" i="194"/>
  <c r="J29" i="194"/>
  <c r="J30" i="194"/>
  <c r="J31" i="194"/>
  <c r="J32" i="194"/>
  <c r="J28" i="194"/>
  <c r="J25" i="194"/>
  <c r="J24" i="194" s="1"/>
  <c r="J22" i="194"/>
  <c r="J16" i="194"/>
  <c r="J17" i="194"/>
  <c r="J18" i="194"/>
  <c r="J19" i="194"/>
  <c r="J15" i="194"/>
  <c r="J8" i="194"/>
  <c r="J7" i="194"/>
  <c r="I55" i="194"/>
  <c r="I57" i="194" s="1"/>
  <c r="I53" i="194"/>
  <c r="I46" i="194"/>
  <c r="I42" i="194"/>
  <c r="H42" i="194"/>
  <c r="I40" i="194"/>
  <c r="I27" i="194"/>
  <c r="I24" i="194"/>
  <c r="I23" i="194" s="1"/>
  <c r="I9" i="194"/>
  <c r="I37" i="194" s="1"/>
  <c r="I21" i="194"/>
  <c r="I6" i="194"/>
  <c r="I39" i="194" l="1"/>
  <c r="I51" i="194" s="1"/>
  <c r="J14" i="194"/>
  <c r="I58" i="194"/>
  <c r="J42" i="194"/>
  <c r="G7" i="190"/>
  <c r="F7" i="190"/>
  <c r="F42" i="190"/>
  <c r="F44" i="190" s="1"/>
  <c r="F33" i="190"/>
  <c r="F31" i="190"/>
  <c r="F29" i="190"/>
  <c r="F40" i="190" s="1"/>
  <c r="F23" i="190"/>
  <c r="F25" i="190" s="1"/>
  <c r="F19" i="190"/>
  <c r="F14" i="190"/>
  <c r="F12" i="190"/>
  <c r="F10" i="190"/>
  <c r="F21" i="190" s="1"/>
  <c r="F26" i="190" s="1"/>
  <c r="F45" i="190" l="1"/>
  <c r="F46" i="190" s="1"/>
  <c r="O9" i="197"/>
  <c r="N9" i="197"/>
  <c r="M10" i="197"/>
  <c r="M12" i="197"/>
  <c r="M13" i="197"/>
  <c r="M14" i="197"/>
  <c r="M15" i="197"/>
  <c r="M16" i="197"/>
  <c r="M17" i="197"/>
  <c r="L19" i="197"/>
  <c r="L33" i="197" s="1"/>
  <c r="L35" i="197" s="1"/>
  <c r="F16" i="197"/>
  <c r="F14" i="197"/>
  <c r="F12" i="197"/>
  <c r="E32" i="197"/>
  <c r="E19" i="197"/>
  <c r="M12" i="196"/>
  <c r="M13" i="196"/>
  <c r="L27" i="196"/>
  <c r="L18" i="196"/>
  <c r="L28" i="196" s="1"/>
  <c r="L30" i="196" s="1"/>
  <c r="E33" i="197" l="1"/>
  <c r="E35" i="197" s="1"/>
  <c r="F21" i="196"/>
  <c r="F23" i="196"/>
  <c r="F11" i="196"/>
  <c r="F12" i="196"/>
  <c r="F13" i="196"/>
  <c r="F14" i="196"/>
  <c r="F15" i="196"/>
  <c r="F16" i="196"/>
  <c r="F17" i="196"/>
  <c r="F8" i="196"/>
  <c r="E27" i="196"/>
  <c r="E18" i="196"/>
  <c r="L31" i="196" s="1"/>
  <c r="E28" i="196" l="1"/>
  <c r="E30" i="196" s="1"/>
  <c r="H28" i="201"/>
  <c r="H26" i="201"/>
  <c r="H25" i="201"/>
  <c r="L13" i="201"/>
  <c r="G32" i="201"/>
  <c r="G28" i="201"/>
  <c r="G21" i="201"/>
  <c r="G16" i="201"/>
  <c r="G8" i="201"/>
  <c r="G29" i="201" s="1"/>
  <c r="G33" i="201" s="1"/>
  <c r="K32" i="201"/>
  <c r="K28" i="201"/>
  <c r="K21" i="201"/>
  <c r="K16" i="201"/>
  <c r="K8" i="201"/>
  <c r="K29" i="201" s="1"/>
  <c r="K33" i="201" s="1"/>
  <c r="O32" i="201"/>
  <c r="O28" i="201"/>
  <c r="O21" i="201"/>
  <c r="O16" i="201"/>
  <c r="O8" i="201"/>
  <c r="O29" i="201" s="1"/>
  <c r="O33" i="201" s="1"/>
  <c r="J18" i="5" l="1"/>
  <c r="I18" i="5"/>
  <c r="H28" i="5"/>
  <c r="H27" i="5"/>
  <c r="H29" i="5" s="1"/>
  <c r="H25" i="5"/>
  <c r="H23" i="5"/>
  <c r="H24" i="5"/>
  <c r="H22" i="5"/>
  <c r="H21" i="5"/>
  <c r="H20" i="5"/>
  <c r="H17" i="5"/>
  <c r="H16" i="5"/>
  <c r="H18" i="5" s="1"/>
  <c r="H15" i="5"/>
  <c r="H14" i="5"/>
  <c r="H9" i="5"/>
  <c r="H10" i="5"/>
  <c r="H11" i="5"/>
  <c r="H12" i="5"/>
  <c r="H8" i="5"/>
  <c r="H7" i="5"/>
  <c r="H5" i="5"/>
  <c r="H4" i="5"/>
  <c r="H6" i="5" s="1"/>
  <c r="G29" i="5"/>
  <c r="G25" i="5"/>
  <c r="G18" i="5"/>
  <c r="G13" i="5"/>
  <c r="G6" i="5"/>
  <c r="G26" i="5" s="1"/>
  <c r="G30" i="5" s="1"/>
  <c r="H52" i="202"/>
  <c r="H50" i="202"/>
  <c r="H47" i="202"/>
  <c r="H45" i="202"/>
  <c r="H39" i="202"/>
  <c r="H31" i="202"/>
  <c r="H20" i="202"/>
  <c r="H19" i="202"/>
  <c r="H8" i="202"/>
  <c r="H9" i="202"/>
  <c r="H11" i="202"/>
  <c r="K52" i="202"/>
  <c r="K53" i="202" s="1"/>
  <c r="K49" i="202"/>
  <c r="K47" i="202"/>
  <c r="K45" i="202"/>
  <c r="K42" i="202"/>
  <c r="K39" i="202"/>
  <c r="K37" i="202"/>
  <c r="K28" i="202"/>
  <c r="K26" i="202"/>
  <c r="L26" i="202"/>
  <c r="K21" i="202"/>
  <c r="K17" i="202"/>
  <c r="K18" i="202" s="1"/>
  <c r="K43" i="202" s="1"/>
  <c r="K12" i="202"/>
  <c r="O28" i="202"/>
  <c r="O21" i="202"/>
  <c r="O52" i="202"/>
  <c r="O49" i="202"/>
  <c r="O47" i="202"/>
  <c r="O45" i="202"/>
  <c r="O42" i="202"/>
  <c r="O39" i="202"/>
  <c r="O37" i="202"/>
  <c r="G37" i="202"/>
  <c r="O17" i="202"/>
  <c r="O18" i="202" s="1"/>
  <c r="O12" i="202"/>
  <c r="G52" i="202"/>
  <c r="G49" i="202"/>
  <c r="G47" i="202"/>
  <c r="G45" i="202"/>
  <c r="G42" i="202"/>
  <c r="F42" i="202"/>
  <c r="G39" i="202"/>
  <c r="G22" i="202"/>
  <c r="G27" i="202"/>
  <c r="G26" i="202"/>
  <c r="G21" i="202"/>
  <c r="G17" i="202"/>
  <c r="G12" i="202"/>
  <c r="K54" i="202" l="1"/>
  <c r="G18" i="202"/>
  <c r="H21" i="202"/>
  <c r="H13" i="5"/>
  <c r="O53" i="202"/>
  <c r="G28" i="202"/>
  <c r="G43" i="202" s="1"/>
  <c r="G53" i="202"/>
  <c r="O43" i="202"/>
  <c r="G54" i="202" l="1"/>
  <c r="O54" i="202"/>
  <c r="K33" i="41"/>
  <c r="K34" i="41"/>
  <c r="K27" i="41"/>
  <c r="K4" i="41" l="1"/>
  <c r="H49" i="41"/>
  <c r="H50" i="41" s="1"/>
  <c r="H48" i="41"/>
  <c r="H44" i="41"/>
  <c r="H45" i="41" s="1"/>
  <c r="H42" i="41"/>
  <c r="H43" i="41" s="1"/>
  <c r="H39" i="41"/>
  <c r="H38" i="41"/>
  <c r="H36" i="41"/>
  <c r="H37" i="41" s="1"/>
  <c r="H28" i="41"/>
  <c r="H29" i="41"/>
  <c r="H30" i="41"/>
  <c r="H31" i="41"/>
  <c r="H32" i="41"/>
  <c r="H33" i="41"/>
  <c r="H34" i="41"/>
  <c r="H27" i="41"/>
  <c r="H25" i="41"/>
  <c r="H22" i="41"/>
  <c r="H23" i="41"/>
  <c r="H21" i="41"/>
  <c r="H20" i="41"/>
  <c r="H18" i="41"/>
  <c r="H19" i="41" s="1"/>
  <c r="H17" i="41"/>
  <c r="H12" i="41"/>
  <c r="H13" i="41"/>
  <c r="H14" i="41"/>
  <c r="H11" i="41"/>
  <c r="H5" i="41"/>
  <c r="H6" i="41"/>
  <c r="H7" i="41"/>
  <c r="H8" i="41"/>
  <c r="H9" i="41"/>
  <c r="H4" i="41"/>
  <c r="G50" i="41"/>
  <c r="G47" i="41"/>
  <c r="G45" i="41"/>
  <c r="G51" i="41" s="1"/>
  <c r="G43" i="41"/>
  <c r="G40" i="41"/>
  <c r="G37" i="41"/>
  <c r="G35" i="41"/>
  <c r="G24" i="41"/>
  <c r="G26" i="41" s="1"/>
  <c r="G19" i="41"/>
  <c r="G15" i="41"/>
  <c r="G16" i="41" s="1"/>
  <c r="G10" i="41"/>
  <c r="H40" i="41" l="1"/>
  <c r="H15" i="41"/>
  <c r="H24" i="41"/>
  <c r="H26" i="41" s="1"/>
  <c r="H10" i="41"/>
  <c r="H16" i="41" s="1"/>
  <c r="H35" i="41"/>
  <c r="G41" i="41"/>
  <c r="G52" i="41" s="1"/>
  <c r="F10" i="41"/>
  <c r="E10" i="41"/>
  <c r="K6" i="41"/>
  <c r="H41" i="41" l="1"/>
  <c r="E16" i="198"/>
  <c r="E17" i="198" s="1"/>
  <c r="H16" i="198"/>
  <c r="L42" i="194" l="1"/>
  <c r="K42" i="194"/>
  <c r="H21" i="194" l="1"/>
  <c r="H9" i="194" s="1"/>
  <c r="H55" i="194"/>
  <c r="H53" i="194"/>
  <c r="H57" i="194" s="1"/>
  <c r="H46" i="194"/>
  <c r="H40" i="194"/>
  <c r="H27" i="194"/>
  <c r="H24" i="194"/>
  <c r="H6" i="194"/>
  <c r="H23" i="194" l="1"/>
  <c r="H37" i="194" s="1"/>
  <c r="H39" i="194"/>
  <c r="H51" i="194" s="1"/>
  <c r="G43" i="190"/>
  <c r="G24" i="190"/>
  <c r="H58" i="194" l="1"/>
  <c r="G35" i="190"/>
  <c r="G36" i="190"/>
  <c r="G37" i="190"/>
  <c r="G38" i="190"/>
  <c r="G39" i="190"/>
  <c r="G34" i="190"/>
  <c r="G20" i="190" l="1"/>
  <c r="G16" i="190"/>
  <c r="G17" i="190"/>
  <c r="G18" i="190"/>
  <c r="G15" i="190"/>
  <c r="G13" i="190"/>
  <c r="G11" i="190"/>
  <c r="E42" i="190" l="1"/>
  <c r="E44" i="190" s="1"/>
  <c r="E33" i="190"/>
  <c r="E29" i="190"/>
  <c r="E40" i="190" s="1"/>
  <c r="E45" i="190" s="1"/>
  <c r="E31" i="190"/>
  <c r="E23" i="190"/>
  <c r="E25" i="190" s="1"/>
  <c r="E19" i="190"/>
  <c r="E14" i="190"/>
  <c r="E12" i="190"/>
  <c r="E10" i="190"/>
  <c r="E21" i="190" s="1"/>
  <c r="E26" i="190" s="1"/>
  <c r="E7" i="190"/>
  <c r="E46" i="190" l="1"/>
  <c r="D24" i="196" l="1"/>
  <c r="G24" i="196"/>
  <c r="H24" i="196"/>
  <c r="M7" i="197" l="1"/>
  <c r="K32" i="197" l="1"/>
  <c r="K19" i="197"/>
  <c r="K33" i="197" s="1"/>
  <c r="K35" i="197" s="1"/>
  <c r="D32" i="197"/>
  <c r="D19" i="197"/>
  <c r="K27" i="196"/>
  <c r="M14" i="196"/>
  <c r="M15" i="196"/>
  <c r="M16" i="196"/>
  <c r="M17" i="196"/>
  <c r="D33" i="197" l="1"/>
  <c r="D35" i="197" s="1"/>
  <c r="K18" i="196"/>
  <c r="K28" i="196" s="1"/>
  <c r="K30" i="196" s="1"/>
  <c r="D27" i="196"/>
  <c r="D18" i="196"/>
  <c r="K31" i="196" s="1"/>
  <c r="F21" i="201"/>
  <c r="J21" i="201"/>
  <c r="M21" i="201"/>
  <c r="N21" i="201"/>
  <c r="P21" i="201"/>
  <c r="Q21" i="201"/>
  <c r="D28" i="196" l="1"/>
  <c r="D30" i="196" s="1"/>
  <c r="N32" i="201"/>
  <c r="N28" i="201"/>
  <c r="N16" i="201"/>
  <c r="N8" i="201"/>
  <c r="J32" i="201"/>
  <c r="J28" i="201"/>
  <c r="J16" i="201"/>
  <c r="J8" i="201"/>
  <c r="F32" i="201"/>
  <c r="F28" i="201"/>
  <c r="F16" i="201"/>
  <c r="F8" i="201"/>
  <c r="F29" i="201" l="1"/>
  <c r="F33" i="201" s="1"/>
  <c r="J29" i="201"/>
  <c r="J33" i="201" s="1"/>
  <c r="N29" i="201"/>
  <c r="N33" i="201" s="1"/>
  <c r="F18" i="5"/>
  <c r="E18" i="5"/>
  <c r="F29" i="5" l="1"/>
  <c r="F25" i="5"/>
  <c r="F13" i="5"/>
  <c r="F6" i="5"/>
  <c r="F26" i="5" s="1"/>
  <c r="F30" i="5" s="1"/>
  <c r="J52" i="202" l="1"/>
  <c r="J49" i="202"/>
  <c r="J47" i="202"/>
  <c r="J45" i="202"/>
  <c r="J53" i="202" l="1"/>
  <c r="J42" i="202"/>
  <c r="J39" i="202"/>
  <c r="J37" i="202" l="1"/>
  <c r="J26" i="202"/>
  <c r="J28" i="202" s="1"/>
  <c r="F21" i="202" l="1"/>
  <c r="I21" i="202"/>
  <c r="J21" i="202"/>
  <c r="L21" i="202"/>
  <c r="M21" i="202"/>
  <c r="P21" i="202"/>
  <c r="Q21" i="202"/>
  <c r="E21" i="202"/>
  <c r="N17" i="202"/>
  <c r="J17" i="202"/>
  <c r="Q12" i="202"/>
  <c r="P12" i="202"/>
  <c r="N12" i="202"/>
  <c r="M12" i="202"/>
  <c r="L12" i="202"/>
  <c r="J12" i="202"/>
  <c r="I12" i="202"/>
  <c r="F12" i="202"/>
  <c r="N18" i="202" l="1"/>
  <c r="J18" i="202"/>
  <c r="J43" i="202" s="1"/>
  <c r="J54" i="202" s="1"/>
  <c r="F52" i="202"/>
  <c r="F49" i="202"/>
  <c r="F47" i="202"/>
  <c r="F45" i="202"/>
  <c r="F39" i="202"/>
  <c r="F37" i="202"/>
  <c r="F27" i="202"/>
  <c r="F26" i="202"/>
  <c r="F22" i="202"/>
  <c r="F17" i="202"/>
  <c r="N19" i="202" l="1"/>
  <c r="N20" i="202" s="1"/>
  <c r="F53" i="202"/>
  <c r="F18" i="202"/>
  <c r="F28" i="202"/>
  <c r="K48" i="41"/>
  <c r="K29" i="41"/>
  <c r="K25" i="41"/>
  <c r="F19" i="41"/>
  <c r="I19" i="41"/>
  <c r="J19" i="41"/>
  <c r="E19" i="41"/>
  <c r="K17" i="41"/>
  <c r="K18" i="41"/>
  <c r="N21" i="202" l="1"/>
  <c r="F43" i="202"/>
  <c r="F54" i="202" s="1"/>
  <c r="K19" i="41"/>
  <c r="K9" i="41"/>
  <c r="J10" i="41"/>
  <c r="I10" i="41"/>
  <c r="N22" i="202" l="1"/>
  <c r="F50" i="41"/>
  <c r="F47" i="41"/>
  <c r="F45" i="41"/>
  <c r="F43" i="41"/>
  <c r="F40" i="41"/>
  <c r="F37" i="41"/>
  <c r="F35" i="41"/>
  <c r="F24" i="41"/>
  <c r="F26" i="41" s="1"/>
  <c r="F15" i="41"/>
  <c r="F16" i="41" s="1"/>
  <c r="N28" i="202" l="1"/>
  <c r="N23" i="202"/>
  <c r="N24" i="202"/>
  <c r="F51" i="41"/>
  <c r="F41" i="41"/>
  <c r="K27" i="5"/>
  <c r="K20" i="5"/>
  <c r="K21" i="5"/>
  <c r="K22" i="5"/>
  <c r="K24" i="5"/>
  <c r="K16" i="5"/>
  <c r="K17" i="5"/>
  <c r="K14" i="5"/>
  <c r="K15" i="5"/>
  <c r="K9" i="5"/>
  <c r="K10" i="5"/>
  <c r="K12" i="5"/>
  <c r="K8" i="5"/>
  <c r="K7" i="5"/>
  <c r="K5" i="5"/>
  <c r="K4" i="5"/>
  <c r="N25" i="202" l="1"/>
  <c r="N29" i="202" s="1"/>
  <c r="F52" i="41"/>
  <c r="N30" i="202"/>
  <c r="N32" i="202" s="1"/>
  <c r="N31" i="202"/>
  <c r="K46" i="41"/>
  <c r="K7" i="41"/>
  <c r="K8" i="41"/>
  <c r="K12" i="41"/>
  <c r="K13" i="41"/>
  <c r="K14" i="41"/>
  <c r="K20" i="41"/>
  <c r="K21" i="41"/>
  <c r="K28" i="41"/>
  <c r="K30" i="41"/>
  <c r="K31" i="41"/>
  <c r="K39" i="41"/>
  <c r="N33" i="202" l="1"/>
  <c r="N34" i="202"/>
  <c r="H17" i="198"/>
  <c r="I17" i="198"/>
  <c r="N35" i="202" l="1"/>
  <c r="N36" i="202"/>
  <c r="K55" i="194"/>
  <c r="L55" i="194"/>
  <c r="G55" i="194"/>
  <c r="J55" i="194"/>
  <c r="K53" i="194"/>
  <c r="K57" i="194" s="1"/>
  <c r="L53" i="194"/>
  <c r="G53" i="194"/>
  <c r="J53" i="194"/>
  <c r="J57" i="194" l="1"/>
  <c r="N37" i="202"/>
  <c r="L57" i="194"/>
  <c r="G57" i="194"/>
  <c r="N38" i="202" l="1"/>
  <c r="N39" i="202" s="1"/>
  <c r="J21" i="194"/>
  <c r="K21" i="194"/>
  <c r="L21" i="194"/>
  <c r="N40" i="202" l="1"/>
  <c r="N41" i="202"/>
  <c r="K27" i="194"/>
  <c r="L27" i="194"/>
  <c r="N42" i="202" l="1"/>
  <c r="J27" i="194"/>
  <c r="J23" i="194" s="1"/>
  <c r="N43" i="202" l="1"/>
  <c r="N44" i="202" s="1"/>
  <c r="K24" i="194"/>
  <c r="K23" i="194" s="1"/>
  <c r="L24" i="194"/>
  <c r="L23" i="194" s="1"/>
  <c r="J46" i="194"/>
  <c r="K46" i="194"/>
  <c r="L46" i="194"/>
  <c r="J40" i="194"/>
  <c r="K40" i="194"/>
  <c r="L40" i="194"/>
  <c r="K9" i="194"/>
  <c r="L9" i="194"/>
  <c r="K6" i="194"/>
  <c r="L6" i="194"/>
  <c r="N45" i="202" l="1"/>
  <c r="N46" i="202" s="1"/>
  <c r="L37" i="194"/>
  <c r="J6" i="194"/>
  <c r="K37" i="194"/>
  <c r="L39" i="194"/>
  <c r="K39" i="194"/>
  <c r="J39" i="194"/>
  <c r="N47" i="202" l="1"/>
  <c r="L51" i="194"/>
  <c r="L58" i="194" s="1"/>
  <c r="K51" i="194"/>
  <c r="K58" i="194" s="1"/>
  <c r="H42" i="190"/>
  <c r="G12" i="190"/>
  <c r="H12" i="190"/>
  <c r="I12" i="190"/>
  <c r="D12" i="190"/>
  <c r="N48" i="202" l="1"/>
  <c r="G42" i="190"/>
  <c r="N49" i="202" l="1"/>
  <c r="N50" i="202" s="1"/>
  <c r="H23" i="190"/>
  <c r="I23" i="190"/>
  <c r="N51" i="202" l="1"/>
  <c r="N52" i="202" s="1"/>
  <c r="N53" i="202" s="1"/>
  <c r="N54" i="202" s="1"/>
  <c r="I42" i="190"/>
  <c r="I44" i="190" s="1"/>
  <c r="G44" i="190"/>
  <c r="H44" i="190"/>
  <c r="G33" i="190"/>
  <c r="H33" i="190"/>
  <c r="I33" i="190"/>
  <c r="G31" i="190"/>
  <c r="H31" i="190"/>
  <c r="I31" i="190"/>
  <c r="I29" i="190"/>
  <c r="G29" i="190"/>
  <c r="H29" i="190"/>
  <c r="G23" i="190"/>
  <c r="G25" i="190" s="1"/>
  <c r="H25" i="190"/>
  <c r="I25" i="190"/>
  <c r="G19" i="190"/>
  <c r="H19" i="190"/>
  <c r="I19" i="190"/>
  <c r="G14" i="190"/>
  <c r="H14" i="190"/>
  <c r="I14" i="190"/>
  <c r="G10" i="190"/>
  <c r="H10" i="190"/>
  <c r="H21" i="190" s="1"/>
  <c r="I10" i="190"/>
  <c r="H7" i="190"/>
  <c r="I7" i="190"/>
  <c r="I21" i="190" l="1"/>
  <c r="G21" i="190"/>
  <c r="I40" i="190"/>
  <c r="I45" i="190" s="1"/>
  <c r="I26" i="190"/>
  <c r="G26" i="190"/>
  <c r="H26" i="190"/>
  <c r="H40" i="190"/>
  <c r="H45" i="190" s="1"/>
  <c r="G40" i="190"/>
  <c r="G45" i="190" s="1"/>
  <c r="G46" i="190" l="1"/>
  <c r="I46" i="190"/>
  <c r="H46" i="190"/>
  <c r="G19" i="197"/>
  <c r="H19" i="197"/>
  <c r="F19" i="197"/>
  <c r="G20" i="197" l="1"/>
  <c r="G32" i="197" s="1"/>
  <c r="G33" i="197" s="1"/>
  <c r="G35" i="197" s="1"/>
  <c r="H20" i="197"/>
  <c r="H32" i="197" s="1"/>
  <c r="H33" i="197" s="1"/>
  <c r="H35" i="197" s="1"/>
  <c r="N19" i="197"/>
  <c r="N36" i="197" s="1"/>
  <c r="O19" i="197"/>
  <c r="O33" i="197" s="1"/>
  <c r="O35" i="197" s="1"/>
  <c r="G36" i="197" l="1"/>
  <c r="H36" i="197"/>
  <c r="O36" i="197"/>
  <c r="N33" i="197"/>
  <c r="N35" i="197" s="1"/>
  <c r="H37" i="197"/>
  <c r="O37" i="197"/>
  <c r="N37" i="197" l="1"/>
  <c r="G37" i="197"/>
  <c r="N27" i="196"/>
  <c r="O27" i="196"/>
  <c r="N18" i="196"/>
  <c r="O18" i="196"/>
  <c r="C20" i="196"/>
  <c r="F20" i="196" s="1"/>
  <c r="N28" i="196" l="1"/>
  <c r="N30" i="196" s="1"/>
  <c r="O28" i="196"/>
  <c r="O30" i="196" s="1"/>
  <c r="G19" i="196"/>
  <c r="G27" i="196" s="1"/>
  <c r="H19" i="196"/>
  <c r="H27" i="196" s="1"/>
  <c r="G18" i="196" l="1"/>
  <c r="G28" i="196" s="1"/>
  <c r="H18" i="196"/>
  <c r="H28" i="196" l="1"/>
  <c r="H30" i="196" s="1"/>
  <c r="O31" i="196"/>
  <c r="H32" i="196"/>
  <c r="H31" i="196"/>
  <c r="O32" i="196"/>
  <c r="G30" i="196"/>
  <c r="N32" i="196"/>
  <c r="N31" i="196"/>
  <c r="G32" i="196"/>
  <c r="G31" i="196"/>
  <c r="Q32" i="201"/>
  <c r="I32" i="201"/>
  <c r="L32" i="201"/>
  <c r="M32" i="201"/>
  <c r="P32" i="201"/>
  <c r="M28" i="201"/>
  <c r="P28" i="201"/>
  <c r="Q28" i="201"/>
  <c r="L16" i="201"/>
  <c r="I16" i="201"/>
  <c r="M16" i="201"/>
  <c r="P16" i="201"/>
  <c r="Q16" i="201"/>
  <c r="I8" i="201"/>
  <c r="L8" i="201"/>
  <c r="M8" i="201"/>
  <c r="P8" i="201"/>
  <c r="Q8" i="201"/>
  <c r="Q29" i="201" l="1"/>
  <c r="Q33" i="201" s="1"/>
  <c r="P29" i="201"/>
  <c r="M29" i="201"/>
  <c r="M33" i="201" s="1"/>
  <c r="P33" i="201"/>
  <c r="I29" i="5"/>
  <c r="J29" i="5"/>
  <c r="K29" i="5" l="1"/>
  <c r="I25" i="5"/>
  <c r="J25" i="5"/>
  <c r="K25" i="5" l="1"/>
  <c r="I13" i="5" l="1"/>
  <c r="J13" i="5"/>
  <c r="I6" i="5"/>
  <c r="J6" i="5"/>
  <c r="J26" i="5" l="1"/>
  <c r="I26" i="5"/>
  <c r="I30" i="5" s="1"/>
  <c r="K13" i="5"/>
  <c r="K6" i="5"/>
  <c r="K18" i="5"/>
  <c r="K26" i="5" l="1"/>
  <c r="J30" i="5"/>
  <c r="K30" i="5" s="1"/>
  <c r="I52" i="202"/>
  <c r="L52" i="202"/>
  <c r="M52" i="202"/>
  <c r="P52" i="202"/>
  <c r="Q52" i="202"/>
  <c r="I49" i="202"/>
  <c r="L49" i="202"/>
  <c r="M49" i="202"/>
  <c r="P49" i="202"/>
  <c r="Q49" i="202"/>
  <c r="I47" i="202"/>
  <c r="L47" i="202"/>
  <c r="M47" i="202"/>
  <c r="P47" i="202"/>
  <c r="Q47" i="202"/>
  <c r="I45" i="202"/>
  <c r="L45" i="202"/>
  <c r="M45" i="202"/>
  <c r="P45" i="202"/>
  <c r="Q45" i="202"/>
  <c r="I42" i="202"/>
  <c r="L42" i="202"/>
  <c r="M42" i="202"/>
  <c r="P42" i="202"/>
  <c r="Q42" i="202"/>
  <c r="I39" i="202"/>
  <c r="L39" i="202"/>
  <c r="M39" i="202"/>
  <c r="P39" i="202"/>
  <c r="Q39" i="202"/>
  <c r="Q37" i="202"/>
  <c r="M37" i="202"/>
  <c r="P37" i="202"/>
  <c r="I26" i="202"/>
  <c r="I28" i="202" s="1"/>
  <c r="L28" i="202"/>
  <c r="M26" i="202"/>
  <c r="M28" i="202" s="1"/>
  <c r="P26" i="202"/>
  <c r="P28" i="202" s="1"/>
  <c r="Q26" i="202"/>
  <c r="Q28" i="202" s="1"/>
  <c r="I17" i="202"/>
  <c r="L17" i="202"/>
  <c r="M17" i="202"/>
  <c r="P17" i="202"/>
  <c r="P18" i="202" s="1"/>
  <c r="Q17" i="202"/>
  <c r="L18" i="202"/>
  <c r="J37" i="41"/>
  <c r="I37" i="41"/>
  <c r="I50" i="41"/>
  <c r="J50" i="41"/>
  <c r="I47" i="41"/>
  <c r="J47" i="41"/>
  <c r="I45" i="41"/>
  <c r="J45" i="41"/>
  <c r="I43" i="41"/>
  <c r="J43" i="41"/>
  <c r="J40" i="41"/>
  <c r="I40" i="41"/>
  <c r="I35" i="41"/>
  <c r="J35" i="41"/>
  <c r="I24" i="41"/>
  <c r="I26" i="41" s="1"/>
  <c r="J24" i="41"/>
  <c r="I15" i="41"/>
  <c r="J15" i="41"/>
  <c r="L53" i="202" l="1"/>
  <c r="J51" i="41"/>
  <c r="Q53" i="202"/>
  <c r="I53" i="202"/>
  <c r="P53" i="202"/>
  <c r="M53" i="202"/>
  <c r="P43" i="202"/>
  <c r="P54" i="202" s="1"/>
  <c r="I51" i="41"/>
  <c r="M18" i="202"/>
  <c r="M43" i="202" s="1"/>
  <c r="Q18" i="202"/>
  <c r="Q43" i="202" s="1"/>
  <c r="I18" i="202"/>
  <c r="K35" i="41"/>
  <c r="K47" i="41"/>
  <c r="K10" i="41"/>
  <c r="K15" i="41"/>
  <c r="J26" i="41"/>
  <c r="K26" i="41" s="1"/>
  <c r="K24" i="41"/>
  <c r="K40" i="41"/>
  <c r="I16" i="41"/>
  <c r="I41" i="41" s="1"/>
  <c r="J16" i="41"/>
  <c r="Q54" i="202" l="1"/>
  <c r="M54" i="202"/>
  <c r="I52" i="41"/>
  <c r="J41" i="41"/>
  <c r="J52" i="41" s="1"/>
  <c r="K16" i="41"/>
  <c r="K51" i="41"/>
  <c r="E19" i="5"/>
  <c r="H19" i="5" s="1"/>
  <c r="H26" i="5" s="1"/>
  <c r="H30" i="5" s="1"/>
  <c r="E46" i="41"/>
  <c r="H46" i="41" s="1"/>
  <c r="H47" i="41" s="1"/>
  <c r="H51" i="41" s="1"/>
  <c r="H52" i="41" s="1"/>
  <c r="K41" i="41" l="1"/>
  <c r="K52" i="41"/>
  <c r="C21" i="197"/>
  <c r="E12" i="201"/>
  <c r="H12" i="201" s="1"/>
  <c r="F21" i="197" l="1"/>
  <c r="F20" i="197" s="1"/>
  <c r="F32" i="197" s="1"/>
  <c r="F33" i="197" s="1"/>
  <c r="F35" i="197" s="1"/>
  <c r="D12" i="198"/>
  <c r="D11" i="198"/>
  <c r="D9" i="198"/>
  <c r="G17" i="198" l="1"/>
  <c r="D16" i="198"/>
  <c r="G46" i="194"/>
  <c r="D42" i="190"/>
  <c r="D44" i="190" s="1"/>
  <c r="D8" i="190"/>
  <c r="J8" i="197"/>
  <c r="M8" i="197" s="1"/>
  <c r="J11" i="196"/>
  <c r="M11" i="196" s="1"/>
  <c r="C6" i="197"/>
  <c r="J11" i="197"/>
  <c r="M11" i="197" s="1"/>
  <c r="J18" i="197"/>
  <c r="M18" i="197" s="1"/>
  <c r="J6" i="197"/>
  <c r="M6" i="197" s="1"/>
  <c r="J26" i="196"/>
  <c r="M26" i="196" s="1"/>
  <c r="M27" i="196" s="1"/>
  <c r="J9" i="196"/>
  <c r="M9" i="196" s="1"/>
  <c r="J7" i="196"/>
  <c r="M7" i="196" s="1"/>
  <c r="C22" i="196"/>
  <c r="I20" i="201"/>
  <c r="E31" i="201"/>
  <c r="H31" i="201" s="1"/>
  <c r="E30" i="201"/>
  <c r="H30" i="201" s="1"/>
  <c r="H32" i="201" s="1"/>
  <c r="I27" i="201"/>
  <c r="I26" i="201"/>
  <c r="E24" i="201"/>
  <c r="H24" i="201" s="1"/>
  <c r="E23" i="201"/>
  <c r="H23" i="201" s="1"/>
  <c r="E22" i="201"/>
  <c r="H22" i="201" s="1"/>
  <c r="E19" i="201"/>
  <c r="H19" i="201" s="1"/>
  <c r="H21" i="201" s="1"/>
  <c r="E18" i="201"/>
  <c r="H18" i="201" s="1"/>
  <c r="E17" i="201"/>
  <c r="H17" i="201" s="1"/>
  <c r="E15" i="201"/>
  <c r="H15" i="201" s="1"/>
  <c r="E14" i="201"/>
  <c r="H14" i="201" s="1"/>
  <c r="E11" i="201"/>
  <c r="H11" i="201" s="1"/>
  <c r="E10" i="201"/>
  <c r="H10" i="201" s="1"/>
  <c r="E9" i="201"/>
  <c r="H9" i="201" s="1"/>
  <c r="E7" i="201"/>
  <c r="H7" i="201" s="1"/>
  <c r="H8" i="201" s="1"/>
  <c r="E6" i="201"/>
  <c r="H6" i="201" s="1"/>
  <c r="E51" i="202"/>
  <c r="E48" i="202"/>
  <c r="H48" i="202" s="1"/>
  <c r="H49" i="202" s="1"/>
  <c r="H53" i="202" s="1"/>
  <c r="E46" i="202"/>
  <c r="E44" i="202"/>
  <c r="E41" i="202"/>
  <c r="H41" i="202" s="1"/>
  <c r="H42" i="202" s="1"/>
  <c r="E40" i="202"/>
  <c r="E38" i="202"/>
  <c r="E36" i="202"/>
  <c r="H36" i="202" s="1"/>
  <c r="E35" i="202"/>
  <c r="H35" i="202" s="1"/>
  <c r="E34" i="202"/>
  <c r="H34" i="202" s="1"/>
  <c r="E33" i="202"/>
  <c r="H33" i="202" s="1"/>
  <c r="E32" i="202"/>
  <c r="H32" i="202" s="1"/>
  <c r="I30" i="202"/>
  <c r="I29" i="202"/>
  <c r="L29" i="202" s="1"/>
  <c r="E25" i="202"/>
  <c r="H25" i="202" s="1"/>
  <c r="E27" i="202"/>
  <c r="H27" i="202" s="1"/>
  <c r="E24" i="202"/>
  <c r="H24" i="202" s="1"/>
  <c r="E23" i="202"/>
  <c r="H23" i="202" s="1"/>
  <c r="E22" i="202"/>
  <c r="H22" i="202" s="1"/>
  <c r="E15" i="202"/>
  <c r="H15" i="202" s="1"/>
  <c r="E16" i="202"/>
  <c r="H16" i="202" s="1"/>
  <c r="E14" i="202"/>
  <c r="H14" i="202" s="1"/>
  <c r="E13" i="202"/>
  <c r="H13" i="202" s="1"/>
  <c r="H17" i="202" s="1"/>
  <c r="E10" i="202"/>
  <c r="H10" i="202" s="1"/>
  <c r="E7" i="202"/>
  <c r="H7" i="202" s="1"/>
  <c r="E6" i="202"/>
  <c r="H6" i="202" s="1"/>
  <c r="H12" i="202" s="1"/>
  <c r="E15" i="41"/>
  <c r="E24" i="41"/>
  <c r="E35" i="41"/>
  <c r="E37" i="41"/>
  <c r="E40" i="41"/>
  <c r="E43" i="41"/>
  <c r="E45" i="41"/>
  <c r="E47" i="41"/>
  <c r="E50" i="41"/>
  <c r="H26" i="202" l="1"/>
  <c r="C19" i="196"/>
  <c r="F22" i="196"/>
  <c r="F27" i="196" s="1"/>
  <c r="M19" i="197"/>
  <c r="M33" i="197" s="1"/>
  <c r="M35" i="197" s="1"/>
  <c r="H28" i="202"/>
  <c r="E51" i="41"/>
  <c r="L30" i="202"/>
  <c r="L37" i="202" s="1"/>
  <c r="L43" i="202" s="1"/>
  <c r="L54" i="202" s="1"/>
  <c r="H16" i="201"/>
  <c r="H29" i="201"/>
  <c r="H33" i="201" s="1"/>
  <c r="H18" i="202"/>
  <c r="H37" i="202"/>
  <c r="L20" i="201"/>
  <c r="L21" i="201" s="1"/>
  <c r="I21" i="201"/>
  <c r="L27" i="201"/>
  <c r="L28" i="201" s="1"/>
  <c r="E21" i="201"/>
  <c r="J9" i="197"/>
  <c r="M9" i="197" s="1"/>
  <c r="I28" i="201"/>
  <c r="I37" i="202"/>
  <c r="C7" i="196"/>
  <c r="F7" i="196" s="1"/>
  <c r="C9" i="196"/>
  <c r="F9" i="196" s="1"/>
  <c r="C10" i="196"/>
  <c r="F10" i="196" s="1"/>
  <c r="E26" i="41"/>
  <c r="E26" i="202"/>
  <c r="D17" i="198"/>
  <c r="E16" i="41"/>
  <c r="H43" i="202" l="1"/>
  <c r="H54" i="202" s="1"/>
  <c r="I29" i="201"/>
  <c r="I33" i="201" s="1"/>
  <c r="L29" i="201"/>
  <c r="L33" i="201" s="1"/>
  <c r="E41" i="41"/>
  <c r="I43" i="202"/>
  <c r="I54" i="202" s="1"/>
  <c r="C6" i="196"/>
  <c r="F6" i="196" s="1"/>
  <c r="E32" i="201"/>
  <c r="E28" i="201"/>
  <c r="E16" i="201"/>
  <c r="E8" i="201"/>
  <c r="E52" i="202"/>
  <c r="E49" i="202"/>
  <c r="E47" i="202"/>
  <c r="E45" i="202"/>
  <c r="E42" i="202"/>
  <c r="E39" i="202"/>
  <c r="E37" i="202"/>
  <c r="E28" i="202"/>
  <c r="E17" i="202"/>
  <c r="E12" i="202"/>
  <c r="E29" i="201" l="1"/>
  <c r="E53" i="202"/>
  <c r="F18" i="196"/>
  <c r="F28" i="196" s="1"/>
  <c r="E52" i="41"/>
  <c r="E33" i="201"/>
  <c r="E18" i="202"/>
  <c r="E43" i="202" s="1"/>
  <c r="F30" i="196" l="1"/>
  <c r="E54" i="202"/>
  <c r="G42" i="194"/>
  <c r="G27" i="194"/>
  <c r="J10" i="196" l="1"/>
  <c r="M10" i="196" s="1"/>
  <c r="E6" i="5"/>
  <c r="E13" i="5"/>
  <c r="E25" i="5"/>
  <c r="E29" i="5"/>
  <c r="C20" i="197"/>
  <c r="J32" i="197"/>
  <c r="C26" i="197"/>
  <c r="C24" i="196"/>
  <c r="C23" i="195"/>
  <c r="G6" i="194"/>
  <c r="G12" i="194"/>
  <c r="J12" i="194" s="1"/>
  <c r="G24" i="194"/>
  <c r="G40" i="194"/>
  <c r="G50" i="194" s="1"/>
  <c r="J50" i="194" s="1"/>
  <c r="J51" i="194" s="1"/>
  <c r="D29" i="190"/>
  <c r="D31" i="190"/>
  <c r="D10" i="190"/>
  <c r="D14" i="190"/>
  <c r="D19" i="190"/>
  <c r="D23" i="190"/>
  <c r="D25" i="190" s="1"/>
  <c r="D7" i="190"/>
  <c r="E26" i="5" l="1"/>
  <c r="J9" i="194"/>
  <c r="G9" i="194"/>
  <c r="F36" i="197"/>
  <c r="M36" i="197"/>
  <c r="J8" i="196"/>
  <c r="M8" i="196" s="1"/>
  <c r="J6" i="196"/>
  <c r="M6" i="196" s="1"/>
  <c r="M18" i="196" s="1"/>
  <c r="M28" i="196" s="1"/>
  <c r="M30" i="196" s="1"/>
  <c r="J27" i="196"/>
  <c r="C32" i="197"/>
  <c r="J19" i="197"/>
  <c r="J33" i="197" s="1"/>
  <c r="J35" i="197" s="1"/>
  <c r="G39" i="194"/>
  <c r="G51" i="194" s="1"/>
  <c r="G23" i="194"/>
  <c r="C27" i="196"/>
  <c r="D21" i="190"/>
  <c r="D26" i="190" s="1"/>
  <c r="M31" i="196" l="1"/>
  <c r="F37" i="197"/>
  <c r="M37" i="197"/>
  <c r="G36" i="194"/>
  <c r="J36" i="194" s="1"/>
  <c r="C19" i="197"/>
  <c r="C36" i="197" s="1"/>
  <c r="J18" i="196"/>
  <c r="J28" i="196" s="1"/>
  <c r="J30" i="196" s="1"/>
  <c r="C18" i="196"/>
  <c r="C32" i="196" s="1"/>
  <c r="G37" i="194" l="1"/>
  <c r="G58" i="194" s="1"/>
  <c r="J37" i="194"/>
  <c r="J58" i="194" s="1"/>
  <c r="F31" i="196"/>
  <c r="C28" i="196"/>
  <c r="C30" i="196" s="1"/>
  <c r="C37" i="197"/>
  <c r="J37" i="197"/>
  <c r="J36" i="197"/>
  <c r="C33" i="197"/>
  <c r="C35" i="197" s="1"/>
  <c r="J32" i="196"/>
  <c r="C31" i="196"/>
  <c r="J31" i="196"/>
  <c r="E30" i="5"/>
  <c r="M32" i="196" l="1"/>
  <c r="F32" i="196"/>
  <c r="D33" i="190"/>
  <c r="D40" i="190" s="1"/>
  <c r="D45" i="190" s="1"/>
  <c r="D46" i="190" s="1"/>
</calcChain>
</file>

<file path=xl/sharedStrings.xml><?xml version="1.0" encoding="utf-8"?>
<sst xmlns="http://schemas.openxmlformats.org/spreadsheetml/2006/main" count="954" uniqueCount="451">
  <si>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</si>
  <si>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</si>
  <si>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</si>
  <si>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</si>
  <si>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</si>
  <si>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</si>
  <si>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</si>
  <si>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</si>
  <si>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</si>
  <si>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</si>
  <si>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</si>
  <si>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</si>
  <si>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</si>
  <si>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</si>
  <si>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</si>
  <si>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</si>
  <si>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Vagyoni értékű jogok vásárlása</t>
  </si>
  <si>
    <t>Képzőművészeti alkotások vásárlása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</si>
  <si>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</si>
  <si>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</si>
  <si>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</si>
  <si>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</si>
  <si>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Egyéb gépek, berendezések és felszerelések vás.</t>
  </si>
  <si>
    <t>Hangszerek vásárlása</t>
  </si>
  <si>
    <t>11.</t>
  </si>
  <si>
    <t>12.</t>
  </si>
  <si>
    <t>14.</t>
  </si>
  <si>
    <t>17.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</si>
  <si>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</si>
  <si>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</si>
  <si>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</si>
  <si>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</si>
  <si>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</si>
  <si>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</si>
  <si>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</si>
  <si>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</si>
  <si>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</si>
  <si>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</si>
  <si>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</si>
  <si>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</si>
  <si>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</si>
  <si>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</si>
  <si>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</si>
  <si>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</si>
  <si>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</si>
  <si>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</si>
  <si>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</si>
  <si>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</si>
  <si>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</si>
  <si>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</si>
  <si>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</si>
  <si>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</si>
  <si>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</si>
  <si>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</si>
  <si>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</si>
  <si>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 xml:space="preserve">Polgárőr Egyesület           </t>
  </si>
  <si>
    <t>16.</t>
  </si>
  <si>
    <t>18.</t>
  </si>
  <si>
    <t>Vállalkozásoknak</t>
  </si>
  <si>
    <t>Győr M. J. Város jelzőrendszer</t>
  </si>
  <si>
    <t>Társulásnak és költségvetési szerveinek</t>
  </si>
  <si>
    <t>Irányítás (felügyelet) alá tartozó költségvetési szervnek folyósított támogatás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</si>
  <si>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</si>
  <si>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</si>
  <si>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</si>
  <si>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</si>
  <si>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</si>
  <si>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</si>
  <si>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K71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</si>
  <si>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</si>
  <si>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</si>
  <si>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</si>
  <si>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</si>
  <si>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</si>
  <si>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</si>
  <si>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Család és nővédelmi eü gondozás</t>
  </si>
  <si>
    <t>Foglalk. hosszabb idejű közfoglalkoztatása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</si>
  <si>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</si>
  <si>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</si>
  <si>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</si>
  <si>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</si>
  <si>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</si>
  <si>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</si>
  <si>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</si>
  <si>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</si>
  <si>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</si>
  <si>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</si>
  <si>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</si>
  <si>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</si>
  <si>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</si>
  <si>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</si>
  <si>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</si>
  <si>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</si>
  <si>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</si>
  <si>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</si>
  <si>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</si>
  <si>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</si>
  <si>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</si>
  <si>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</si>
  <si>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</si>
  <si>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</si>
  <si>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</si>
  <si>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</si>
  <si>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</si>
  <si>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</si>
  <si>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</si>
  <si>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</si>
  <si>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</si>
  <si>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</si>
  <si>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</si>
  <si>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</si>
  <si>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</si>
  <si>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</si>
  <si>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</si>
  <si>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</si>
  <si>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</si>
  <si>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</si>
  <si>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</si>
  <si>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</si>
  <si>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</si>
  <si>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</si>
  <si>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</si>
  <si>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</si>
  <si>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</si>
  <si>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</si>
  <si>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</si>
  <si>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</si>
  <si>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</si>
  <si>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</si>
  <si>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</si>
  <si>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</si>
  <si>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</si>
  <si>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</si>
  <si>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</si>
  <si>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</si>
  <si>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</si>
  <si>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</si>
  <si>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</si>
  <si>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</si>
  <si>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</si>
  <si>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</si>
  <si>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</si>
  <si>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</si>
  <si>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</si>
  <si>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</si>
  <si>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</si>
  <si>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</si>
  <si>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</si>
  <si>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</si>
  <si>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</si>
  <si>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</si>
  <si>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</si>
  <si>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</si>
  <si>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</si>
  <si>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</si>
  <si>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</si>
  <si>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</si>
  <si>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</si>
  <si>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</si>
  <si>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</si>
  <si>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</si>
  <si>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</si>
  <si>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</si>
  <si>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</si>
  <si>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</si>
  <si>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</si>
  <si>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</si>
  <si>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</si>
  <si>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</si>
  <si>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</si>
  <si>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</si>
  <si>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</si>
  <si>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</si>
  <si>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</si>
  <si>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</si>
  <si>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</si>
  <si>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</si>
  <si>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</si>
  <si>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</si>
  <si>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</si>
  <si>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</si>
  <si>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</si>
  <si>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</si>
  <si>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Pannon Kincse LEADER</t>
  </si>
  <si>
    <t>K63</t>
  </si>
  <si>
    <t xml:space="preserve">   Értékpapírok ért.bevétel </t>
  </si>
  <si>
    <t xml:space="preserve"> Ft-ban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</si>
  <si>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</si>
  <si>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</si>
  <si>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</si>
  <si>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</si>
  <si>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</si>
  <si>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</si>
  <si>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</si>
  <si>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</si>
  <si>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</si>
  <si>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</si>
  <si>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</si>
  <si>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</si>
  <si>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</si>
  <si>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</si>
  <si>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</si>
  <si>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</si>
  <si>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</si>
  <si>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</si>
  <si>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</si>
  <si>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</si>
  <si>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</si>
  <si>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</si>
  <si>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</si>
  <si>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</si>
  <si>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</si>
  <si>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</si>
  <si>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</si>
  <si>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</si>
  <si>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</si>
  <si>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</si>
  <si>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</si>
  <si>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</si>
  <si>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</si>
  <si>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</si>
  <si>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</si>
  <si>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</si>
  <si>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</si>
  <si>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</si>
  <si>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</si>
  <si>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</si>
  <si>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</si>
  <si>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</si>
  <si>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</si>
  <si>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</si>
  <si>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</si>
  <si>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</si>
  <si>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</si>
  <si>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</si>
  <si>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</si>
  <si>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</si>
  <si>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</si>
  <si>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</si>
  <si>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</si>
  <si>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</si>
  <si>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</si>
  <si>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</si>
  <si>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</si>
  <si>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</si>
  <si>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</si>
  <si>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</si>
  <si>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</si>
  <si>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</si>
  <si>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</si>
  <si>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</si>
  <si>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</si>
  <si>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</si>
  <si>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Díjak, pótlékok, települési adók</t>
  </si>
  <si>
    <t>Központi, irányító szervi támogatás</t>
  </si>
  <si>
    <t>Rovat</t>
  </si>
  <si>
    <t>B111</t>
  </si>
  <si>
    <t>B112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</si>
  <si>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</si>
  <si>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</si>
  <si>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</si>
  <si>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</si>
  <si>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</si>
  <si>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</si>
  <si>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</si>
  <si>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</si>
  <si>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</si>
  <si>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</si>
  <si>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</si>
  <si>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</si>
  <si>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</si>
  <si>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</si>
  <si>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</si>
  <si>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</si>
  <si>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</si>
  <si>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</si>
  <si>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</si>
  <si>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</si>
  <si>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</si>
  <si>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</si>
  <si>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</si>
  <si>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</si>
  <si>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</si>
  <si>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</si>
  <si>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</si>
  <si>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</si>
  <si>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</si>
  <si>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</si>
  <si>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</si>
  <si>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</si>
  <si>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</si>
  <si>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</si>
  <si>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</si>
  <si>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</si>
  <si>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</si>
  <si>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</si>
  <si>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</si>
  <si>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</si>
  <si>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</si>
  <si>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</si>
  <si>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</si>
  <si>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</si>
  <si>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</si>
  <si>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</si>
  <si>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</si>
  <si>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</si>
  <si>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</si>
  <si>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</si>
  <si>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</si>
  <si>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</si>
  <si>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</si>
  <si>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</si>
  <si>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Adósságot keletkeztető kötelezettségvállalásának felső határa (hitelképesség)</t>
  </si>
  <si>
    <t>Imm. javak, ingatlanok, egyéb tárgyi eszköz értékesítés</t>
  </si>
  <si>
    <t>Részesedések értékesítése és részes. megszűn. kapcs. bev.</t>
  </si>
  <si>
    <t>Privatizációból származó bevételek</t>
  </si>
  <si>
    <t>Garancia- és kezességváll.-ból szárm. megtérülések</t>
  </si>
  <si>
    <r>
      <rPr>
        <b/>
        <sz val="10"/>
        <rFont val="Times New Roman"/>
        <family val="1"/>
        <charset val="238"/>
      </rPr>
      <t>Saját bevételek</t>
    </r>
    <r>
      <rPr>
        <sz val="10"/>
        <rFont val="Times New Roman"/>
        <family val="1"/>
        <charset val="238"/>
      </rPr>
      <t xml:space="preserve"> (Adósságot keletkezt. éves köt. váll. felső határa)</t>
    </r>
    <r>
      <rPr>
        <b/>
        <sz val="10"/>
        <rFont val="Times New Roman"/>
        <family val="1"/>
        <charset val="238"/>
      </rPr>
      <t xml:space="preserve"> 50%</t>
    </r>
  </si>
  <si>
    <t xml:space="preserve">Müködési c. támogatásértékű bevétel áh-n belül </t>
  </si>
  <si>
    <t>Müködési c. támogatásértékű bevétel áh-n belül</t>
  </si>
  <si>
    <t>2020. évi előirányzat</t>
  </si>
  <si>
    <t>Arrabona EGTC 2020. évi tagdíj</t>
  </si>
  <si>
    <t xml:space="preserve">Abda  Önkorm.-nak </t>
  </si>
  <si>
    <t xml:space="preserve">Abda  Önkorm.-nak Közös Hivatal </t>
  </si>
  <si>
    <t>Ikrény SE támogatás</t>
  </si>
  <si>
    <t xml:space="preserve"> Horgász Egyesület</t>
  </si>
  <si>
    <t>Templomért Alapítvány</t>
  </si>
  <si>
    <t>ISK-DSK támogatás</t>
  </si>
  <si>
    <t>2. Egyéb felhalmozás célú pénzeszközátadások</t>
  </si>
  <si>
    <t>Egyéb felh.célú támogatások áh-n kívülre</t>
  </si>
  <si>
    <t>K89</t>
  </si>
  <si>
    <t>Felhalmozási célú pénzeszközátadások összesen</t>
  </si>
  <si>
    <t>K61</t>
  </si>
  <si>
    <t>2020. évi eredeti előirányzat</t>
  </si>
  <si>
    <t>Ingatlan felújítás</t>
  </si>
  <si>
    <t>Gyógyszertár hozzáépítés</t>
  </si>
  <si>
    <t>Informatikai eszközök beszerzése</t>
  </si>
  <si>
    <t xml:space="preserve">Inf. eszközök beszerzése </t>
  </si>
  <si>
    <t>Kültéri kamera+tartozékok</t>
  </si>
  <si>
    <t>Ingatlan vásárlása</t>
  </si>
  <si>
    <t>Tárgyi eszköz felújítás</t>
  </si>
  <si>
    <t>Felújítás célú előzetesen felszámított ÁFA</t>
  </si>
  <si>
    <t>Hivatal villanyóra bővítés</t>
  </si>
  <si>
    <t>Sport öltőző</t>
  </si>
  <si>
    <t>Beruházás célú előzetesen felszámított ÁFA</t>
  </si>
  <si>
    <t>K63-K64</t>
  </si>
  <si>
    <t>K73</t>
  </si>
  <si>
    <t>K67</t>
  </si>
  <si>
    <t>K74</t>
  </si>
  <si>
    <t>Könyvtári szolgáltatás</t>
  </si>
  <si>
    <t>2020. évi engedélyezett létszám</t>
  </si>
  <si>
    <t>Települési önkormányzatok egyes köznevelési feladatainak támogatása</t>
  </si>
  <si>
    <t>Települési önkormányzatok egyes köznevelési  feladatainak támogatása</t>
  </si>
  <si>
    <t>B5</t>
  </si>
  <si>
    <t>B52</t>
  </si>
  <si>
    <t>B812</t>
  </si>
  <si>
    <t>B813</t>
  </si>
  <si>
    <t>B8131</t>
  </si>
  <si>
    <t>K5</t>
  </si>
  <si>
    <t>Eredeti előirányzat</t>
  </si>
  <si>
    <t>Teljesítés</t>
  </si>
  <si>
    <t>Ei. mód. I.</t>
  </si>
  <si>
    <t>Módosított ei.</t>
  </si>
  <si>
    <t>Összesen</t>
  </si>
  <si>
    <t xml:space="preserve"> </t>
  </si>
  <si>
    <t xml:space="preserve">  </t>
  </si>
  <si>
    <t>Mód. ei.</t>
  </si>
  <si>
    <t>Abda Önkorm.-nak ködképzőgép besz. hozzájár.</t>
  </si>
  <si>
    <t>Győr Nagyt. Hulladékgazd. Önk. Társulás 2020. évi önrész</t>
  </si>
  <si>
    <t>Elkülönített állami pénzalapnak</t>
  </si>
  <si>
    <t>Nemzeti Foglalkoztatási Alap</t>
  </si>
  <si>
    <t>Ft-ban</t>
  </si>
  <si>
    <t>Egyéb felhalmozási célú tám. államháztartáson belülre</t>
  </si>
  <si>
    <t>Egyéb felhalmozási célú tám. államháztartáson kívülre</t>
  </si>
  <si>
    <t>Felhalmozási célú támogatások összesen</t>
  </si>
  <si>
    <t>Védőnői eszköz beszerzés (érintésmentes lázmérő)</t>
  </si>
  <si>
    <t>Óvoda kerítés</t>
  </si>
  <si>
    <t>K64</t>
  </si>
  <si>
    <t>K62</t>
  </si>
  <si>
    <t>MFP Óvoda játékok játszótér</t>
  </si>
  <si>
    <t>Győr Nagyt. Hulladékg. Önk. Társulás 2020. évi önrész</t>
  </si>
  <si>
    <t>Informatikai és egyéb tárgyi eszk. beszerz. összesen</t>
  </si>
  <si>
    <r>
      <t xml:space="preserve">Szellemi termékek vásárlása </t>
    </r>
    <r>
      <rPr>
        <sz val="10"/>
        <rFont val="Times New Roman"/>
        <family val="1"/>
        <charset val="238"/>
      </rPr>
      <t>(office csomag)</t>
    </r>
  </si>
  <si>
    <t>BURSA HUNGARICA</t>
  </si>
  <si>
    <t>Kötelezettség
jogcíme</t>
  </si>
  <si>
    <t>Kötelezettség- 
vállalás 
éve</t>
  </si>
  <si>
    <t>Összes vállalt kötelezettség</t>
  </si>
  <si>
    <t>Kötelezettség 2020.</t>
  </si>
  <si>
    <t>Kötelezettségek a következő években</t>
  </si>
  <si>
    <t>2021.</t>
  </si>
  <si>
    <t>2022.</t>
  </si>
  <si>
    <t>2023.</t>
  </si>
  <si>
    <t>2024. 
után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</si>
  <si>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</si>
  <si>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</si>
  <si>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</si>
  <si>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</si>
  <si>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</si>
  <si>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</si>
  <si>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</si>
  <si>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Beruházás célonként</t>
  </si>
  <si>
    <t>Egyéb</t>
  </si>
  <si>
    <t>Összesen (1+4+7+9+11)</t>
  </si>
  <si>
    <t xml:space="preserve"> Még fennálló kötelezettség</t>
  </si>
  <si>
    <t>% 2020.év Telj./Mód.</t>
  </si>
  <si>
    <t>%2020.év
Telj./Mód.</t>
  </si>
  <si>
    <t>Ei. mód. II.</t>
  </si>
  <si>
    <t>Működési célú költségvetési támogatások és kiegészítő támogatások</t>
  </si>
  <si>
    <t>B115</t>
  </si>
  <si>
    <t>B21</t>
  </si>
  <si>
    <t>Felhalmozási célú önkormányzati támogatások</t>
  </si>
  <si>
    <t>Egyéb felhalmozási célú támogatások bevételei államháztartáson belülről</t>
  </si>
  <si>
    <t>B25</t>
  </si>
  <si>
    <t>Felhalmozási célú támogatások áht-n belülről összesen</t>
  </si>
  <si>
    <t>B2</t>
  </si>
  <si>
    <t>B814</t>
  </si>
  <si>
    <t>Államháztartáson belüli megelőlegezések</t>
  </si>
  <si>
    <t>Egyéb felhalmozási célú átvett pénzeszközök</t>
  </si>
  <si>
    <t>Eredeti előirányzat, módosított előirányzat</t>
  </si>
  <si>
    <t>Kötelező feladatok</t>
  </si>
  <si>
    <t>Önként vállalt feladatok</t>
  </si>
  <si>
    <t>Egyéb felhalmozási célú átvett pénzeszköz</t>
  </si>
  <si>
    <t>-</t>
  </si>
  <si>
    <t xml:space="preserve">   4.-ből:  - Felhalmozási célú pe. átadás államháztartáson belül</t>
  </si>
  <si>
    <t>PÉNZESZKÖZÁTADÁSOK ÁH-N KÍVÜLRE ÖSSZESEN</t>
  </si>
  <si>
    <t>I.+II. KIADÁSOK MINDÖSSZESEN</t>
  </si>
  <si>
    <t>1. Működési célú támogatásértékű kiadások</t>
  </si>
  <si>
    <t>2. Felhalmozási célú támogatásértékű kiadások</t>
  </si>
  <si>
    <t>Abda  Önkorm.-nak óvoda 2019. évi elszámolás</t>
  </si>
  <si>
    <t>Vízhálózat kiépítés</t>
  </si>
  <si>
    <t>MFP Közterület karbantartást szolgáló eszközbesz.</t>
  </si>
  <si>
    <t>Telefonok, ledszalag, locsolótömlő, tömlőtartó kocsi, 2 db sátor, sarokcsiszoló, ventilátor, 2 db lázmérő</t>
  </si>
  <si>
    <t>BMÖFT járdafelújítás pályázat</t>
  </si>
  <si>
    <t>Sportpálya öltöző bővítés</t>
  </si>
  <si>
    <t>Települési önkormányzatok egyes szociális és gyermekjóléti feladatainak támogatása</t>
  </si>
  <si>
    <t>B1131</t>
  </si>
  <si>
    <t xml:space="preserve">Települési önkormányzatok gyermekétkeztetési feladatainak támogatása </t>
  </si>
  <si>
    <t>B1132</t>
  </si>
  <si>
    <t>Települési önkormányzatok gyermekétkeztetési feladatainak támogatása</t>
  </si>
  <si>
    <t>IKRÉNY KÖZSÉG ÖNKORMÁNYZATA 2020. IV. NEGYEDÉVI ELŐIRÁNYZAT MÓDOSÍTÁS</t>
  </si>
  <si>
    <t>IKRÉNY KÖZSÉG ÖNKORMÁNYZATA 2020. IV. NEGYEDÉVI ELŐIRÁNYZAT MÓDOSÍTÁS ÉS TELJESÍTÉS</t>
  </si>
  <si>
    <t>IKRÉNY KÖZSÉG ÖNKORMÁNYZATA 2020. IV. NEGYEDÉVI ELŐIRÁNYZAT MÓDOSÍTÁSA</t>
  </si>
  <si>
    <t>IKRÉNY KÖZSÉG ÖNKORMÁNYZATA 2020. IV. NEGYEDÉVI ELŐIRÁNYZAT MÓD. ÉS TELJ.</t>
  </si>
  <si>
    <t>Ei. mód. III.</t>
  </si>
  <si>
    <t>Vagyoni tipusú adók (építményadó, kommunális adó)</t>
  </si>
  <si>
    <t>Eredeti ei.</t>
  </si>
  <si>
    <t>Államigazgatási feladatok</t>
  </si>
  <si>
    <t>MFP Széchenyi utca aszfaltozás+saját rész</t>
  </si>
  <si>
    <t>MFP Elhagyott ingatlanok megvásárlása</t>
  </si>
  <si>
    <t>Adásvétel 202/2 hrsz., 186.hrsz. (Erdősor u.)</t>
  </si>
  <si>
    <t xml:space="preserve">  Államháztartáson belüli megelőlegezések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</si>
</sst>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9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Horizontal"/>
    </fill>
    <fill>
      <patternFill patternType="gray0625">
        <bgColor theme="0" tint="-0.249977111117893"/>
      </patternFill>
    </fill>
    <fill>
      <patternFill patternType="lightGray">
        <bgColor theme="0" tint="-0.249977111117893"/>
      </patternFill>
    </fill>
    <fill>
      <patternFill patternType="solid">
        <fgColor indexed="65"/>
        <bgColor indexed="64"/>
      </patternFill>
    </fill>
    <fill>
      <patternFill patternType="gray0625">
        <bgColor theme="0" tint="-0.24994659260841701"/>
      </patternFill>
    </fill>
    <fill>
      <patternFill patternType="lightGray">
        <bgColor theme="0" tint="-0.24994659260841701"/>
      </patternFill>
    </fill>
    <fill>
      <patternFill patternType="gray125">
        <bgColor theme="0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68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0" fontId="2" fillId="1" borderId="1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43" fontId="2" fillId="24" borderId="35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164" fontId="2" fillId="0" borderId="40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wrapText="1"/>
    </xf>
    <xf numFmtId="43" fontId="2" fillId="0" borderId="0" xfId="0" applyNumberFormat="1" applyFont="1" applyAlignment="1">
      <alignment vertical="center"/>
    </xf>
    <xf numFmtId="165" fontId="27" fillId="0" borderId="0" xfId="0" applyNumberFormat="1" applyFont="1" applyAlignment="1">
      <alignment horizontal="right" vertical="center"/>
    </xf>
    <xf numFmtId="165" fontId="29" fillId="0" borderId="27" xfId="0" applyNumberFormat="1" applyFont="1" applyBorder="1" applyAlignment="1">
      <alignment horizontal="centerContinuous" vertical="center" wrapText="1"/>
    </xf>
    <xf numFmtId="165" fontId="29" fillId="0" borderId="24" xfId="0" applyNumberFormat="1" applyFont="1" applyBorder="1" applyAlignment="1">
      <alignment horizontal="centerContinuous" vertical="center" wrapText="1"/>
    </xf>
    <xf numFmtId="165" fontId="29" fillId="0" borderId="15" xfId="0" applyNumberFormat="1" applyFont="1" applyBorder="1" applyAlignment="1">
      <alignment horizontal="centerContinuous" vertical="center" wrapText="1"/>
    </xf>
    <xf numFmtId="165" fontId="29" fillId="0" borderId="27" xfId="0" applyNumberFormat="1" applyFont="1" applyBorder="1" applyAlignment="1">
      <alignment horizontal="center" vertical="center" wrapText="1"/>
    </xf>
    <xf numFmtId="165" fontId="29" fillId="0" borderId="24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165" fontId="31" fillId="0" borderId="35" xfId="0" applyNumberFormat="1" applyFont="1" applyBorder="1" applyAlignment="1">
      <alignment horizontal="center" vertical="center" wrapText="1"/>
    </xf>
    <xf numFmtId="165" fontId="31" fillId="0" borderId="27" xfId="0" applyNumberFormat="1" applyFont="1" applyBorder="1" applyAlignment="1">
      <alignment horizontal="center" vertical="center" wrapText="1"/>
    </xf>
    <xf numFmtId="165" fontId="31" fillId="0" borderId="24" xfId="0" applyNumberFormat="1" applyFont="1" applyBorder="1" applyAlignment="1">
      <alignment horizontal="center" vertical="center" wrapText="1"/>
    </xf>
    <xf numFmtId="165" fontId="31" fillId="0" borderId="15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2" fillId="0" borderId="37" xfId="0" applyNumberFormat="1" applyFont="1" applyBorder="1" applyAlignment="1">
      <alignment horizontal="left" vertical="center" wrapText="1" indent="1"/>
    </xf>
    <xf numFmtId="165" fontId="32" fillId="0" borderId="10" xfId="0" applyNumberFormat="1" applyFont="1" applyBorder="1" applyAlignment="1">
      <alignment horizontal="left" vertical="center" wrapText="1" indent="1"/>
    </xf>
    <xf numFmtId="165" fontId="32" fillId="0" borderId="23" xfId="0" applyNumberFormat="1" applyFont="1" applyBorder="1" applyAlignment="1">
      <alignment horizontal="left" vertical="center" wrapText="1" indent="1"/>
    </xf>
    <xf numFmtId="165" fontId="32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2" fillId="0" borderId="44" xfId="0" applyNumberFormat="1" applyFont="1" applyBorder="1" applyAlignment="1" applyProtection="1">
      <alignment horizontal="left" vertical="center" wrapText="1" indent="1"/>
      <protection locked="0"/>
    </xf>
    <xf numFmtId="165" fontId="34" fillId="0" borderId="35" xfId="0" applyNumberFormat="1" applyFont="1" applyBorder="1" applyAlignment="1">
      <alignment horizontal="left" vertical="center" wrapText="1" indent="1"/>
    </xf>
    <xf numFmtId="165" fontId="31" fillId="0" borderId="27" xfId="0" applyNumberFormat="1" applyFont="1" applyBorder="1" applyAlignment="1">
      <alignment horizontal="left" vertical="center" wrapText="1" indent="1"/>
    </xf>
    <xf numFmtId="165" fontId="35" fillId="0" borderId="39" xfId="0" applyNumberFormat="1" applyFont="1" applyBorder="1" applyAlignment="1">
      <alignment horizontal="left" vertical="center" wrapText="1" indent="1"/>
    </xf>
    <xf numFmtId="165" fontId="33" fillId="0" borderId="46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>
      <alignment horizontal="left" vertical="center" wrapText="1" indent="1"/>
    </xf>
    <xf numFmtId="165" fontId="35" fillId="0" borderId="40" xfId="0" applyNumberFormat="1" applyFont="1" applyBorder="1" applyAlignment="1">
      <alignment horizontal="left" vertical="center" wrapText="1" indent="1"/>
    </xf>
    <xf numFmtId="165" fontId="28" fillId="0" borderId="27" xfId="0" applyNumberFormat="1" applyFont="1" applyBorder="1" applyAlignment="1">
      <alignment horizontal="left" vertical="center" wrapText="1" indent="1"/>
    </xf>
    <xf numFmtId="165" fontId="34" fillId="0" borderId="27" xfId="0" applyNumberFormat="1" applyFont="1" applyBorder="1" applyAlignment="1">
      <alignment horizontal="left" vertical="center" wrapText="1" indent="1"/>
    </xf>
    <xf numFmtId="165" fontId="32" fillId="0" borderId="10" xfId="0" quotePrefix="1" applyNumberFormat="1" applyFont="1" applyBorder="1" applyAlignment="1">
      <alignment horizontal="left" vertical="center" wrapText="1" indent="6"/>
    </xf>
    <xf numFmtId="165" fontId="33" fillId="0" borderId="10" xfId="0" quotePrefix="1" applyNumberFormat="1" applyFont="1" applyBorder="1" applyAlignment="1">
      <alignment horizontal="left" vertical="center" wrapText="1" indent="6"/>
    </xf>
    <xf numFmtId="165" fontId="32" fillId="0" borderId="10" xfId="0" quotePrefix="1" applyNumberFormat="1" applyFont="1" applyBorder="1" applyAlignment="1">
      <alignment horizontal="left" vertical="center" wrapText="1" indent="3"/>
    </xf>
    <xf numFmtId="165" fontId="32" fillId="0" borderId="46" xfId="0" applyNumberFormat="1" applyFont="1" applyBorder="1" applyAlignment="1">
      <alignment horizontal="left" vertical="center" wrapText="1" indent="1"/>
    </xf>
    <xf numFmtId="165" fontId="35" fillId="0" borderId="49" xfId="0" applyNumberFormat="1" applyFont="1" applyBorder="1" applyAlignment="1">
      <alignment horizontal="left" vertical="center" wrapText="1" indent="1"/>
    </xf>
    <xf numFmtId="165" fontId="36" fillId="0" borderId="46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>
      <alignment horizontal="left" vertical="center" wrapText="1" indent="2"/>
    </xf>
    <xf numFmtId="165" fontId="33" fillId="0" borderId="11" xfId="0" applyNumberFormat="1" applyFont="1" applyBorder="1" applyAlignment="1">
      <alignment horizontal="left" vertical="center" wrapText="1" indent="2"/>
    </xf>
    <xf numFmtId="165" fontId="36" fillId="0" borderId="11" xfId="0" applyNumberFormat="1" applyFont="1" applyBorder="1" applyAlignment="1">
      <alignment horizontal="left" vertical="center" wrapText="1" indent="1"/>
    </xf>
    <xf numFmtId="165" fontId="33" fillId="0" borderId="37" xfId="0" applyNumberFormat="1" applyFont="1" applyBorder="1" applyAlignment="1">
      <alignment horizontal="left" vertical="center" wrapText="1" indent="1"/>
    </xf>
    <xf numFmtId="165" fontId="33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2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2" fillId="0" borderId="37" xfId="0" applyNumberFormat="1" applyFont="1" applyBorder="1" applyAlignment="1">
      <alignment horizontal="left" vertical="center" wrapText="1" indent="2"/>
    </xf>
    <xf numFmtId="165" fontId="32" fillId="0" borderId="44" xfId="0" applyNumberFormat="1" applyFont="1" applyBorder="1" applyAlignment="1">
      <alignment horizontal="left" vertical="center" wrapText="1" indent="2"/>
    </xf>
    <xf numFmtId="3" fontId="2" fillId="24" borderId="20" xfId="0" applyNumberFormat="1" applyFont="1" applyFill="1" applyBorder="1" applyAlignment="1">
      <alignment horizontal="center" vertical="center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40" fillId="0" borderId="0" xfId="0" applyFont="1"/>
    <xf numFmtId="0" fontId="41" fillId="0" borderId="0" xfId="0" applyFont="1"/>
    <xf numFmtId="0" fontId="0" fillId="0" borderId="0" xfId="0" applyAlignment="1">
      <alignment horizontal="center" vertical="center"/>
    </xf>
    <xf numFmtId="0" fontId="42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8" fillId="0" borderId="11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left" vertical="top" wrapText="1"/>
    </xf>
    <xf numFmtId="3" fontId="38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2" fillId="0" borderId="11" xfId="0" applyFont="1" applyBorder="1" applyAlignment="1">
      <alignment horizontal="center" vertical="top" wrapText="1"/>
    </xf>
    <xf numFmtId="0" fontId="0" fillId="0" borderId="11" xfId="0" applyBorder="1"/>
    <xf numFmtId="0" fontId="41" fillId="0" borderId="11" xfId="0" applyFont="1" applyBorder="1"/>
    <xf numFmtId="3" fontId="37" fillId="24" borderId="11" xfId="0" applyNumberFormat="1" applyFont="1" applyFill="1" applyBorder="1" applyAlignment="1">
      <alignment horizontal="center" vertical="center" wrapText="1"/>
    </xf>
    <xf numFmtId="3" fontId="40" fillId="28" borderId="11" xfId="0" applyNumberFormat="1" applyFont="1" applyFill="1" applyBorder="1" applyAlignment="1">
      <alignment horizontal="right"/>
    </xf>
    <xf numFmtId="0" fontId="44" fillId="0" borderId="0" xfId="0" applyFont="1"/>
    <xf numFmtId="0" fontId="41" fillId="0" borderId="1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165" fontId="41" fillId="0" borderId="0" xfId="0" applyNumberFormat="1" applyFont="1" applyAlignment="1">
      <alignment vertical="center" wrapText="1"/>
    </xf>
    <xf numFmtId="165" fontId="41" fillId="0" borderId="0" xfId="0" applyNumberFormat="1" applyFont="1" applyAlignment="1">
      <alignment horizontal="center" vertical="center" wrapText="1"/>
    </xf>
    <xf numFmtId="165" fontId="41" fillId="0" borderId="49" xfId="0" applyNumberFormat="1" applyFont="1" applyBorder="1" applyAlignment="1">
      <alignment horizontal="left" vertical="center" wrapText="1" indent="1"/>
    </xf>
    <xf numFmtId="165" fontId="41" fillId="0" borderId="40" xfId="0" applyNumberFormat="1" applyFont="1" applyBorder="1" applyAlignment="1">
      <alignment horizontal="left" vertical="center" wrapText="1" indent="1"/>
    </xf>
    <xf numFmtId="3" fontId="45" fillId="0" borderId="0" xfId="0" applyNumberFormat="1" applyFont="1"/>
    <xf numFmtId="3" fontId="25" fillId="24" borderId="11" xfId="0" applyNumberFormat="1" applyFont="1" applyFill="1" applyBorder="1" applyAlignment="1">
      <alignment horizontal="right" vertical="center" wrapText="1"/>
    </xf>
    <xf numFmtId="3" fontId="25" fillId="27" borderId="11" xfId="0" applyNumberFormat="1" applyFont="1" applyFill="1" applyBorder="1" applyAlignment="1">
      <alignment horizontal="right" vertical="center" wrapText="1"/>
    </xf>
    <xf numFmtId="0" fontId="45" fillId="0" borderId="0" xfId="0" applyFont="1"/>
    <xf numFmtId="165" fontId="0" fillId="0" borderId="0" xfId="0" applyNumberFormat="1" applyAlignment="1">
      <alignment vertical="center" wrapText="1"/>
    </xf>
    <xf numFmtId="0" fontId="46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25" fillId="29" borderId="14" xfId="0" applyFont="1" applyFill="1" applyBorder="1" applyAlignment="1">
      <alignment horizontal="left" vertical="center" wrapText="1"/>
    </xf>
    <xf numFmtId="0" fontId="40" fillId="28" borderId="11" xfId="0" applyFont="1" applyFill="1" applyBorder="1" applyAlignment="1">
      <alignment horizontal="left"/>
    </xf>
    <xf numFmtId="0" fontId="0" fillId="0" borderId="0" xfId="0" applyFont="1"/>
    <xf numFmtId="0" fontId="38" fillId="0" borderId="11" xfId="0" applyFont="1" applyBorder="1" applyAlignment="1">
      <alignment horizontal="right" vertical="top" wrapText="1"/>
    </xf>
    <xf numFmtId="0" fontId="38" fillId="0" borderId="11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right" vertical="center"/>
    </xf>
    <xf numFmtId="0" fontId="25" fillId="24" borderId="11" xfId="0" applyFont="1" applyFill="1" applyBorder="1" applyAlignment="1">
      <alignment horizontal="left" vertical="center" wrapText="1"/>
    </xf>
    <xf numFmtId="0" fontId="25" fillId="27" borderId="11" xfId="0" applyFont="1" applyFill="1" applyBorder="1" applyAlignment="1">
      <alignment horizontal="left" vertical="center" wrapText="1"/>
    </xf>
    <xf numFmtId="3" fontId="0" fillId="0" borderId="0" xfId="0" applyNumberFormat="1" applyFont="1"/>
    <xf numFmtId="0" fontId="25" fillId="24" borderId="11" xfId="0" applyFont="1" applyFill="1" applyBorder="1" applyAlignment="1">
      <alignment horizontal="right" vertical="center" wrapText="1"/>
    </xf>
    <xf numFmtId="0" fontId="25" fillId="29" borderId="14" xfId="0" applyFont="1" applyFill="1" applyBorder="1" applyAlignment="1">
      <alignment horizontal="right" vertical="center" wrapText="1"/>
    </xf>
    <xf numFmtId="0" fontId="25" fillId="27" borderId="56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8" fillId="2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2" fillId="0" borderId="35" xfId="0" applyNumberFormat="1" applyFont="1" applyFill="1" applyBorder="1" applyAlignment="1">
      <alignment vertical="center" wrapText="1"/>
    </xf>
    <xf numFmtId="3" fontId="3" fillId="0" borderId="35" xfId="0" applyNumberFormat="1" applyFont="1" applyFill="1" applyBorder="1" applyAlignment="1">
      <alignment vertical="center"/>
    </xf>
    <xf numFmtId="3" fontId="3" fillId="0" borderId="5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65" fontId="45" fillId="0" borderId="0" xfId="0" applyNumberFormat="1" applyFont="1" applyAlignment="1">
      <alignment vertical="center" wrapText="1"/>
    </xf>
    <xf numFmtId="0" fontId="3" fillId="1" borderId="11" xfId="0" applyFont="1" applyFill="1" applyBorder="1" applyAlignment="1">
      <alignment horizontal="left" vertical="center"/>
    </xf>
    <xf numFmtId="3" fontId="3" fillId="1" borderId="12" xfId="0" applyNumberFormat="1" applyFont="1" applyFill="1" applyBorder="1" applyAlignment="1">
      <alignment vertical="center"/>
    </xf>
    <xf numFmtId="41" fontId="2" fillId="1" borderId="1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43" fontId="2" fillId="24" borderId="36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164" fontId="48" fillId="0" borderId="40" xfId="0" applyNumberFormat="1" applyFont="1" applyBorder="1" applyAlignment="1">
      <alignment horizontal="right" vertical="center" wrapText="1"/>
    </xf>
    <xf numFmtId="0" fontId="47" fillId="0" borderId="40" xfId="0" applyFont="1" applyBorder="1" applyAlignment="1">
      <alignment vertical="center"/>
    </xf>
    <xf numFmtId="164" fontId="48" fillId="0" borderId="41" xfId="0" applyNumberFormat="1" applyFont="1" applyBorder="1" applyAlignment="1">
      <alignment horizontal="right" vertical="center" wrapText="1"/>
    </xf>
    <xf numFmtId="43" fontId="2" fillId="24" borderId="35" xfId="0" applyNumberFormat="1" applyFont="1" applyFill="1" applyBorder="1" applyAlignment="1">
      <alignment horizontal="right" vertical="center" wrapText="1"/>
    </xf>
    <xf numFmtId="0" fontId="25" fillId="24" borderId="14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4" borderId="11" xfId="0" applyFont="1" applyFill="1" applyBorder="1" applyAlignment="1">
      <alignment horizontal="left" vertical="center" wrapText="1"/>
    </xf>
    <xf numFmtId="0" fontId="25" fillId="27" borderId="11" xfId="0" applyFont="1" applyFill="1" applyBorder="1" applyAlignment="1">
      <alignment horizontal="left" vertical="center" wrapText="1"/>
    </xf>
    <xf numFmtId="0" fontId="40" fillId="28" borderId="11" xfId="0" applyFont="1" applyFill="1" applyBorder="1" applyAlignment="1">
      <alignment horizontal="left"/>
    </xf>
    <xf numFmtId="0" fontId="25" fillId="29" borderId="14" xfId="0" applyFont="1" applyFill="1" applyBorder="1" applyAlignment="1">
      <alignment horizontal="left" vertical="center" wrapText="1"/>
    </xf>
    <xf numFmtId="0" fontId="25" fillId="27" borderId="56" xfId="0" applyFont="1" applyFill="1" applyBorder="1" applyAlignment="1">
      <alignment horizontal="left" vertical="center" wrapText="1"/>
    </xf>
    <xf numFmtId="3" fontId="38" fillId="0" borderId="11" xfId="0" applyNumberFormat="1" applyFont="1" applyFill="1" applyBorder="1" applyAlignment="1">
      <alignment horizontal="right" vertical="top" wrapText="1"/>
    </xf>
    <xf numFmtId="3" fontId="25" fillId="29" borderId="11" xfId="0" applyNumberFormat="1" applyFont="1" applyFill="1" applyBorder="1" applyAlignment="1">
      <alignment horizontal="right" vertical="center" wrapText="1"/>
    </xf>
    <xf numFmtId="3" fontId="37" fillId="24" borderId="18" xfId="0" applyNumberFormat="1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8" fillId="24" borderId="11" xfId="0" applyFont="1" applyFill="1" applyBorder="1" applyAlignment="1">
      <alignment horizontal="center" vertical="center" wrapText="1"/>
    </xf>
    <xf numFmtId="3" fontId="3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vertical="center"/>
    </xf>
    <xf numFmtId="3" fontId="25" fillId="29" borderId="14" xfId="0" applyNumberFormat="1" applyFont="1" applyFill="1" applyBorder="1" applyAlignment="1">
      <alignment horizontal="right" vertical="center" wrapText="1"/>
    </xf>
    <xf numFmtId="3" fontId="25" fillId="24" borderId="17" xfId="0" applyNumberFormat="1" applyFont="1" applyFill="1" applyBorder="1" applyAlignment="1">
      <alignment horizontal="right" vertical="center" wrapText="1"/>
    </xf>
    <xf numFmtId="3" fontId="50" fillId="24" borderId="17" xfId="0" applyNumberFormat="1" applyFont="1" applyFill="1" applyBorder="1" applyAlignment="1">
      <alignment horizontal="center" vertical="center" wrapText="1"/>
    </xf>
    <xf numFmtId="3" fontId="50" fillId="24" borderId="11" xfId="0" applyNumberFormat="1" applyFont="1" applyFill="1" applyBorder="1" applyAlignment="1">
      <alignment horizontal="center" vertical="center" wrapText="1"/>
    </xf>
    <xf numFmtId="3" fontId="38" fillId="0" borderId="17" xfId="0" applyNumberFormat="1" applyFont="1" applyBorder="1" applyAlignment="1">
      <alignment horizontal="right" vertical="top" wrapText="1"/>
    </xf>
    <xf numFmtId="3" fontId="25" fillId="29" borderId="30" xfId="0" applyNumberFormat="1" applyFont="1" applyFill="1" applyBorder="1" applyAlignment="1">
      <alignment horizontal="right" vertical="center" wrapText="1"/>
    </xf>
    <xf numFmtId="165" fontId="29" fillId="0" borderId="52" xfId="0" applyNumberFormat="1" applyFont="1" applyBorder="1" applyAlignment="1">
      <alignment horizontal="center" vertical="center" wrapText="1"/>
    </xf>
    <xf numFmtId="165" fontId="31" fillId="0" borderId="52" xfId="0" applyNumberFormat="1" applyFont="1" applyBorder="1" applyAlignment="1">
      <alignment horizontal="center" vertical="center" wrapText="1"/>
    </xf>
    <xf numFmtId="165" fontId="33" fillId="0" borderId="0" xfId="0" applyNumberFormat="1" applyFont="1" applyBorder="1" applyAlignment="1">
      <alignment horizontal="left" vertical="center" wrapText="1" indent="1"/>
    </xf>
    <xf numFmtId="165" fontId="29" fillId="0" borderId="19" xfId="0" applyNumberFormat="1" applyFont="1" applyBorder="1" applyAlignment="1">
      <alignment horizontal="center" vertical="center" wrapText="1"/>
    </xf>
    <xf numFmtId="165" fontId="29" fillId="0" borderId="70" xfId="0" applyNumberFormat="1" applyFont="1" applyBorder="1" applyAlignment="1">
      <alignment horizontal="center" vertical="center" wrapText="1"/>
    </xf>
    <xf numFmtId="165" fontId="29" fillId="0" borderId="46" xfId="0" applyNumberFormat="1" applyFont="1" applyBorder="1" applyAlignment="1">
      <alignment horizontal="center" vertical="center" wrapText="1"/>
    </xf>
    <xf numFmtId="165" fontId="29" fillId="0" borderId="34" xfId="0" applyNumberFormat="1" applyFont="1" applyBorder="1" applyAlignment="1">
      <alignment horizontal="center" vertical="center" wrapText="1"/>
    </xf>
    <xf numFmtId="165" fontId="29" fillId="0" borderId="47" xfId="0" applyNumberFormat="1" applyFont="1" applyBorder="1" applyAlignment="1">
      <alignment horizontal="center" vertical="center" wrapText="1"/>
    </xf>
    <xf numFmtId="165" fontId="3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4" xfId="0" applyNumberFormat="1" applyFont="1" applyFill="1" applyBorder="1" applyAlignment="1">
      <alignment horizontal="right" vertical="center" wrapText="1" indent="1"/>
    </xf>
    <xf numFmtId="165" fontId="36" fillId="0" borderId="11" xfId="0" applyNumberFormat="1" applyFont="1" applyFill="1" applyBorder="1" applyAlignment="1">
      <alignment horizontal="right" vertical="center" wrapText="1" indent="1"/>
    </xf>
    <xf numFmtId="165" fontId="3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34" xfId="0" applyNumberFormat="1" applyFont="1" applyFill="1" applyBorder="1" applyAlignment="1">
      <alignment horizontal="right" vertical="center" wrapText="1" indent="1"/>
    </xf>
    <xf numFmtId="165" fontId="3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4" xfId="0" applyNumberFormat="1" applyFont="1" applyFill="1" applyBorder="1" applyAlignment="1">
      <alignment horizontal="right" vertical="center" wrapText="1" indent="1"/>
    </xf>
    <xf numFmtId="165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Alignment="1">
      <alignment vertical="center" wrapText="1"/>
    </xf>
    <xf numFmtId="165" fontId="3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5" xfId="0" applyNumberFormat="1" applyFont="1" applyFill="1" applyBorder="1" applyAlignment="1">
      <alignment horizontal="right" vertical="center" wrapText="1" indent="1"/>
    </xf>
    <xf numFmtId="165" fontId="29" fillId="0" borderId="52" xfId="0" applyNumberFormat="1" applyFont="1" applyBorder="1" applyAlignment="1">
      <alignment horizontal="centerContinuous" vertical="center" wrapText="1"/>
    </xf>
    <xf numFmtId="165" fontId="31" fillId="0" borderId="15" xfId="0" applyNumberFormat="1" applyFont="1" applyFill="1" applyBorder="1" applyAlignment="1">
      <alignment horizontal="right" vertical="center" wrapText="1" indent="1"/>
    </xf>
    <xf numFmtId="165" fontId="29" fillId="0" borderId="42" xfId="0" applyNumberFormat="1" applyFont="1" applyBorder="1" applyAlignment="1">
      <alignment horizontal="centerContinuous" vertical="center" wrapText="1"/>
    </xf>
    <xf numFmtId="165" fontId="29" fillId="0" borderId="53" xfId="0" applyNumberFormat="1" applyFont="1" applyBorder="1" applyAlignment="1">
      <alignment horizontal="centerContinuous" vertical="center" wrapText="1"/>
    </xf>
    <xf numFmtId="165" fontId="29" fillId="0" borderId="48" xfId="0" applyNumberFormat="1" applyFont="1" applyBorder="1" applyAlignment="1">
      <alignment horizontal="centerContinuous" vertical="center" wrapText="1"/>
    </xf>
    <xf numFmtId="0" fontId="2" fillId="0" borderId="32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65" fontId="3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16" xfId="0" applyNumberFormat="1" applyFont="1" applyFill="1" applyBorder="1" applyAlignment="1">
      <alignment horizontal="right" vertical="center" wrapText="1" indent="1"/>
    </xf>
    <xf numFmtId="165" fontId="36" fillId="0" borderId="56" xfId="0" applyNumberFormat="1" applyFont="1" applyFill="1" applyBorder="1" applyAlignment="1">
      <alignment horizontal="right" vertical="center" wrapText="1" indent="1"/>
    </xf>
    <xf numFmtId="165" fontId="3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" fillId="24" borderId="53" xfId="0" applyNumberFormat="1" applyFont="1" applyFill="1" applyBorder="1" applyAlignment="1">
      <alignment horizontal="center" vertical="center" wrapText="1"/>
    </xf>
    <xf numFmtId="3" fontId="2" fillId="25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vertical="center"/>
    </xf>
    <xf numFmtId="3" fontId="2" fillId="24" borderId="17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2" fillId="24" borderId="6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3" fillId="1" borderId="17" xfId="0" applyNumberFormat="1" applyFont="1" applyFill="1" applyBorder="1" applyAlignment="1">
      <alignment vertical="center"/>
    </xf>
    <xf numFmtId="3" fontId="2" fillId="24" borderId="24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9" fillId="0" borderId="30" xfId="0" applyFont="1" applyBorder="1" applyAlignment="1">
      <alignment vertical="center"/>
    </xf>
    <xf numFmtId="0" fontId="49" fillId="0" borderId="7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1" borderId="1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2" fillId="24" borderId="65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vertical="center"/>
    </xf>
    <xf numFmtId="3" fontId="2" fillId="1" borderId="25" xfId="0" applyNumberFormat="1" applyFont="1" applyFill="1" applyBorder="1" applyAlignment="1">
      <alignment vertical="center"/>
    </xf>
    <xf numFmtId="3" fontId="47" fillId="0" borderId="2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horizontal="right" vertical="center"/>
    </xf>
    <xf numFmtId="3" fontId="2" fillId="24" borderId="65" xfId="0" applyNumberFormat="1" applyFont="1" applyFill="1" applyBorder="1" applyAlignment="1">
      <alignment horizontal="right" vertical="center"/>
    </xf>
    <xf numFmtId="3" fontId="2" fillId="0" borderId="12" xfId="0" applyNumberFormat="1" applyFont="1" applyBorder="1" applyAlignment="1">
      <alignment vertical="center"/>
    </xf>
    <xf numFmtId="0" fontId="2" fillId="0" borderId="69" xfId="0" applyFont="1" applyBorder="1" applyAlignment="1">
      <alignment horizontal="left" vertical="center"/>
    </xf>
    <xf numFmtId="0" fontId="2" fillId="24" borderId="24" xfId="0" applyFont="1" applyFill="1" applyBorder="1" applyAlignment="1">
      <alignment horizontal="center" vertical="center" wrapText="1"/>
    </xf>
    <xf numFmtId="3" fontId="2" fillId="1" borderId="43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30" borderId="11" xfId="0" applyFont="1" applyFill="1" applyBorder="1" applyAlignment="1">
      <alignment horizontal="left" vertical="center"/>
    </xf>
    <xf numFmtId="0" fontId="2" fillId="30" borderId="11" xfId="0" applyFont="1" applyFill="1" applyBorder="1" applyAlignment="1">
      <alignment horizontal="center" vertical="center"/>
    </xf>
    <xf numFmtId="3" fontId="2" fillId="30" borderId="11" xfId="0" applyNumberFormat="1" applyFont="1" applyFill="1" applyBorder="1" applyAlignment="1">
      <alignment horizontal="right" vertical="center"/>
    </xf>
    <xf numFmtId="3" fontId="2" fillId="30" borderId="12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0" fontId="2" fillId="31" borderId="21" xfId="0" applyFont="1" applyFill="1" applyBorder="1" applyAlignment="1">
      <alignment horizontal="center" vertical="center"/>
    </xf>
    <xf numFmtId="3" fontId="2" fillId="31" borderId="21" xfId="0" applyNumberFormat="1" applyFont="1" applyFill="1" applyBorder="1" applyAlignment="1">
      <alignment horizontal="right" vertical="center"/>
    </xf>
    <xf numFmtId="3" fontId="2" fillId="31" borderId="13" xfId="0" applyNumberFormat="1" applyFont="1" applyFill="1" applyBorder="1" applyAlignment="1">
      <alignment horizontal="right" vertical="center"/>
    </xf>
    <xf numFmtId="0" fontId="2" fillId="0" borderId="61" xfId="0" applyFont="1" applyFill="1" applyBorder="1" applyAlignment="1">
      <alignment horizontal="center" vertical="top"/>
    </xf>
    <xf numFmtId="0" fontId="2" fillId="0" borderId="7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24" borderId="71" xfId="0" applyNumberFormat="1" applyFont="1" applyFill="1" applyBorder="1" applyAlignment="1">
      <alignment horizontal="center" vertical="center"/>
    </xf>
    <xf numFmtId="3" fontId="2" fillId="24" borderId="74" xfId="0" applyNumberFormat="1" applyFont="1" applyFill="1" applyBorder="1" applyAlignment="1">
      <alignment horizontal="center" vertical="center"/>
    </xf>
    <xf numFmtId="3" fontId="2" fillId="24" borderId="11" xfId="0" applyNumberFormat="1" applyFont="1" applyFill="1" applyBorder="1" applyAlignment="1">
      <alignment horizontal="center" vertical="center" wrapText="1"/>
    </xf>
    <xf numFmtId="3" fontId="2" fillId="24" borderId="12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4" fillId="0" borderId="20" xfId="0" applyFont="1" applyBorder="1"/>
    <xf numFmtId="0" fontId="4" fillId="0" borderId="73" xfId="0" applyFont="1" applyBorder="1"/>
    <xf numFmtId="0" fontId="4" fillId="0" borderId="57" xfId="0" applyFont="1" applyBorder="1"/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7" xfId="0" applyFont="1" applyBorder="1"/>
    <xf numFmtId="0" fontId="4" fillId="0" borderId="40" xfId="0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0" borderId="46" xfId="0" applyFont="1" applyBorder="1" applyAlignment="1">
      <alignment horizontal="center"/>
    </xf>
    <xf numFmtId="0" fontId="4" fillId="0" borderId="21" xfId="0" applyFont="1" applyBorder="1"/>
    <xf numFmtId="0" fontId="4" fillId="0" borderId="62" xfId="0" applyFont="1" applyBorder="1"/>
    <xf numFmtId="0" fontId="4" fillId="0" borderId="58" xfId="0" applyFont="1" applyBorder="1"/>
    <xf numFmtId="0" fontId="4" fillId="0" borderId="24" xfId="0" applyFont="1" applyBorder="1"/>
    <xf numFmtId="0" fontId="4" fillId="0" borderId="65" xfId="0" applyFont="1" applyBorder="1"/>
    <xf numFmtId="0" fontId="4" fillId="0" borderId="35" xfId="0" applyFont="1" applyBorder="1"/>
    <xf numFmtId="0" fontId="53" fillId="0" borderId="76" xfId="0" applyFont="1" applyBorder="1" applyAlignment="1">
      <alignment horizontal="center" vertical="center"/>
    </xf>
    <xf numFmtId="0" fontId="53" fillId="0" borderId="77" xfId="0" applyFont="1" applyBorder="1" applyAlignment="1">
      <alignment horizontal="center" vertical="center" wrapText="1"/>
    </xf>
    <xf numFmtId="0" fontId="5" fillId="0" borderId="24" xfId="0" applyFont="1" applyBorder="1"/>
    <xf numFmtId="0" fontId="4" fillId="32" borderId="2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2" borderId="1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2" borderId="24" xfId="0" applyFont="1" applyFill="1" applyBorder="1" applyAlignment="1">
      <alignment horizontal="center"/>
    </xf>
    <xf numFmtId="3" fontId="38" fillId="0" borderId="11" xfId="0" applyNumberFormat="1" applyFont="1" applyBorder="1" applyAlignment="1">
      <alignment horizontal="right" vertical="center" wrapText="1"/>
    </xf>
    <xf numFmtId="3" fontId="38" fillId="31" borderId="11" xfId="0" applyNumberFormat="1" applyFont="1" applyFill="1" applyBorder="1" applyAlignment="1">
      <alignment horizontal="right" vertical="center" wrapText="1"/>
    </xf>
    <xf numFmtId="0" fontId="0" fillId="0" borderId="0" xfId="0" applyFill="1"/>
    <xf numFmtId="3" fontId="25" fillId="26" borderId="11" xfId="0" applyNumberFormat="1" applyFont="1" applyFill="1" applyBorder="1" applyAlignment="1">
      <alignment horizontal="right" vertical="center" wrapText="1"/>
    </xf>
    <xf numFmtId="3" fontId="25" fillId="31" borderId="11" xfId="0" applyNumberFormat="1" applyFont="1" applyFill="1" applyBorder="1" applyAlignment="1">
      <alignment horizontal="right" vertical="center" wrapText="1"/>
    </xf>
    <xf numFmtId="3" fontId="25" fillId="33" borderId="11" xfId="0" applyNumberFormat="1" applyFont="1" applyFill="1" applyBorder="1" applyAlignment="1">
      <alignment horizontal="right" vertical="center" wrapText="1"/>
    </xf>
    <xf numFmtId="3" fontId="25" fillId="34" borderId="11" xfId="0" applyNumberFormat="1" applyFont="1" applyFill="1" applyBorder="1" applyAlignment="1">
      <alignment horizontal="right" vertical="center" wrapText="1"/>
    </xf>
    <xf numFmtId="3" fontId="25" fillId="0" borderId="11" xfId="0" applyNumberFormat="1" applyFont="1" applyFill="1" applyBorder="1" applyAlignment="1">
      <alignment horizontal="right" vertical="center" wrapText="1"/>
    </xf>
    <xf numFmtId="3" fontId="38" fillId="0" borderId="1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38" fillId="0" borderId="14" xfId="0" applyFont="1" applyBorder="1" applyAlignment="1">
      <alignment horizontal="left" vertical="top" wrapText="1"/>
    </xf>
    <xf numFmtId="0" fontId="38" fillId="0" borderId="14" xfId="0" applyFont="1" applyBorder="1" applyAlignment="1">
      <alignment horizontal="left" vertical="center" wrapText="1"/>
    </xf>
    <xf numFmtId="0" fontId="25" fillId="26" borderId="14" xfId="0" applyFont="1" applyFill="1" applyBorder="1" applyAlignment="1">
      <alignment horizontal="left" vertical="center" wrapText="1"/>
    </xf>
    <xf numFmtId="0" fontId="44" fillId="28" borderId="14" xfId="0" applyFont="1" applyFill="1" applyBorder="1" applyAlignment="1">
      <alignment horizontal="left" vertical="center"/>
    </xf>
    <xf numFmtId="3" fontId="44" fillId="28" borderId="11" xfId="0" applyNumberFormat="1" applyFont="1" applyFill="1" applyBorder="1" applyAlignment="1">
      <alignment horizontal="right" vertical="center"/>
    </xf>
    <xf numFmtId="0" fontId="38" fillId="0" borderId="14" xfId="0" applyFont="1" applyFill="1" applyBorder="1" applyAlignment="1">
      <alignment horizontal="left" vertical="center" wrapText="1"/>
    </xf>
    <xf numFmtId="0" fontId="38" fillId="0" borderId="11" xfId="0" applyFont="1" applyFill="1" applyBorder="1" applyAlignment="1">
      <alignment horizontal="left" vertical="center" wrapText="1"/>
    </xf>
    <xf numFmtId="0" fontId="25" fillId="31" borderId="14" xfId="0" applyFont="1" applyFill="1" applyBorder="1" applyAlignment="1">
      <alignment horizontal="left" vertical="center" wrapText="1"/>
    </xf>
    <xf numFmtId="0" fontId="0" fillId="0" borderId="34" xfId="0" applyFill="1" applyBorder="1" applyAlignment="1">
      <alignment horizontal="center"/>
    </xf>
    <xf numFmtId="0" fontId="38" fillId="0" borderId="11" xfId="0" applyFont="1" applyFill="1" applyBorder="1" applyAlignment="1">
      <alignment horizontal="left" vertical="top" wrapText="1"/>
    </xf>
    <xf numFmtId="0" fontId="40" fillId="0" borderId="0" xfId="0" applyFont="1" applyFill="1"/>
    <xf numFmtId="0" fontId="0" fillId="0" borderId="0" xfId="0" applyFont="1" applyFill="1" applyAlignment="1">
      <alignment vertical="center"/>
    </xf>
    <xf numFmtId="0" fontId="41" fillId="0" borderId="0" xfId="0" applyFont="1" applyFill="1"/>
    <xf numFmtId="0" fontId="44" fillId="0" borderId="0" xfId="0" applyFont="1" applyFill="1"/>
    <xf numFmtId="0" fontId="25" fillId="27" borderId="11" xfId="0" applyFont="1" applyFill="1" applyBorder="1" applyAlignment="1">
      <alignment horizontal="left" vertical="center" wrapText="1"/>
    </xf>
    <xf numFmtId="0" fontId="25" fillId="24" borderId="11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horizontal="right" vertical="center" wrapText="1"/>
    </xf>
    <xf numFmtId="0" fontId="25" fillId="26" borderId="11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horizontal="center" vertical="center" wrapText="1"/>
    </xf>
    <xf numFmtId="0" fontId="25" fillId="26" borderId="11" xfId="0" applyFont="1" applyFill="1" applyBorder="1" applyAlignment="1">
      <alignment horizontal="right" vertical="center" wrapText="1"/>
    </xf>
    <xf numFmtId="0" fontId="25" fillId="26" borderId="14" xfId="0" applyFont="1" applyFill="1" applyBorder="1" applyAlignment="1">
      <alignment horizontal="right" vertical="center" wrapText="1"/>
    </xf>
    <xf numFmtId="0" fontId="0" fillId="0" borderId="11" xfId="0" applyFont="1" applyBorder="1" applyAlignment="1">
      <alignment vertical="center"/>
    </xf>
    <xf numFmtId="0" fontId="40" fillId="28" borderId="11" xfId="0" applyFont="1" applyFill="1" applyBorder="1" applyAlignment="1">
      <alignment horizontal="left" vertical="center"/>
    </xf>
    <xf numFmtId="3" fontId="40" fillId="28" borderId="11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38" fillId="0" borderId="14" xfId="0" applyFont="1" applyFill="1" applyBorder="1" applyAlignment="1">
      <alignment horizontal="right" vertical="center" wrapText="1"/>
    </xf>
    <xf numFmtId="0" fontId="38" fillId="0" borderId="11" xfId="0" applyFont="1" applyFill="1" applyBorder="1" applyAlignment="1">
      <alignment horizontal="right" vertical="center" wrapText="1"/>
    </xf>
    <xf numFmtId="0" fontId="0" fillId="0" borderId="0" xfId="0" applyFont="1" applyFill="1"/>
    <xf numFmtId="0" fontId="38" fillId="0" borderId="11" xfId="0" applyFont="1" applyFill="1" applyBorder="1" applyAlignment="1">
      <alignment horizontal="right" vertical="center"/>
    </xf>
    <xf numFmtId="0" fontId="38" fillId="0" borderId="14" xfId="0" applyFont="1" applyFill="1" applyBorder="1" applyAlignment="1">
      <alignment horizontal="right" vertical="center"/>
    </xf>
    <xf numFmtId="0" fontId="25" fillId="31" borderId="11" xfId="0" applyFont="1" applyFill="1" applyBorder="1" applyAlignment="1">
      <alignment horizontal="left" vertical="center" wrapText="1"/>
    </xf>
    <xf numFmtId="3" fontId="38" fillId="0" borderId="14" xfId="0" applyNumberFormat="1" applyFont="1" applyFill="1" applyBorder="1" applyAlignment="1">
      <alignment horizontal="right" vertical="center" wrapText="1"/>
    </xf>
    <xf numFmtId="0" fontId="25" fillId="24" borderId="1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3" fontId="25" fillId="24" borderId="14" xfId="0" applyNumberFormat="1" applyFont="1" applyFill="1" applyBorder="1" applyAlignment="1">
      <alignment horizontal="right" vertical="center" wrapText="1"/>
    </xf>
    <xf numFmtId="3" fontId="0" fillId="0" borderId="0" xfId="0" applyNumberFormat="1" applyFont="1" applyFill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40" fillId="0" borderId="0" xfId="0" applyFont="1" applyFill="1" applyAlignment="1">
      <alignment vertical="center"/>
    </xf>
    <xf numFmtId="0" fontId="45" fillId="0" borderId="0" xfId="0" applyFont="1" applyFill="1"/>
    <xf numFmtId="0" fontId="38" fillId="0" borderId="11" xfId="0" applyFont="1" applyFill="1" applyBorder="1" applyAlignment="1">
      <alignment horizontal="right" vertical="top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3" fontId="40" fillId="0" borderId="0" xfId="0" applyNumberFormat="1" applyFont="1" applyFill="1" applyAlignment="1">
      <alignment vertical="center"/>
    </xf>
    <xf numFmtId="3" fontId="40" fillId="0" borderId="0" xfId="0" applyNumberFormat="1" applyFont="1" applyFill="1"/>
    <xf numFmtId="165" fontId="51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0" xfId="0" applyNumberFormat="1" applyFont="1" applyBorder="1" applyAlignment="1">
      <alignment horizontal="center" vertical="center" wrapText="1"/>
    </xf>
    <xf numFmtId="165" fontId="5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9" xfId="0" applyFont="1" applyBorder="1" applyAlignment="1">
      <alignment vertical="center"/>
    </xf>
    <xf numFmtId="165" fontId="34" fillId="0" borderId="24" xfId="0" quotePrefix="1" applyNumberFormat="1" applyFont="1" applyFill="1" applyBorder="1" applyAlignment="1">
      <alignment horizontal="right" vertical="center" wrapText="1" indent="1"/>
    </xf>
    <xf numFmtId="165" fontId="3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1" xfId="0" applyNumberFormat="1" applyFont="1" applyFill="1" applyBorder="1" applyAlignment="1">
      <alignment horizontal="right" vertical="center" wrapText="1" indent="1"/>
    </xf>
    <xf numFmtId="3" fontId="2" fillId="24" borderId="33" xfId="0" applyNumberFormat="1" applyFont="1" applyFill="1" applyBorder="1" applyAlignment="1">
      <alignment vertical="center"/>
    </xf>
    <xf numFmtId="0" fontId="46" fillId="0" borderId="0" xfId="0" applyFont="1" applyFill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72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top"/>
    </xf>
    <xf numFmtId="0" fontId="2" fillId="0" borderId="3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2" fillId="31" borderId="24" xfId="0" applyFont="1" applyFill="1" applyBorder="1" applyAlignment="1">
      <alignment horizontal="center" vertical="center"/>
    </xf>
    <xf numFmtId="0" fontId="2" fillId="31" borderId="18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2" fillId="31" borderId="26" xfId="0" applyNumberFormat="1" applyFont="1" applyFill="1" applyBorder="1" applyAlignment="1">
      <alignment vertical="center"/>
    </xf>
    <xf numFmtId="3" fontId="2" fillId="31" borderId="70" xfId="0" applyNumberFormat="1" applyFont="1" applyFill="1" applyBorder="1" applyAlignment="1">
      <alignment vertical="center"/>
    </xf>
    <xf numFmtId="3" fontId="2" fillId="31" borderId="33" xfId="0" applyNumberFormat="1" applyFont="1" applyFill="1" applyBorder="1" applyAlignment="1">
      <alignment horizontal="right" vertical="center"/>
    </xf>
    <xf numFmtId="3" fontId="2" fillId="31" borderId="62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3" fillId="0" borderId="25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43" xfId="0" applyNumberFormat="1" applyFont="1" applyFill="1" applyBorder="1" applyAlignment="1">
      <alignment vertical="center"/>
    </xf>
    <xf numFmtId="3" fontId="3" fillId="0" borderId="43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31" borderId="26" xfId="0" applyFont="1" applyFill="1" applyBorder="1" applyAlignment="1">
      <alignment horizontal="center" vertical="center"/>
    </xf>
    <xf numFmtId="3" fontId="3" fillId="0" borderId="55" xfId="0" applyNumberFormat="1" applyFont="1" applyFill="1" applyBorder="1" applyAlignment="1">
      <alignment vertical="center"/>
    </xf>
    <xf numFmtId="3" fontId="45" fillId="0" borderId="0" xfId="0" applyNumberFormat="1" applyFont="1" applyFill="1"/>
    <xf numFmtId="3" fontId="25" fillId="36" borderId="11" xfId="0" applyNumberFormat="1" applyFont="1" applyFill="1" applyBorder="1" applyAlignment="1">
      <alignment horizontal="right" vertical="center" wrapText="1"/>
    </xf>
    <xf numFmtId="3" fontId="38" fillId="35" borderId="11" xfId="0" applyNumberFormat="1" applyFont="1" applyFill="1" applyBorder="1" applyAlignment="1">
      <alignment horizontal="right" vertical="center" wrapText="1"/>
    </xf>
    <xf numFmtId="3" fontId="40" fillId="37" borderId="11" xfId="0" applyNumberFormat="1" applyFont="1" applyFill="1" applyBorder="1" applyAlignment="1">
      <alignment horizontal="right" vertical="center"/>
    </xf>
    <xf numFmtId="0" fontId="25" fillId="31" borderId="11" xfId="0" applyFont="1" applyFill="1" applyBorder="1" applyAlignment="1">
      <alignment horizontal="right" vertical="center" wrapText="1"/>
    </xf>
    <xf numFmtId="3" fontId="38" fillId="0" borderId="17" xfId="0" applyNumberFormat="1" applyFont="1" applyFill="1" applyBorder="1" applyAlignment="1">
      <alignment horizontal="right" vertical="top" wrapText="1"/>
    </xf>
    <xf numFmtId="3" fontId="25" fillId="31" borderId="14" xfId="0" applyNumberFormat="1" applyFont="1" applyFill="1" applyBorder="1" applyAlignment="1">
      <alignment horizontal="right" vertical="center" wrapText="1"/>
    </xf>
    <xf numFmtId="0" fontId="25" fillId="31" borderId="14" xfId="0" applyFont="1" applyFill="1" applyBorder="1" applyAlignment="1">
      <alignment horizontal="right" vertical="center" wrapText="1"/>
    </xf>
    <xf numFmtId="3" fontId="38" fillId="0" borderId="17" xfId="0" applyNumberFormat="1" applyFont="1" applyBorder="1" applyAlignment="1">
      <alignment horizontal="right" vertical="center" wrapText="1"/>
    </xf>
    <xf numFmtId="3" fontId="40" fillId="34" borderId="11" xfId="0" applyNumberFormat="1" applyFont="1" applyFill="1" applyBorder="1" applyAlignment="1">
      <alignment horizontal="right"/>
    </xf>
    <xf numFmtId="165" fontId="51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2" xfId="0" applyNumberFormat="1" applyFont="1" applyFill="1" applyBorder="1" applyAlignment="1">
      <alignment horizontal="center" vertical="center" wrapText="1"/>
    </xf>
    <xf numFmtId="165" fontId="31" fillId="0" borderId="52" xfId="0" applyNumberFormat="1" applyFont="1" applyFill="1" applyBorder="1" applyAlignment="1">
      <alignment horizontal="center" vertical="center" wrapText="1"/>
    </xf>
    <xf numFmtId="165" fontId="29" fillId="0" borderId="24" xfId="0" applyNumberFormat="1" applyFont="1" applyFill="1" applyBorder="1" applyAlignment="1">
      <alignment horizontal="center" vertical="center" wrapText="1"/>
    </xf>
    <xf numFmtId="165" fontId="29" fillId="0" borderId="15" xfId="0" applyNumberFormat="1" applyFont="1" applyFill="1" applyBorder="1" applyAlignment="1">
      <alignment horizontal="center" vertical="center" wrapText="1"/>
    </xf>
    <xf numFmtId="165" fontId="31" fillId="0" borderId="24" xfId="0" applyNumberFormat="1" applyFont="1" applyFill="1" applyBorder="1" applyAlignment="1">
      <alignment horizontal="center" vertical="center" wrapText="1"/>
    </xf>
    <xf numFmtId="165" fontId="31" fillId="0" borderId="15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top"/>
    </xf>
    <xf numFmtId="0" fontId="2" fillId="0" borderId="32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9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2" fillId="31" borderId="24" xfId="0" applyNumberFormat="1" applyFont="1" applyFill="1" applyBorder="1" applyAlignment="1">
      <alignment horizontal="center" vertical="center" wrapText="1"/>
    </xf>
    <xf numFmtId="3" fontId="2" fillId="38" borderId="17" xfId="0" applyNumberFormat="1" applyFont="1" applyFill="1" applyBorder="1" applyAlignment="1">
      <alignment horizontal="right" vertical="center"/>
    </xf>
    <xf numFmtId="3" fontId="2" fillId="31" borderId="17" xfId="0" applyNumberFormat="1" applyFont="1" applyFill="1" applyBorder="1" applyAlignment="1">
      <alignment vertical="center"/>
    </xf>
    <xf numFmtId="3" fontId="2" fillId="31" borderId="12" xfId="0" applyNumberFormat="1" applyFont="1" applyFill="1" applyBorder="1" applyAlignment="1">
      <alignment vertical="center"/>
    </xf>
    <xf numFmtId="3" fontId="2" fillId="31" borderId="62" xfId="0" applyNumberFormat="1" applyFont="1" applyFill="1" applyBorder="1" applyAlignment="1">
      <alignment vertical="center"/>
    </xf>
    <xf numFmtId="3" fontId="2" fillId="31" borderId="65" xfId="0" applyNumberFormat="1" applyFont="1" applyFill="1" applyBorder="1" applyAlignment="1">
      <alignment vertical="center"/>
    </xf>
    <xf numFmtId="3" fontId="2" fillId="31" borderId="33" xfId="0" applyNumberFormat="1" applyFont="1" applyFill="1" applyBorder="1" applyAlignment="1">
      <alignment vertical="center"/>
    </xf>
    <xf numFmtId="3" fontId="2" fillId="31" borderId="45" xfId="0" applyNumberFormat="1" applyFont="1" applyFill="1" applyBorder="1" applyAlignment="1">
      <alignment vertical="center"/>
    </xf>
    <xf numFmtId="3" fontId="2" fillId="31" borderId="13" xfId="0" applyNumberFormat="1" applyFont="1" applyFill="1" applyBorder="1" applyAlignment="1">
      <alignment vertical="center"/>
    </xf>
    <xf numFmtId="0" fontId="3" fillId="0" borderId="11" xfId="0" applyFont="1" applyBorder="1"/>
    <xf numFmtId="3" fontId="2" fillId="31" borderId="65" xfId="0" applyNumberFormat="1" applyFont="1" applyFill="1" applyBorder="1" applyAlignment="1">
      <alignment horizontal="right" vertical="center"/>
    </xf>
    <xf numFmtId="3" fontId="2" fillId="31" borderId="1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4" fillId="28" borderId="17" xfId="0" applyFont="1" applyFill="1" applyBorder="1" applyAlignment="1">
      <alignment horizontal="left"/>
    </xf>
    <xf numFmtId="0" fontId="44" fillId="28" borderId="30" xfId="0" applyFont="1" applyFill="1" applyBorder="1" applyAlignment="1">
      <alignment horizontal="left"/>
    </xf>
    <xf numFmtId="0" fontId="44" fillId="28" borderId="14" xfId="0" applyFont="1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9" fillId="27" borderId="17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left" vertical="center" wrapText="1"/>
    </xf>
    <xf numFmtId="0" fontId="39" fillId="27" borderId="14" xfId="0" applyFont="1" applyFill="1" applyBorder="1" applyAlignment="1">
      <alignment horizontal="left" vertical="center" wrapText="1"/>
    </xf>
    <xf numFmtId="0" fontId="39" fillId="24" borderId="17" xfId="0" applyFont="1" applyFill="1" applyBorder="1" applyAlignment="1">
      <alignment horizontal="left" vertical="center" wrapText="1"/>
    </xf>
    <xf numFmtId="0" fontId="39" fillId="24" borderId="14" xfId="0" applyFont="1" applyFill="1" applyBorder="1" applyAlignment="1">
      <alignment horizontal="left" vertical="center" wrapText="1"/>
    </xf>
    <xf numFmtId="0" fontId="39" fillId="24" borderId="17" xfId="0" applyFont="1" applyFill="1" applyBorder="1" applyAlignment="1">
      <alignment horizontal="left" vertical="top" wrapText="1"/>
    </xf>
    <xf numFmtId="0" fontId="39" fillId="24" borderId="14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39" fillId="26" borderId="17" xfId="0" applyFont="1" applyFill="1" applyBorder="1" applyAlignment="1">
      <alignment horizontal="left" vertical="top" wrapText="1"/>
    </xf>
    <xf numFmtId="0" fontId="39" fillId="26" borderId="14" xfId="0" applyFont="1" applyFill="1" applyBorder="1" applyAlignment="1">
      <alignment horizontal="left" vertical="top" wrapText="1"/>
    </xf>
    <xf numFmtId="0" fontId="37" fillId="24" borderId="33" xfId="0" applyFont="1" applyFill="1" applyBorder="1" applyAlignment="1">
      <alignment horizontal="center" vertical="center" wrapText="1"/>
    </xf>
    <xf numFmtId="0" fontId="37" fillId="24" borderId="54" xfId="0" applyFont="1" applyFill="1" applyBorder="1" applyAlignment="1">
      <alignment horizontal="center" vertical="center" wrapText="1"/>
    </xf>
    <xf numFmtId="0" fontId="37" fillId="24" borderId="55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left" vertical="top" wrapText="1"/>
    </xf>
    <xf numFmtId="0" fontId="25" fillId="24" borderId="14" xfId="0" applyFont="1" applyFill="1" applyBorder="1" applyAlignment="1">
      <alignment horizontal="left" vertical="top" wrapText="1"/>
    </xf>
    <xf numFmtId="0" fontId="25" fillId="26" borderId="17" xfId="0" applyFont="1" applyFill="1" applyBorder="1" applyAlignment="1">
      <alignment horizontal="left" vertical="top" wrapText="1"/>
    </xf>
    <xf numFmtId="0" fontId="25" fillId="31" borderId="17" xfId="0" applyFont="1" applyFill="1" applyBorder="1" applyAlignment="1">
      <alignment horizontal="left" vertical="center" wrapText="1"/>
    </xf>
    <xf numFmtId="0" fontId="39" fillId="31" borderId="14" xfId="0" applyFont="1" applyFill="1" applyBorder="1" applyAlignment="1">
      <alignment horizontal="left" vertical="center" wrapText="1"/>
    </xf>
    <xf numFmtId="0" fontId="0" fillId="0" borderId="34" xfId="0" applyFill="1" applyBorder="1" applyAlignment="1">
      <alignment horizontal="center"/>
    </xf>
    <xf numFmtId="0" fontId="38" fillId="0" borderId="18" xfId="0" applyFont="1" applyFill="1" applyBorder="1" applyAlignment="1">
      <alignment horizontal="center" wrapText="1"/>
    </xf>
    <xf numFmtId="0" fontId="38" fillId="0" borderId="16" xfId="0" applyFont="1" applyFill="1" applyBorder="1" applyAlignment="1">
      <alignment horizont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25" fillId="24" borderId="17" xfId="0" applyFont="1" applyFill="1" applyBorder="1" applyAlignment="1">
      <alignment horizontal="left" vertical="center" wrapText="1"/>
    </xf>
    <xf numFmtId="0" fontId="25" fillId="24" borderId="14" xfId="0" applyFont="1" applyFill="1" applyBorder="1" applyAlignment="1">
      <alignment horizontal="left" vertical="center" wrapText="1"/>
    </xf>
    <xf numFmtId="3" fontId="38" fillId="24" borderId="17" xfId="0" applyNumberFormat="1" applyFont="1" applyFill="1" applyBorder="1" applyAlignment="1">
      <alignment horizontal="center" vertical="center" wrapText="1"/>
    </xf>
    <xf numFmtId="3" fontId="38" fillId="24" borderId="30" xfId="0" applyNumberFormat="1" applyFont="1" applyFill="1" applyBorder="1" applyAlignment="1">
      <alignment horizontal="center" vertical="center" wrapText="1"/>
    </xf>
    <xf numFmtId="3" fontId="38" fillId="24" borderId="14" xfId="0" applyNumberFormat="1" applyFont="1" applyFill="1" applyBorder="1" applyAlignment="1">
      <alignment horizontal="center" vertical="center" wrapText="1"/>
    </xf>
    <xf numFmtId="3" fontId="38" fillId="24" borderId="18" xfId="0" applyNumberFormat="1" applyFont="1" applyFill="1" applyBorder="1" applyAlignment="1">
      <alignment horizontal="center" vertical="center" wrapText="1"/>
    </xf>
    <xf numFmtId="3" fontId="38" fillId="24" borderId="16" xfId="0" applyNumberFormat="1" applyFont="1" applyFill="1" applyBorder="1" applyAlignment="1">
      <alignment horizontal="center" vertical="center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54" xfId="0" applyFont="1" applyFill="1" applyBorder="1" applyAlignment="1">
      <alignment horizontal="center" vertical="center" wrapText="1"/>
    </xf>
    <xf numFmtId="0" fontId="38" fillId="24" borderId="55" xfId="0" applyFont="1" applyFill="1" applyBorder="1" applyAlignment="1">
      <alignment horizontal="center" vertical="center" wrapText="1"/>
    </xf>
    <xf numFmtId="0" fontId="38" fillId="24" borderId="38" xfId="0" applyFont="1" applyFill="1" applyBorder="1" applyAlignment="1">
      <alignment horizontal="center" vertical="center" wrapText="1"/>
    </xf>
    <xf numFmtId="0" fontId="38" fillId="24" borderId="0" xfId="0" applyFont="1" applyFill="1" applyBorder="1" applyAlignment="1">
      <alignment horizontal="center" vertical="center" wrapText="1"/>
    </xf>
    <xf numFmtId="0" fontId="38" fillId="24" borderId="68" xfId="0" applyFont="1" applyFill="1" applyBorder="1" applyAlignment="1">
      <alignment horizontal="center" vertical="center" wrapText="1"/>
    </xf>
    <xf numFmtId="0" fontId="38" fillId="24" borderId="18" xfId="0" applyFont="1" applyFill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5" fillId="31" borderId="17" xfId="0" applyFont="1" applyFill="1" applyBorder="1" applyAlignment="1">
      <alignment horizontal="center" vertical="center" wrapText="1"/>
    </xf>
    <xf numFmtId="0" fontId="25" fillId="31" borderId="14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left" vertical="center"/>
    </xf>
    <xf numFmtId="0" fontId="25" fillId="27" borderId="11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25" fillId="26" borderId="11" xfId="0" applyFont="1" applyFill="1" applyBorder="1" applyAlignment="1">
      <alignment horizontal="left" vertical="center" wrapText="1"/>
    </xf>
    <xf numFmtId="0" fontId="39" fillId="24" borderId="11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30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9" fillId="27" borderId="25" xfId="0" applyFont="1" applyFill="1" applyBorder="1" applyAlignment="1">
      <alignment horizontal="left" vertical="center" wrapText="1"/>
    </xf>
    <xf numFmtId="0" fontId="39" fillId="27" borderId="32" xfId="0" applyFont="1" applyFill="1" applyBorder="1" applyAlignment="1">
      <alignment horizontal="left" vertical="center" wrapText="1"/>
    </xf>
    <xf numFmtId="0" fontId="39" fillId="27" borderId="56" xfId="0" applyFont="1" applyFill="1" applyBorder="1" applyAlignment="1">
      <alignment horizontal="left" vertical="center" wrapText="1"/>
    </xf>
    <xf numFmtId="0" fontId="39" fillId="27" borderId="11" xfId="0" applyFont="1" applyFill="1" applyBorder="1" applyAlignment="1">
      <alignment horizontal="left" vertical="center" wrapText="1"/>
    </xf>
    <xf numFmtId="0" fontId="25" fillId="29" borderId="17" xfId="0" applyFont="1" applyFill="1" applyBorder="1" applyAlignment="1">
      <alignment horizontal="left" vertical="center" wrapText="1"/>
    </xf>
    <xf numFmtId="0" fontId="25" fillId="29" borderId="14" xfId="0" applyFont="1" applyFill="1" applyBorder="1" applyAlignment="1">
      <alignment horizontal="left" vertical="center" wrapText="1"/>
    </xf>
    <xf numFmtId="0" fontId="4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5" fillId="27" borderId="25" xfId="0" applyFont="1" applyFill="1" applyBorder="1" applyAlignment="1">
      <alignment horizontal="left" vertical="center" wrapText="1"/>
    </xf>
    <xf numFmtId="0" fontId="25" fillId="27" borderId="32" xfId="0" applyFont="1" applyFill="1" applyBorder="1" applyAlignment="1">
      <alignment horizontal="left" vertical="center" wrapText="1"/>
    </xf>
    <xf numFmtId="0" fontId="25" fillId="27" borderId="56" xfId="0" applyFont="1" applyFill="1" applyBorder="1" applyAlignment="1">
      <alignment horizontal="left" vertical="center" wrapText="1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3" fontId="43" fillId="0" borderId="32" xfId="0" applyNumberFormat="1" applyFont="1" applyBorder="1" applyAlignment="1">
      <alignment horizontal="center" vertical="center"/>
    </xf>
    <xf numFmtId="0" fontId="38" fillId="24" borderId="25" xfId="0" applyFont="1" applyFill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 wrapText="1"/>
    </xf>
    <xf numFmtId="0" fontId="38" fillId="24" borderId="56" xfId="0" applyFont="1" applyFill="1" applyBorder="1" applyAlignment="1">
      <alignment horizontal="center" vertical="center" wrapText="1"/>
    </xf>
    <xf numFmtId="0" fontId="38" fillId="24" borderId="16" xfId="0" applyFont="1" applyFill="1" applyBorder="1" applyAlignment="1">
      <alignment horizontal="center" vertical="center" wrapText="1"/>
    </xf>
    <xf numFmtId="3" fontId="50" fillId="24" borderId="18" xfId="0" applyNumberFormat="1" applyFont="1" applyFill="1" applyBorder="1" applyAlignment="1">
      <alignment horizontal="center" vertical="center" wrapText="1"/>
    </xf>
    <xf numFmtId="3" fontId="50" fillId="24" borderId="16" xfId="0" applyNumberFormat="1" applyFont="1" applyFill="1" applyBorder="1" applyAlignment="1">
      <alignment horizontal="center" vertical="center" wrapText="1"/>
    </xf>
    <xf numFmtId="165" fontId="28" fillId="0" borderId="36" xfId="0" applyNumberFormat="1" applyFont="1" applyBorder="1" applyAlignment="1">
      <alignment horizontal="center" vertical="center" wrapText="1"/>
    </xf>
    <xf numFmtId="165" fontId="28" fillId="0" borderId="41" xfId="0" applyNumberFormat="1" applyFont="1" applyBorder="1" applyAlignment="1">
      <alignment horizontal="center" vertical="center" wrapText="1"/>
    </xf>
    <xf numFmtId="165" fontId="29" fillId="0" borderId="42" xfId="0" applyNumberFormat="1" applyFont="1" applyBorder="1" applyAlignment="1">
      <alignment horizontal="center" vertical="center" wrapText="1"/>
    </xf>
    <xf numFmtId="165" fontId="29" fillId="0" borderId="53" xfId="0" applyNumberFormat="1" applyFont="1" applyBorder="1" applyAlignment="1">
      <alignment horizontal="center" vertical="center" wrapText="1"/>
    </xf>
    <xf numFmtId="165" fontId="29" fillId="0" borderId="48" xfId="0" applyNumberFormat="1" applyFont="1" applyBorder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165" fontId="28" fillId="0" borderId="57" xfId="0" applyNumberFormat="1" applyFont="1" applyBorder="1" applyAlignment="1">
      <alignment horizontal="center" vertical="center" wrapText="1"/>
    </xf>
    <xf numFmtId="165" fontId="28" fillId="0" borderId="58" xfId="0" applyNumberFormat="1" applyFont="1" applyBorder="1" applyAlignment="1">
      <alignment horizontal="center" vertical="center" wrapText="1"/>
    </xf>
    <xf numFmtId="0" fontId="2" fillId="31" borderId="59" xfId="0" applyFont="1" applyFill="1" applyBorder="1" applyAlignment="1">
      <alignment horizontal="left" vertical="center"/>
    </xf>
    <xf numFmtId="0" fontId="2" fillId="31" borderId="60" xfId="0" applyFont="1" applyFill="1" applyBorder="1" applyAlignment="1">
      <alignment horizontal="left" vertical="center"/>
    </xf>
    <xf numFmtId="0" fontId="2" fillId="24" borderId="29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/>
    </xf>
    <xf numFmtId="0" fontId="2" fillId="24" borderId="52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1" borderId="17" xfId="0" applyFont="1" applyFill="1" applyBorder="1" applyAlignment="1">
      <alignment horizontal="left" vertical="center"/>
    </xf>
    <xf numFmtId="0" fontId="2" fillId="1" borderId="30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31" borderId="18" xfId="0" applyFont="1" applyFill="1" applyBorder="1" applyAlignment="1">
      <alignment horizontal="left" vertical="center"/>
    </xf>
    <xf numFmtId="0" fontId="2" fillId="30" borderId="17" xfId="0" applyFont="1" applyFill="1" applyBorder="1" applyAlignment="1">
      <alignment horizontal="left" vertical="center"/>
    </xf>
    <xf numFmtId="0" fontId="2" fillId="30" borderId="30" xfId="0" applyFont="1" applyFill="1" applyBorder="1" applyAlignment="1">
      <alignment horizontal="left" vertical="center"/>
    </xf>
    <xf numFmtId="0" fontId="2" fillId="30" borderId="14" xfId="0" applyFont="1" applyFill="1" applyBorder="1" applyAlignment="1">
      <alignment horizontal="left" vertical="center"/>
    </xf>
    <xf numFmtId="0" fontId="2" fillId="31" borderId="62" xfId="0" applyFont="1" applyFill="1" applyBorder="1" applyAlignment="1">
      <alignment horizontal="left" vertical="center"/>
    </xf>
    <xf numFmtId="0" fontId="2" fillId="31" borderId="63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2" fontId="2" fillId="0" borderId="17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4" borderId="53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top"/>
    </xf>
    <xf numFmtId="0" fontId="2" fillId="0" borderId="73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53" fillId="0" borderId="36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3" fillId="0" borderId="76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24" borderId="61" xfId="0" applyNumberFormat="1" applyFont="1" applyFill="1" applyBorder="1" applyAlignment="1">
      <alignment horizontal="center" vertical="center" wrapText="1"/>
    </xf>
    <xf numFmtId="49" fontId="2" fillId="24" borderId="19" xfId="0" applyNumberFormat="1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 wrapText="1"/>
    </xf>
    <xf numFmtId="0" fontId="0" fillId="0" borderId="35" xfId="0" applyBorder="1"/>
    <xf numFmtId="0" fontId="3" fillId="0" borderId="62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N54"/>
  <sheetViews>
    <sheetView tabSelected="1" workbookViewId="0">
      <selection activeCell="H54" sqref="H54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7.5703125" style="109" customWidth="1"/>
    <col min="5" max="10" width="17.7109375" style="129" customWidth="1"/>
    <col min="11" max="11" width="13.7109375" style="129" bestFit="1" customWidth="1"/>
  </cols>
  <sheetData>
    <row r="1" spans="1:14" ht="21.75" customHeight="1" x14ac:dyDescent="0.2">
      <c r="A1" s="503" t="s">
        <v>440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351"/>
    </row>
    <row r="2" spans="1:14" ht="28.5" customHeight="1" x14ac:dyDescent="0.2">
      <c r="A2" s="504" t="s">
        <v>80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351"/>
    </row>
    <row r="3" spans="1:14" ht="50.25" customHeight="1" x14ac:dyDescent="0.2">
      <c r="A3" s="522" t="s">
        <v>37</v>
      </c>
      <c r="B3" s="523"/>
      <c r="C3" s="524"/>
      <c r="D3" s="196" t="s">
        <v>255</v>
      </c>
      <c r="E3" s="195" t="s">
        <v>359</v>
      </c>
      <c r="F3" s="195" t="s">
        <v>361</v>
      </c>
      <c r="G3" s="120" t="s">
        <v>406</v>
      </c>
      <c r="H3" s="120" t="s">
        <v>443</v>
      </c>
      <c r="I3" s="120" t="s">
        <v>362</v>
      </c>
      <c r="J3" s="120" t="s">
        <v>360</v>
      </c>
      <c r="K3" s="120" t="s">
        <v>404</v>
      </c>
    </row>
    <row r="4" spans="1:14" ht="17.25" customHeight="1" x14ac:dyDescent="0.2">
      <c r="A4" s="517" t="s">
        <v>38</v>
      </c>
      <c r="B4" s="116"/>
      <c r="C4" s="113" t="s">
        <v>195</v>
      </c>
      <c r="D4" s="140" t="s">
        <v>256</v>
      </c>
      <c r="E4" s="349">
        <v>13739118</v>
      </c>
      <c r="F4" s="349">
        <v>255095</v>
      </c>
      <c r="G4" s="349">
        <v>121628</v>
      </c>
      <c r="H4" s="357">
        <f>I4-E4-F4-G4</f>
        <v>120743</v>
      </c>
      <c r="I4" s="349">
        <v>14236584</v>
      </c>
      <c r="J4" s="357">
        <v>14236584</v>
      </c>
      <c r="K4" s="357">
        <f>J4/I4*100</f>
        <v>100</v>
      </c>
      <c r="M4" s="351"/>
    </row>
    <row r="5" spans="1:14" ht="25.5" x14ac:dyDescent="0.2">
      <c r="A5" s="518"/>
      <c r="B5" s="116"/>
      <c r="C5" s="113" t="s">
        <v>352</v>
      </c>
      <c r="D5" s="140" t="s">
        <v>257</v>
      </c>
      <c r="E5" s="349">
        <v>0</v>
      </c>
      <c r="F5" s="349">
        <v>0</v>
      </c>
      <c r="G5" s="349">
        <v>0</v>
      </c>
      <c r="H5" s="357">
        <f t="shared" ref="H5:H9" si="0">I5-E5-F5-G5</f>
        <v>0</v>
      </c>
      <c r="I5" s="357">
        <v>0</v>
      </c>
      <c r="J5" s="357">
        <v>0</v>
      </c>
      <c r="K5" s="357"/>
      <c r="M5" s="351"/>
    </row>
    <row r="6" spans="1:14" ht="25.5" x14ac:dyDescent="0.2">
      <c r="A6" s="518"/>
      <c r="B6" s="116"/>
      <c r="C6" s="113" t="s">
        <v>434</v>
      </c>
      <c r="D6" s="140" t="s">
        <v>435</v>
      </c>
      <c r="E6" s="349">
        <v>7060000</v>
      </c>
      <c r="F6" s="349">
        <v>0</v>
      </c>
      <c r="G6" s="349">
        <v>0</v>
      </c>
      <c r="H6" s="357">
        <f t="shared" si="0"/>
        <v>0</v>
      </c>
      <c r="I6" s="357">
        <v>7060000</v>
      </c>
      <c r="J6" s="357">
        <v>7060000</v>
      </c>
      <c r="K6" s="357">
        <f t="shared" ref="K6" si="1">J6/I6*100</f>
        <v>100</v>
      </c>
      <c r="M6" s="351"/>
    </row>
    <row r="7" spans="1:14" ht="25.5" x14ac:dyDescent="0.2">
      <c r="A7" s="518"/>
      <c r="B7" s="116"/>
      <c r="C7" s="113" t="s">
        <v>436</v>
      </c>
      <c r="D7" s="140" t="s">
        <v>437</v>
      </c>
      <c r="E7" s="349">
        <v>13483271</v>
      </c>
      <c r="F7" s="349">
        <v>0</v>
      </c>
      <c r="G7" s="349">
        <v>-3805838</v>
      </c>
      <c r="H7" s="357">
        <f t="shared" si="0"/>
        <v>-3985097</v>
      </c>
      <c r="I7" s="357">
        <v>5692336</v>
      </c>
      <c r="J7" s="357">
        <v>5692336</v>
      </c>
      <c r="K7" s="357">
        <f>J7/I7*100</f>
        <v>100</v>
      </c>
      <c r="M7" s="351"/>
      <c r="N7" s="351"/>
    </row>
    <row r="8" spans="1:14" ht="14.25" customHeight="1" x14ac:dyDescent="0.2">
      <c r="A8" s="518"/>
      <c r="B8" s="116"/>
      <c r="C8" s="113" t="s">
        <v>196</v>
      </c>
      <c r="D8" s="140" t="s">
        <v>258</v>
      </c>
      <c r="E8" s="349">
        <v>2405673</v>
      </c>
      <c r="F8" s="349">
        <v>0</v>
      </c>
      <c r="G8" s="349">
        <v>826890</v>
      </c>
      <c r="H8" s="357">
        <f t="shared" si="0"/>
        <v>0</v>
      </c>
      <c r="I8" s="357">
        <v>3232563</v>
      </c>
      <c r="J8" s="357">
        <v>3232563</v>
      </c>
      <c r="K8" s="357">
        <f t="shared" ref="K8:K52" si="2">J8/I8*100</f>
        <v>100</v>
      </c>
      <c r="M8" s="351"/>
    </row>
    <row r="9" spans="1:14" ht="25.5" x14ac:dyDescent="0.2">
      <c r="A9" s="518"/>
      <c r="B9" s="116"/>
      <c r="C9" s="359" t="s">
        <v>407</v>
      </c>
      <c r="D9" s="360" t="s">
        <v>408</v>
      </c>
      <c r="E9" s="349">
        <v>0</v>
      </c>
      <c r="F9" s="349">
        <v>0</v>
      </c>
      <c r="G9" s="349">
        <v>933450</v>
      </c>
      <c r="H9" s="357">
        <f t="shared" si="0"/>
        <v>0</v>
      </c>
      <c r="I9" s="357">
        <v>933450</v>
      </c>
      <c r="J9" s="357">
        <v>933450</v>
      </c>
      <c r="K9" s="357">
        <f t="shared" si="2"/>
        <v>100</v>
      </c>
      <c r="M9" s="351"/>
    </row>
    <row r="10" spans="1:14" ht="18" customHeight="1" x14ac:dyDescent="0.2">
      <c r="A10" s="518"/>
      <c r="B10" s="520" t="s">
        <v>197</v>
      </c>
      <c r="C10" s="521"/>
      <c r="D10" s="361" t="s">
        <v>259</v>
      </c>
      <c r="E10" s="352">
        <f t="shared" ref="E10:J10" si="3">SUM(E4:E9)</f>
        <v>36688062</v>
      </c>
      <c r="F10" s="352">
        <f t="shared" si="3"/>
        <v>255095</v>
      </c>
      <c r="G10" s="352">
        <f t="shared" si="3"/>
        <v>-1923870</v>
      </c>
      <c r="H10" s="352">
        <f t="shared" si="3"/>
        <v>-3864354</v>
      </c>
      <c r="I10" s="352">
        <f t="shared" si="3"/>
        <v>31154933</v>
      </c>
      <c r="J10" s="352">
        <f t="shared" si="3"/>
        <v>31154933</v>
      </c>
      <c r="K10" s="352">
        <f t="shared" si="2"/>
        <v>100</v>
      </c>
      <c r="L10" s="351"/>
      <c r="M10" s="351"/>
    </row>
    <row r="11" spans="1:14" x14ac:dyDescent="0.2">
      <c r="A11" s="518"/>
      <c r="B11" s="117"/>
      <c r="C11" s="135" t="s">
        <v>318</v>
      </c>
      <c r="D11" s="135" t="s">
        <v>260</v>
      </c>
      <c r="E11" s="349">
        <v>0</v>
      </c>
      <c r="F11" s="349">
        <v>0</v>
      </c>
      <c r="G11" s="349">
        <v>0</v>
      </c>
      <c r="H11" s="357">
        <f>I11-E11-F11-G11</f>
        <v>0</v>
      </c>
      <c r="I11" s="357">
        <v>0</v>
      </c>
      <c r="J11" s="357">
        <v>0</v>
      </c>
      <c r="K11" s="357"/>
      <c r="M11" s="351"/>
    </row>
    <row r="12" spans="1:14" x14ac:dyDescent="0.2">
      <c r="A12" s="518"/>
      <c r="B12" s="117"/>
      <c r="C12" s="110" t="s">
        <v>211</v>
      </c>
      <c r="D12" s="135" t="s">
        <v>260</v>
      </c>
      <c r="E12" s="349">
        <v>6692160</v>
      </c>
      <c r="F12" s="349">
        <v>587500</v>
      </c>
      <c r="G12" s="349">
        <v>0</v>
      </c>
      <c r="H12" s="357">
        <f t="shared" ref="H12:H14" si="4">I12-E12-F12-G12</f>
        <v>-1345560</v>
      </c>
      <c r="I12" s="357">
        <v>5934100</v>
      </c>
      <c r="J12" s="357">
        <v>5934100</v>
      </c>
      <c r="K12" s="357">
        <f t="shared" si="2"/>
        <v>100</v>
      </c>
      <c r="M12" s="351"/>
    </row>
    <row r="13" spans="1:14" x14ac:dyDescent="0.2">
      <c r="A13" s="518"/>
      <c r="B13" s="117"/>
      <c r="C13" s="110" t="s">
        <v>212</v>
      </c>
      <c r="D13" s="135" t="s">
        <v>260</v>
      </c>
      <c r="E13" s="349">
        <v>4400000</v>
      </c>
      <c r="F13" s="349">
        <v>0</v>
      </c>
      <c r="G13" s="349">
        <v>0</v>
      </c>
      <c r="H13" s="357">
        <f t="shared" si="4"/>
        <v>-1181730</v>
      </c>
      <c r="I13" s="357">
        <v>3218270</v>
      </c>
      <c r="J13" s="357">
        <v>3218270</v>
      </c>
      <c r="K13" s="357">
        <f t="shared" si="2"/>
        <v>100</v>
      </c>
      <c r="M13" s="351"/>
    </row>
    <row r="14" spans="1:14" x14ac:dyDescent="0.2">
      <c r="A14" s="518"/>
      <c r="B14" s="117"/>
      <c r="C14" s="110" t="s">
        <v>213</v>
      </c>
      <c r="D14" s="135" t="s">
        <v>260</v>
      </c>
      <c r="E14" s="349">
        <v>793846</v>
      </c>
      <c r="F14" s="349">
        <v>0</v>
      </c>
      <c r="G14" s="349">
        <v>0</v>
      </c>
      <c r="H14" s="357">
        <f t="shared" si="4"/>
        <v>0</v>
      </c>
      <c r="I14" s="357">
        <v>793846</v>
      </c>
      <c r="J14" s="357">
        <v>793846</v>
      </c>
      <c r="K14" s="357">
        <f t="shared" si="2"/>
        <v>100</v>
      </c>
      <c r="M14" s="351"/>
    </row>
    <row r="15" spans="1:14" s="107" customFormat="1" ht="18.75" customHeight="1" x14ac:dyDescent="0.2">
      <c r="A15" s="518"/>
      <c r="B15" s="520" t="s">
        <v>214</v>
      </c>
      <c r="C15" s="521"/>
      <c r="D15" s="361" t="s">
        <v>260</v>
      </c>
      <c r="E15" s="352">
        <f t="shared" ref="E15:J15" si="5">SUM(E11:E14)</f>
        <v>11886006</v>
      </c>
      <c r="F15" s="352">
        <f t="shared" si="5"/>
        <v>587500</v>
      </c>
      <c r="G15" s="352">
        <f t="shared" si="5"/>
        <v>0</v>
      </c>
      <c r="H15" s="352">
        <f t="shared" si="5"/>
        <v>-2527290</v>
      </c>
      <c r="I15" s="352">
        <f t="shared" si="5"/>
        <v>9946216</v>
      </c>
      <c r="J15" s="352">
        <f t="shared" si="5"/>
        <v>9946216</v>
      </c>
      <c r="K15" s="352">
        <f t="shared" si="2"/>
        <v>100</v>
      </c>
      <c r="M15" s="369"/>
    </row>
    <row r="16" spans="1:14" s="111" customFormat="1" ht="22.5" customHeight="1" x14ac:dyDescent="0.2">
      <c r="A16" s="519"/>
      <c r="B16" s="513" t="s">
        <v>215</v>
      </c>
      <c r="C16" s="514"/>
      <c r="D16" s="186" t="s">
        <v>261</v>
      </c>
      <c r="E16" s="130">
        <f t="shared" ref="E16:J16" si="6">E10+E15</f>
        <v>48574068</v>
      </c>
      <c r="F16" s="130">
        <f t="shared" si="6"/>
        <v>842595</v>
      </c>
      <c r="G16" s="130">
        <f t="shared" si="6"/>
        <v>-1923870</v>
      </c>
      <c r="H16" s="130">
        <f t="shared" si="6"/>
        <v>-6391644</v>
      </c>
      <c r="I16" s="130">
        <f t="shared" si="6"/>
        <v>41101149</v>
      </c>
      <c r="J16" s="130">
        <f t="shared" si="6"/>
        <v>41101149</v>
      </c>
      <c r="K16" s="353">
        <f t="shared" si="2"/>
        <v>100</v>
      </c>
      <c r="M16" s="201"/>
    </row>
    <row r="17" spans="1:14" s="148" customFormat="1" ht="17.25" customHeight="1" x14ac:dyDescent="0.2">
      <c r="A17" s="508" t="s">
        <v>39</v>
      </c>
      <c r="B17" s="365"/>
      <c r="C17" s="364" t="s">
        <v>410</v>
      </c>
      <c r="D17" s="364" t="s">
        <v>409</v>
      </c>
      <c r="E17" s="357">
        <v>0</v>
      </c>
      <c r="F17" s="357">
        <v>0</v>
      </c>
      <c r="G17" s="357">
        <v>19540998</v>
      </c>
      <c r="H17" s="357">
        <f>I17-E17-F17-G17</f>
        <v>0</v>
      </c>
      <c r="I17" s="357">
        <v>19540998</v>
      </c>
      <c r="J17" s="357">
        <v>19540998</v>
      </c>
      <c r="K17" s="357">
        <f t="shared" si="2"/>
        <v>100</v>
      </c>
      <c r="M17" s="370"/>
    </row>
    <row r="18" spans="1:14" s="148" customFormat="1" ht="25.5" x14ac:dyDescent="0.2">
      <c r="A18" s="530"/>
      <c r="B18" s="365"/>
      <c r="C18" s="364" t="s">
        <v>411</v>
      </c>
      <c r="D18" s="364" t="s">
        <v>412</v>
      </c>
      <c r="E18" s="357">
        <v>0</v>
      </c>
      <c r="F18" s="357">
        <v>0</v>
      </c>
      <c r="G18" s="357">
        <v>14973300</v>
      </c>
      <c r="H18" s="357">
        <f>I18-E18-F18-G18</f>
        <v>12929391</v>
      </c>
      <c r="I18" s="357">
        <v>27902691</v>
      </c>
      <c r="J18" s="357">
        <v>27902691</v>
      </c>
      <c r="K18" s="357">
        <f t="shared" si="2"/>
        <v>100</v>
      </c>
      <c r="M18" s="370"/>
    </row>
    <row r="19" spans="1:14" s="111" customFormat="1" ht="15.75" customHeight="1" x14ac:dyDescent="0.2">
      <c r="A19" s="509"/>
      <c r="B19" s="528" t="s">
        <v>413</v>
      </c>
      <c r="C19" s="529"/>
      <c r="D19" s="366" t="s">
        <v>414</v>
      </c>
      <c r="E19" s="353">
        <f t="shared" ref="E19:J19" si="7">SUM(E17:E18)</f>
        <v>0</v>
      </c>
      <c r="F19" s="353">
        <f t="shared" si="7"/>
        <v>0</v>
      </c>
      <c r="G19" s="353">
        <f t="shared" si="7"/>
        <v>34514298</v>
      </c>
      <c r="H19" s="353">
        <f t="shared" si="7"/>
        <v>12929391</v>
      </c>
      <c r="I19" s="353">
        <f t="shared" si="7"/>
        <v>47443689</v>
      </c>
      <c r="J19" s="353">
        <f t="shared" si="7"/>
        <v>47443689</v>
      </c>
      <c r="K19" s="353">
        <f t="shared" si="2"/>
        <v>100</v>
      </c>
      <c r="M19" s="201"/>
    </row>
    <row r="20" spans="1:14" s="107" customFormat="1" ht="12.75" customHeight="1" x14ac:dyDescent="0.2">
      <c r="A20" s="517" t="s">
        <v>40</v>
      </c>
      <c r="B20" s="527" t="s">
        <v>444</v>
      </c>
      <c r="C20" s="521"/>
      <c r="D20" s="361" t="s">
        <v>262</v>
      </c>
      <c r="E20" s="352">
        <v>5300000</v>
      </c>
      <c r="F20" s="352">
        <v>0</v>
      </c>
      <c r="G20" s="352">
        <v>469255</v>
      </c>
      <c r="H20" s="352">
        <f>I20-E20-F20-G20</f>
        <v>874074</v>
      </c>
      <c r="I20" s="352">
        <v>6643329</v>
      </c>
      <c r="J20" s="352">
        <v>6258400</v>
      </c>
      <c r="K20" s="352">
        <f t="shared" si="2"/>
        <v>94.20578146889909</v>
      </c>
      <c r="M20" s="369"/>
      <c r="N20" s="351"/>
    </row>
    <row r="21" spans="1:14" x14ac:dyDescent="0.2">
      <c r="A21" s="518"/>
      <c r="B21" s="116" t="s">
        <v>38</v>
      </c>
      <c r="C21" s="113" t="s">
        <v>192</v>
      </c>
      <c r="D21" s="140" t="s">
        <v>263</v>
      </c>
      <c r="E21" s="349">
        <v>30000000</v>
      </c>
      <c r="F21" s="349">
        <v>0</v>
      </c>
      <c r="G21" s="349">
        <v>0</v>
      </c>
      <c r="H21" s="357">
        <f>I21-E21-F21-G21</f>
        <v>2683422</v>
      </c>
      <c r="I21" s="357">
        <v>32683422</v>
      </c>
      <c r="J21" s="357">
        <v>31786686</v>
      </c>
      <c r="K21" s="357">
        <f t="shared" si="2"/>
        <v>97.256297091534663</v>
      </c>
      <c r="M21" s="351"/>
    </row>
    <row r="22" spans="1:14" x14ac:dyDescent="0.2">
      <c r="A22" s="518"/>
      <c r="B22" s="116" t="s">
        <v>39</v>
      </c>
      <c r="C22" s="113" t="s">
        <v>199</v>
      </c>
      <c r="D22" s="140" t="s">
        <v>264</v>
      </c>
      <c r="E22" s="349">
        <v>7000000</v>
      </c>
      <c r="F22" s="349">
        <v>-7000000</v>
      </c>
      <c r="G22" s="349">
        <v>0</v>
      </c>
      <c r="H22" s="357">
        <f t="shared" ref="H22:H23" si="8">I22-E22-F22-G22</f>
        <v>0</v>
      </c>
      <c r="I22" s="357">
        <v>0</v>
      </c>
      <c r="J22" s="357">
        <v>0</v>
      </c>
      <c r="K22" s="357"/>
      <c r="M22" s="351"/>
    </row>
    <row r="23" spans="1:14" x14ac:dyDescent="0.2">
      <c r="A23" s="518"/>
      <c r="B23" s="116" t="s">
        <v>40</v>
      </c>
      <c r="C23" s="113" t="s">
        <v>193</v>
      </c>
      <c r="D23" s="140" t="s">
        <v>265</v>
      </c>
      <c r="E23" s="349">
        <v>0</v>
      </c>
      <c r="F23" s="349">
        <v>0</v>
      </c>
      <c r="G23" s="349">
        <v>0</v>
      </c>
      <c r="H23" s="357">
        <f t="shared" si="8"/>
        <v>0</v>
      </c>
      <c r="I23" s="357">
        <v>0</v>
      </c>
      <c r="J23" s="357">
        <v>0</v>
      </c>
      <c r="K23" s="357"/>
      <c r="M23" s="351"/>
    </row>
    <row r="24" spans="1:14" ht="17.25" customHeight="1" x14ac:dyDescent="0.2">
      <c r="A24" s="518"/>
      <c r="B24" s="520" t="s">
        <v>245</v>
      </c>
      <c r="C24" s="521"/>
      <c r="D24" s="361" t="s">
        <v>266</v>
      </c>
      <c r="E24" s="352">
        <f t="shared" ref="E24:J24" si="9">SUM(E21:E23)</f>
        <v>37000000</v>
      </c>
      <c r="F24" s="352">
        <f t="shared" si="9"/>
        <v>-7000000</v>
      </c>
      <c r="G24" s="352">
        <f t="shared" si="9"/>
        <v>0</v>
      </c>
      <c r="H24" s="352">
        <f t="shared" si="9"/>
        <v>2683422</v>
      </c>
      <c r="I24" s="352">
        <f t="shared" si="9"/>
        <v>32683422</v>
      </c>
      <c r="J24" s="352">
        <f t="shared" si="9"/>
        <v>31786686</v>
      </c>
      <c r="K24" s="352">
        <f>J24/I24*100</f>
        <v>97.256297091534663</v>
      </c>
      <c r="M24" s="351"/>
    </row>
    <row r="25" spans="1:14" s="107" customFormat="1" ht="18.75" customHeight="1" x14ac:dyDescent="0.2">
      <c r="A25" s="518"/>
      <c r="B25" s="520" t="s">
        <v>194</v>
      </c>
      <c r="C25" s="521"/>
      <c r="D25" s="361" t="s">
        <v>267</v>
      </c>
      <c r="E25" s="352">
        <v>0</v>
      </c>
      <c r="F25" s="352">
        <v>0</v>
      </c>
      <c r="G25" s="352">
        <v>270439</v>
      </c>
      <c r="H25" s="352">
        <f>I25-E25-F25-G25</f>
        <v>606951</v>
      </c>
      <c r="I25" s="352">
        <v>877390</v>
      </c>
      <c r="J25" s="352">
        <v>424260</v>
      </c>
      <c r="K25" s="352">
        <f>J25/I25*100</f>
        <v>48.354779516520594</v>
      </c>
      <c r="M25" s="369"/>
      <c r="N25" s="351"/>
    </row>
    <row r="26" spans="1:14" s="111" customFormat="1" ht="18" customHeight="1" x14ac:dyDescent="0.2">
      <c r="A26" s="519"/>
      <c r="B26" s="513" t="s">
        <v>200</v>
      </c>
      <c r="C26" s="514"/>
      <c r="D26" s="186" t="s">
        <v>268</v>
      </c>
      <c r="E26" s="130">
        <f t="shared" ref="E26:J26" si="10">E20+E24+E25</f>
        <v>42300000</v>
      </c>
      <c r="F26" s="130">
        <f t="shared" si="10"/>
        <v>-7000000</v>
      </c>
      <c r="G26" s="130">
        <f t="shared" si="10"/>
        <v>739694</v>
      </c>
      <c r="H26" s="130">
        <f t="shared" si="10"/>
        <v>4164447</v>
      </c>
      <c r="I26" s="130">
        <f t="shared" si="10"/>
        <v>40204141</v>
      </c>
      <c r="J26" s="130">
        <f t="shared" si="10"/>
        <v>38469346</v>
      </c>
      <c r="K26" s="353">
        <f t="shared" si="2"/>
        <v>95.685034036668014</v>
      </c>
      <c r="M26" s="201"/>
      <c r="N26" s="201"/>
    </row>
    <row r="27" spans="1:14" x14ac:dyDescent="0.2">
      <c r="A27" s="517" t="s">
        <v>41</v>
      </c>
      <c r="B27" s="118"/>
      <c r="C27" s="113" t="s">
        <v>202</v>
      </c>
      <c r="D27" s="140" t="s">
        <v>269</v>
      </c>
      <c r="E27" s="349">
        <v>16800000</v>
      </c>
      <c r="F27" s="349">
        <v>0</v>
      </c>
      <c r="G27" s="349">
        <v>-332660</v>
      </c>
      <c r="H27" s="357">
        <f>I27-E27-F27-G27</f>
        <v>1031226</v>
      </c>
      <c r="I27" s="357">
        <v>17498566</v>
      </c>
      <c r="J27" s="357">
        <v>17419316</v>
      </c>
      <c r="K27" s="357">
        <f>J27/I27*100</f>
        <v>99.547105745693671</v>
      </c>
      <c r="M27" s="351"/>
    </row>
    <row r="28" spans="1:14" x14ac:dyDescent="0.2">
      <c r="A28" s="518"/>
      <c r="B28" s="118"/>
      <c r="C28" s="113" t="s">
        <v>203</v>
      </c>
      <c r="D28" s="140" t="s">
        <v>270</v>
      </c>
      <c r="E28" s="349">
        <v>1500000</v>
      </c>
      <c r="F28" s="349">
        <v>0</v>
      </c>
      <c r="G28" s="349">
        <v>0</v>
      </c>
      <c r="H28" s="357">
        <f t="shared" ref="H28:H34" si="11">I28-E28-F28-G28</f>
        <v>333730</v>
      </c>
      <c r="I28" s="357">
        <v>1833730</v>
      </c>
      <c r="J28" s="357">
        <v>1687474</v>
      </c>
      <c r="K28" s="357">
        <f>J28/I28*100</f>
        <v>92.024125689169068</v>
      </c>
      <c r="M28" s="351"/>
    </row>
    <row r="29" spans="1:14" x14ac:dyDescent="0.2">
      <c r="A29" s="518"/>
      <c r="B29" s="118"/>
      <c r="C29" s="113" t="s">
        <v>204</v>
      </c>
      <c r="D29" s="140" t="s">
        <v>271</v>
      </c>
      <c r="E29" s="349">
        <v>0</v>
      </c>
      <c r="F29" s="349">
        <v>0</v>
      </c>
      <c r="G29" s="349">
        <v>332660</v>
      </c>
      <c r="H29" s="357">
        <f t="shared" si="11"/>
        <v>0</v>
      </c>
      <c r="I29" s="357">
        <v>332660</v>
      </c>
      <c r="J29" s="357">
        <v>332660</v>
      </c>
      <c r="K29" s="357">
        <f>J29/I29*100</f>
        <v>100</v>
      </c>
      <c r="M29" s="351"/>
    </row>
    <row r="30" spans="1:14" x14ac:dyDescent="0.2">
      <c r="A30" s="518"/>
      <c r="B30" s="118"/>
      <c r="C30" s="113" t="s">
        <v>205</v>
      </c>
      <c r="D30" s="140" t="s">
        <v>272</v>
      </c>
      <c r="E30" s="349">
        <v>3185361</v>
      </c>
      <c r="F30" s="349">
        <v>0</v>
      </c>
      <c r="G30" s="349">
        <v>0</v>
      </c>
      <c r="H30" s="357">
        <f t="shared" si="11"/>
        <v>-526771</v>
      </c>
      <c r="I30" s="357">
        <v>2658590</v>
      </c>
      <c r="J30" s="357">
        <v>2607795</v>
      </c>
      <c r="K30" s="357">
        <f t="shared" si="2"/>
        <v>98.089400772589983</v>
      </c>
      <c r="M30" s="351"/>
    </row>
    <row r="31" spans="1:14" x14ac:dyDescent="0.2">
      <c r="A31" s="518"/>
      <c r="B31" s="118"/>
      <c r="C31" s="113" t="s">
        <v>206</v>
      </c>
      <c r="D31" s="140" t="s">
        <v>273</v>
      </c>
      <c r="E31" s="349">
        <v>860047</v>
      </c>
      <c r="F31" s="349">
        <v>0</v>
      </c>
      <c r="G31" s="349">
        <v>0</v>
      </c>
      <c r="H31" s="357">
        <f t="shared" si="11"/>
        <v>900879</v>
      </c>
      <c r="I31" s="357">
        <v>1760926</v>
      </c>
      <c r="J31" s="357">
        <v>1720639</v>
      </c>
      <c r="K31" s="357">
        <f t="shared" si="2"/>
        <v>97.712169619847742</v>
      </c>
      <c r="M31" s="351"/>
    </row>
    <row r="32" spans="1:14" x14ac:dyDescent="0.2">
      <c r="A32" s="518"/>
      <c r="B32" s="118"/>
      <c r="C32" s="113" t="s">
        <v>207</v>
      </c>
      <c r="D32" s="140" t="s">
        <v>274</v>
      </c>
      <c r="E32" s="349">
        <v>180000</v>
      </c>
      <c r="F32" s="349">
        <v>0</v>
      </c>
      <c r="G32" s="349">
        <v>0</v>
      </c>
      <c r="H32" s="357">
        <f t="shared" si="11"/>
        <v>-180000</v>
      </c>
      <c r="I32" s="357">
        <v>0</v>
      </c>
      <c r="J32" s="357">
        <v>0</v>
      </c>
      <c r="K32" s="357"/>
      <c r="M32" s="351"/>
    </row>
    <row r="33" spans="1:13" s="108" customFormat="1" x14ac:dyDescent="0.2">
      <c r="A33" s="518"/>
      <c r="B33" s="119"/>
      <c r="C33" s="113" t="s">
        <v>188</v>
      </c>
      <c r="D33" s="140" t="s">
        <v>275</v>
      </c>
      <c r="E33" s="349">
        <v>0</v>
      </c>
      <c r="F33" s="349">
        <v>0</v>
      </c>
      <c r="G33" s="349">
        <v>0</v>
      </c>
      <c r="H33" s="357">
        <f t="shared" si="11"/>
        <v>67</v>
      </c>
      <c r="I33" s="357">
        <v>67</v>
      </c>
      <c r="J33" s="357">
        <v>67</v>
      </c>
      <c r="K33" s="357">
        <f>J33/I33*100</f>
        <v>100</v>
      </c>
      <c r="M33" s="371"/>
    </row>
    <row r="34" spans="1:13" x14ac:dyDescent="0.2">
      <c r="A34" s="518"/>
      <c r="B34" s="118"/>
      <c r="C34" s="113" t="s">
        <v>208</v>
      </c>
      <c r="D34" s="140" t="s">
        <v>276</v>
      </c>
      <c r="E34" s="349">
        <v>0</v>
      </c>
      <c r="F34" s="349">
        <v>0</v>
      </c>
      <c r="G34" s="349">
        <v>0</v>
      </c>
      <c r="H34" s="357">
        <f t="shared" si="11"/>
        <v>145741</v>
      </c>
      <c r="I34" s="357">
        <v>145741</v>
      </c>
      <c r="J34" s="357">
        <v>145741</v>
      </c>
      <c r="K34" s="357">
        <f t="shared" si="2"/>
        <v>100</v>
      </c>
      <c r="M34" s="351"/>
    </row>
    <row r="35" spans="1:13" ht="12.75" customHeight="1" x14ac:dyDescent="0.2">
      <c r="A35" s="519"/>
      <c r="B35" s="515" t="s">
        <v>201</v>
      </c>
      <c r="C35" s="516"/>
      <c r="D35" s="186" t="s">
        <v>277</v>
      </c>
      <c r="E35" s="130">
        <f t="shared" ref="E35:J35" si="12">SUM(E27:E34)</f>
        <v>22525408</v>
      </c>
      <c r="F35" s="130">
        <f t="shared" si="12"/>
        <v>0</v>
      </c>
      <c r="G35" s="130">
        <f t="shared" si="12"/>
        <v>0</v>
      </c>
      <c r="H35" s="130">
        <f t="shared" si="12"/>
        <v>1704872</v>
      </c>
      <c r="I35" s="130">
        <f t="shared" si="12"/>
        <v>24230280</v>
      </c>
      <c r="J35" s="130">
        <f t="shared" si="12"/>
        <v>23913692</v>
      </c>
      <c r="K35" s="353">
        <f t="shared" si="2"/>
        <v>98.693419968733338</v>
      </c>
      <c r="M35" s="351"/>
    </row>
    <row r="36" spans="1:13" ht="20.25" customHeight="1" x14ac:dyDescent="0.2">
      <c r="A36" s="517" t="s">
        <v>42</v>
      </c>
      <c r="B36" s="118"/>
      <c r="C36" s="113" t="s">
        <v>209</v>
      </c>
      <c r="D36" s="140" t="s">
        <v>354</v>
      </c>
      <c r="E36" s="349">
        <v>0</v>
      </c>
      <c r="F36" s="349">
        <v>0</v>
      </c>
      <c r="G36" s="349">
        <v>0</v>
      </c>
      <c r="H36" s="357">
        <f>I36-E36-F36-G36</f>
        <v>0</v>
      </c>
      <c r="I36" s="357">
        <v>0</v>
      </c>
      <c r="J36" s="357">
        <v>0</v>
      </c>
      <c r="K36" s="357"/>
      <c r="M36" s="351"/>
    </row>
    <row r="37" spans="1:13" ht="16.5" customHeight="1" x14ac:dyDescent="0.2">
      <c r="A37" s="519"/>
      <c r="B37" s="515" t="s">
        <v>189</v>
      </c>
      <c r="C37" s="516"/>
      <c r="D37" s="186" t="s">
        <v>353</v>
      </c>
      <c r="E37" s="130">
        <f t="shared" ref="E37:J37" si="13">SUM(E36)</f>
        <v>0</v>
      </c>
      <c r="F37" s="130">
        <f t="shared" si="13"/>
        <v>0</v>
      </c>
      <c r="G37" s="130">
        <f t="shared" si="13"/>
        <v>0</v>
      </c>
      <c r="H37" s="130">
        <f t="shared" si="13"/>
        <v>0</v>
      </c>
      <c r="I37" s="130">
        <f t="shared" si="13"/>
        <v>0</v>
      </c>
      <c r="J37" s="130">
        <f t="shared" si="13"/>
        <v>0</v>
      </c>
      <c r="K37" s="350"/>
      <c r="M37" s="351"/>
    </row>
    <row r="38" spans="1:13" ht="25.5" x14ac:dyDescent="0.2">
      <c r="A38" s="517" t="s">
        <v>47</v>
      </c>
      <c r="B38" s="118"/>
      <c r="C38" s="113" t="s">
        <v>210</v>
      </c>
      <c r="D38" s="140" t="s">
        <v>278</v>
      </c>
      <c r="E38" s="349">
        <v>0</v>
      </c>
      <c r="F38" s="349">
        <v>0</v>
      </c>
      <c r="G38" s="349">
        <v>0</v>
      </c>
      <c r="H38" s="357">
        <f>I38-E38-F38-G38</f>
        <v>0</v>
      </c>
      <c r="I38" s="357">
        <v>0</v>
      </c>
      <c r="J38" s="357">
        <v>0</v>
      </c>
      <c r="K38" s="357"/>
      <c r="M38" s="351"/>
    </row>
    <row r="39" spans="1:13" x14ac:dyDescent="0.2">
      <c r="A39" s="518"/>
      <c r="B39" s="118"/>
      <c r="C39" s="368" t="s">
        <v>417</v>
      </c>
      <c r="D39" s="140" t="s">
        <v>279</v>
      </c>
      <c r="E39" s="349">
        <v>0</v>
      </c>
      <c r="F39" s="349">
        <v>2932591</v>
      </c>
      <c r="G39" s="349">
        <v>3819500</v>
      </c>
      <c r="H39" s="357">
        <f>I39-E39-F39-G39</f>
        <v>-2932591</v>
      </c>
      <c r="I39" s="357">
        <v>3819500</v>
      </c>
      <c r="J39" s="357">
        <v>3819500</v>
      </c>
      <c r="K39" s="357">
        <f t="shared" si="2"/>
        <v>100</v>
      </c>
      <c r="M39" s="351"/>
    </row>
    <row r="40" spans="1:13" ht="12.75" customHeight="1" x14ac:dyDescent="0.2">
      <c r="A40" s="519"/>
      <c r="B40" s="515" t="s">
        <v>190</v>
      </c>
      <c r="C40" s="516"/>
      <c r="D40" s="186" t="s">
        <v>280</v>
      </c>
      <c r="E40" s="130">
        <f t="shared" ref="E40:J40" si="14">SUM(E38:E39)</f>
        <v>0</v>
      </c>
      <c r="F40" s="130">
        <f t="shared" si="14"/>
        <v>2932591</v>
      </c>
      <c r="G40" s="130">
        <f t="shared" si="14"/>
        <v>3819500</v>
      </c>
      <c r="H40" s="130">
        <f t="shared" si="14"/>
        <v>-2932591</v>
      </c>
      <c r="I40" s="130">
        <f t="shared" si="14"/>
        <v>3819500</v>
      </c>
      <c r="J40" s="130">
        <f t="shared" si="14"/>
        <v>3819500</v>
      </c>
      <c r="K40" s="353">
        <f t="shared" si="2"/>
        <v>100</v>
      </c>
      <c r="M40" s="351"/>
    </row>
    <row r="41" spans="1:13" s="109" customFormat="1" ht="24.75" customHeight="1" x14ac:dyDescent="0.2">
      <c r="A41" s="510" t="s">
        <v>191</v>
      </c>
      <c r="B41" s="511"/>
      <c r="C41" s="512"/>
      <c r="D41" s="187" t="s">
        <v>281</v>
      </c>
      <c r="E41" s="131">
        <f t="shared" ref="E41:J41" si="15">E16+E19+E26+E35+E37+E40</f>
        <v>113399476</v>
      </c>
      <c r="F41" s="131">
        <f t="shared" si="15"/>
        <v>-3224814</v>
      </c>
      <c r="G41" s="131">
        <f t="shared" si="15"/>
        <v>37149622</v>
      </c>
      <c r="H41" s="131">
        <f t="shared" si="15"/>
        <v>9474475</v>
      </c>
      <c r="I41" s="131">
        <f t="shared" si="15"/>
        <v>156798759</v>
      </c>
      <c r="J41" s="131">
        <f t="shared" si="15"/>
        <v>154747376</v>
      </c>
      <c r="K41" s="354">
        <f t="shared" si="2"/>
        <v>98.691709670993006</v>
      </c>
      <c r="M41" s="358"/>
    </row>
    <row r="42" spans="1:13" ht="24" customHeight="1" x14ac:dyDescent="0.2">
      <c r="A42" s="531" t="s">
        <v>49</v>
      </c>
      <c r="B42" s="118"/>
      <c r="C42" s="113" t="s">
        <v>250</v>
      </c>
      <c r="D42" s="140" t="s">
        <v>282</v>
      </c>
      <c r="E42" s="349">
        <v>0</v>
      </c>
      <c r="F42" s="349">
        <v>0</v>
      </c>
      <c r="G42" s="349">
        <v>0</v>
      </c>
      <c r="H42" s="357">
        <f>I42-E42-F42-G42</f>
        <v>0</v>
      </c>
      <c r="I42" s="357">
        <v>0</v>
      </c>
      <c r="J42" s="357">
        <v>0</v>
      </c>
      <c r="K42" s="357"/>
      <c r="M42" s="351"/>
    </row>
    <row r="43" spans="1:13" ht="18.75" customHeight="1" x14ac:dyDescent="0.2">
      <c r="A43" s="532"/>
      <c r="B43" s="525" t="s">
        <v>251</v>
      </c>
      <c r="C43" s="526"/>
      <c r="D43" s="186" t="s">
        <v>283</v>
      </c>
      <c r="E43" s="130">
        <f t="shared" ref="E43:J43" si="16">SUM(E42)</f>
        <v>0</v>
      </c>
      <c r="F43" s="130">
        <f t="shared" si="16"/>
        <v>0</v>
      </c>
      <c r="G43" s="130">
        <f t="shared" si="16"/>
        <v>0</v>
      </c>
      <c r="H43" s="130">
        <f t="shared" si="16"/>
        <v>0</v>
      </c>
      <c r="I43" s="130">
        <f t="shared" si="16"/>
        <v>0</v>
      </c>
      <c r="J43" s="130">
        <f t="shared" si="16"/>
        <v>0</v>
      </c>
      <c r="K43" s="353"/>
      <c r="M43" s="351"/>
    </row>
    <row r="44" spans="1:13" ht="17.25" customHeight="1" x14ac:dyDescent="0.2">
      <c r="A44" s="508" t="s">
        <v>50</v>
      </c>
      <c r="B44" s="118"/>
      <c r="C44" s="113" t="s">
        <v>217</v>
      </c>
      <c r="D44" s="140" t="s">
        <v>284</v>
      </c>
      <c r="E44" s="349">
        <v>0</v>
      </c>
      <c r="F44" s="349">
        <v>0</v>
      </c>
      <c r="G44" s="349">
        <v>0</v>
      </c>
      <c r="H44" s="357">
        <f>I44-E44-F44-G44</f>
        <v>0</v>
      </c>
      <c r="I44" s="357">
        <v>0</v>
      </c>
      <c r="J44" s="357">
        <v>0</v>
      </c>
      <c r="K44" s="357"/>
      <c r="M44" s="351"/>
    </row>
    <row r="45" spans="1:13" ht="18.75" customHeight="1" x14ac:dyDescent="0.2">
      <c r="A45" s="509"/>
      <c r="B45" s="515" t="s">
        <v>216</v>
      </c>
      <c r="C45" s="516"/>
      <c r="D45" s="186" t="s">
        <v>355</v>
      </c>
      <c r="E45" s="130">
        <f t="shared" ref="E45:J45" si="17">SUM(E44)</f>
        <v>0</v>
      </c>
      <c r="F45" s="130">
        <f t="shared" si="17"/>
        <v>0</v>
      </c>
      <c r="G45" s="130">
        <f t="shared" si="17"/>
        <v>0</v>
      </c>
      <c r="H45" s="130">
        <f t="shared" si="17"/>
        <v>0</v>
      </c>
      <c r="I45" s="130">
        <f t="shared" si="17"/>
        <v>0</v>
      </c>
      <c r="J45" s="130">
        <f t="shared" si="17"/>
        <v>0</v>
      </c>
      <c r="K45" s="353"/>
      <c r="M45" s="351"/>
    </row>
    <row r="46" spans="1:13" ht="15" customHeight="1" x14ac:dyDescent="0.2">
      <c r="A46" s="508" t="s">
        <v>51</v>
      </c>
      <c r="B46" s="118"/>
      <c r="C46" s="113" t="s">
        <v>246</v>
      </c>
      <c r="D46" s="140" t="s">
        <v>357</v>
      </c>
      <c r="E46" s="357">
        <f>69002595+395035</f>
        <v>69397630</v>
      </c>
      <c r="F46" s="357">
        <v>0</v>
      </c>
      <c r="G46" s="357">
        <v>0</v>
      </c>
      <c r="H46" s="357">
        <f>I46-E46-F46-G46</f>
        <v>-5929335</v>
      </c>
      <c r="I46" s="357">
        <v>63468295</v>
      </c>
      <c r="J46" s="357">
        <v>63468295</v>
      </c>
      <c r="K46" s="357">
        <f t="shared" si="2"/>
        <v>100</v>
      </c>
      <c r="M46" s="351"/>
    </row>
    <row r="47" spans="1:13" ht="17.25" customHeight="1" x14ac:dyDescent="0.2">
      <c r="A47" s="509"/>
      <c r="B47" s="515" t="s">
        <v>218</v>
      </c>
      <c r="C47" s="516"/>
      <c r="D47" s="186" t="s">
        <v>356</v>
      </c>
      <c r="E47" s="130">
        <f t="shared" ref="E47:J47" si="18">SUM(E46)</f>
        <v>69397630</v>
      </c>
      <c r="F47" s="130">
        <f t="shared" si="18"/>
        <v>0</v>
      </c>
      <c r="G47" s="130">
        <f t="shared" si="18"/>
        <v>0</v>
      </c>
      <c r="H47" s="130">
        <f t="shared" si="18"/>
        <v>-5929335</v>
      </c>
      <c r="I47" s="130">
        <f t="shared" si="18"/>
        <v>63468295</v>
      </c>
      <c r="J47" s="130">
        <f t="shared" si="18"/>
        <v>63468295</v>
      </c>
      <c r="K47" s="353">
        <f t="shared" si="2"/>
        <v>100</v>
      </c>
      <c r="M47" s="351"/>
    </row>
    <row r="48" spans="1:13" ht="17.25" customHeight="1" x14ac:dyDescent="0.2">
      <c r="A48" s="367" t="s">
        <v>52</v>
      </c>
      <c r="B48" s="525" t="s">
        <v>416</v>
      </c>
      <c r="C48" s="516"/>
      <c r="D48" s="186" t="s">
        <v>415</v>
      </c>
      <c r="E48" s="130">
        <v>0</v>
      </c>
      <c r="F48" s="130">
        <v>0</v>
      </c>
      <c r="G48" s="130">
        <v>11024</v>
      </c>
      <c r="H48" s="130">
        <f>I48-E48-F48-G48</f>
        <v>1515016</v>
      </c>
      <c r="I48" s="130">
        <v>1526040</v>
      </c>
      <c r="J48" s="130">
        <v>1526040</v>
      </c>
      <c r="K48" s="353">
        <f t="shared" si="2"/>
        <v>100</v>
      </c>
      <c r="M48" s="351"/>
    </row>
    <row r="49" spans="1:13" ht="15.75" customHeight="1" x14ac:dyDescent="0.2">
      <c r="A49" s="508" t="s">
        <v>24</v>
      </c>
      <c r="B49" s="118"/>
      <c r="C49" s="113" t="s">
        <v>248</v>
      </c>
      <c r="D49" s="140" t="s">
        <v>285</v>
      </c>
      <c r="E49" s="349">
        <v>0</v>
      </c>
      <c r="F49" s="349">
        <v>0</v>
      </c>
      <c r="G49" s="349">
        <v>0</v>
      </c>
      <c r="H49" s="357">
        <f>I49-E49-F49-G49</f>
        <v>0</v>
      </c>
      <c r="I49" s="357">
        <v>0</v>
      </c>
      <c r="J49" s="357">
        <v>0</v>
      </c>
      <c r="K49" s="357"/>
      <c r="M49" s="351"/>
    </row>
    <row r="50" spans="1:13" ht="18" customHeight="1" x14ac:dyDescent="0.2">
      <c r="A50" s="509"/>
      <c r="B50" s="515" t="s">
        <v>249</v>
      </c>
      <c r="C50" s="516"/>
      <c r="D50" s="186" t="s">
        <v>285</v>
      </c>
      <c r="E50" s="130">
        <f t="shared" ref="E50:J50" si="19">SUM(E49)</f>
        <v>0</v>
      </c>
      <c r="F50" s="130">
        <f t="shared" si="19"/>
        <v>0</v>
      </c>
      <c r="G50" s="130">
        <f t="shared" si="19"/>
        <v>0</v>
      </c>
      <c r="H50" s="130">
        <f t="shared" si="19"/>
        <v>0</v>
      </c>
      <c r="I50" s="130">
        <f t="shared" si="19"/>
        <v>0</v>
      </c>
      <c r="J50" s="130">
        <f t="shared" si="19"/>
        <v>0</v>
      </c>
      <c r="K50" s="350"/>
      <c r="L50" s="351"/>
      <c r="M50" s="351"/>
    </row>
    <row r="51" spans="1:13" s="111" customFormat="1" ht="21.75" customHeight="1" x14ac:dyDescent="0.2">
      <c r="A51" s="510" t="s">
        <v>219</v>
      </c>
      <c r="B51" s="511"/>
      <c r="C51" s="512"/>
      <c r="D51" s="187" t="s">
        <v>286</v>
      </c>
      <c r="E51" s="131">
        <f>E45+E47+E48+E50+E43</f>
        <v>69397630</v>
      </c>
      <c r="F51" s="131">
        <f t="shared" ref="F51:I51" si="20">F45+F47+F48+F50+F43</f>
        <v>0</v>
      </c>
      <c r="G51" s="131">
        <f t="shared" si="20"/>
        <v>11024</v>
      </c>
      <c r="H51" s="131">
        <f t="shared" si="20"/>
        <v>-4414319</v>
      </c>
      <c r="I51" s="131">
        <f t="shared" si="20"/>
        <v>64994335</v>
      </c>
      <c r="J51" s="131">
        <f>J45+J47+J48+J50+J43</f>
        <v>64994335</v>
      </c>
      <c r="K51" s="354">
        <f t="shared" si="2"/>
        <v>100</v>
      </c>
      <c r="L51" s="201"/>
      <c r="M51" s="201"/>
    </row>
    <row r="52" spans="1:13" s="122" customFormat="1" ht="22.5" customHeight="1" x14ac:dyDescent="0.25">
      <c r="A52" s="505" t="s">
        <v>220</v>
      </c>
      <c r="B52" s="506"/>
      <c r="C52" s="507"/>
      <c r="D52" s="362"/>
      <c r="E52" s="363">
        <f t="shared" ref="E52:J52" si="21">E41+E51</f>
        <v>182797106</v>
      </c>
      <c r="F52" s="363">
        <f t="shared" si="21"/>
        <v>-3224814</v>
      </c>
      <c r="G52" s="363">
        <f t="shared" si="21"/>
        <v>37160646</v>
      </c>
      <c r="H52" s="363">
        <f t="shared" si="21"/>
        <v>5060156</v>
      </c>
      <c r="I52" s="363">
        <f t="shared" si="21"/>
        <v>221793094</v>
      </c>
      <c r="J52" s="363">
        <f t="shared" si="21"/>
        <v>219741711</v>
      </c>
      <c r="K52" s="355">
        <f t="shared" si="2"/>
        <v>99.075091580624246</v>
      </c>
      <c r="M52" s="372"/>
    </row>
    <row r="54" spans="1:13" x14ac:dyDescent="0.2">
      <c r="H54" s="453"/>
      <c r="I54" s="453"/>
      <c r="J54" s="453"/>
      <c r="K54" s="453"/>
    </row>
  </sheetData>
  <mergeCells count="32">
    <mergeCell ref="B10:C10"/>
    <mergeCell ref="B15:C15"/>
    <mergeCell ref="A4:A16"/>
    <mergeCell ref="A3:C3"/>
    <mergeCell ref="A49:A50"/>
    <mergeCell ref="B43:C43"/>
    <mergeCell ref="B25:C25"/>
    <mergeCell ref="B16:C16"/>
    <mergeCell ref="B35:C35"/>
    <mergeCell ref="A27:A35"/>
    <mergeCell ref="B20:C20"/>
    <mergeCell ref="B24:C24"/>
    <mergeCell ref="B19:C19"/>
    <mergeCell ref="A17:A19"/>
    <mergeCell ref="A42:A43"/>
    <mergeCell ref="B48:C48"/>
    <mergeCell ref="A1:K1"/>
    <mergeCell ref="A2:K2"/>
    <mergeCell ref="A52:C52"/>
    <mergeCell ref="A44:A45"/>
    <mergeCell ref="A46:A47"/>
    <mergeCell ref="A41:C41"/>
    <mergeCell ref="B26:C26"/>
    <mergeCell ref="B40:C40"/>
    <mergeCell ref="A38:A40"/>
    <mergeCell ref="A36:A37"/>
    <mergeCell ref="A51:C51"/>
    <mergeCell ref="B45:C45"/>
    <mergeCell ref="B47:C47"/>
    <mergeCell ref="A20:A26"/>
    <mergeCell ref="B37:C37"/>
    <mergeCell ref="B50:C50"/>
  </mergeCells>
  <phoneticPr fontId="0" type="noConversion"/>
  <printOptions horizontalCentered="1"/>
  <pageMargins left="0.59055118110236227" right="0.59055118110236227" top="0.55118110236220474" bottom="0.39370078740157483" header="0.15748031496062992" footer="0.19685039370078741"/>
  <pageSetup paperSize="9" scale="52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Normal="100" workbookViewId="0">
      <selection activeCell="K34" sqref="K34"/>
    </sheetView>
  </sheetViews>
  <sheetFormatPr defaultRowHeight="15" customHeight="1" x14ac:dyDescent="0.2"/>
  <cols>
    <col min="1" max="1" width="6.5703125" style="52" customWidth="1"/>
    <col min="2" max="2" width="45.5703125" style="2" customWidth="1"/>
    <col min="3" max="3" width="22.42578125" style="178" customWidth="1"/>
    <col min="4" max="4" width="16.5703125" style="54" customWidth="1"/>
    <col min="5" max="5" width="9.140625" style="2"/>
    <col min="6" max="6" width="14.140625" style="2" customWidth="1"/>
    <col min="7" max="7" width="9.5703125" style="2" bestFit="1" customWidth="1"/>
    <col min="8" max="16384" width="9.140625" style="2"/>
  </cols>
  <sheetData>
    <row r="1" spans="1:4" ht="15" customHeight="1" x14ac:dyDescent="0.2">
      <c r="A1" s="662" t="s">
        <v>442</v>
      </c>
      <c r="B1" s="662"/>
      <c r="C1" s="662"/>
      <c r="D1" s="10"/>
    </row>
    <row r="2" spans="1:4" ht="15" customHeight="1" x14ac:dyDescent="0.2">
      <c r="D2" s="53"/>
    </row>
    <row r="3" spans="1:4" ht="15" customHeight="1" thickBot="1" x14ac:dyDescent="0.25"/>
    <row r="4" spans="1:4" ht="42" customHeight="1" thickBot="1" x14ac:dyDescent="0.25">
      <c r="A4" s="663" t="s">
        <v>69</v>
      </c>
      <c r="B4" s="665" t="s">
        <v>70</v>
      </c>
      <c r="C4" s="180" t="s">
        <v>350</v>
      </c>
    </row>
    <row r="5" spans="1:4" ht="25.5" customHeight="1" thickBot="1" x14ac:dyDescent="0.25">
      <c r="A5" s="664"/>
      <c r="B5" s="666"/>
      <c r="C5" s="55" t="s">
        <v>71</v>
      </c>
    </row>
    <row r="6" spans="1:4" ht="15" customHeight="1" x14ac:dyDescent="0.2">
      <c r="A6" s="56" t="s">
        <v>38</v>
      </c>
      <c r="B6" s="57" t="s">
        <v>72</v>
      </c>
      <c r="C6" s="181">
        <v>1</v>
      </c>
    </row>
    <row r="7" spans="1:4" ht="15" customHeight="1" x14ac:dyDescent="0.2">
      <c r="A7" s="56" t="s">
        <v>39</v>
      </c>
      <c r="B7" s="58" t="s">
        <v>73</v>
      </c>
      <c r="C7" s="60">
        <v>1</v>
      </c>
    </row>
    <row r="8" spans="1:4" ht="15" customHeight="1" x14ac:dyDescent="0.2">
      <c r="A8" s="56" t="s">
        <v>40</v>
      </c>
      <c r="B8" s="59" t="s">
        <v>74</v>
      </c>
      <c r="C8" s="60">
        <v>4</v>
      </c>
    </row>
    <row r="9" spans="1:4" ht="15" customHeight="1" x14ac:dyDescent="0.2">
      <c r="A9" s="56" t="s">
        <v>41</v>
      </c>
      <c r="B9" s="58" t="s">
        <v>75</v>
      </c>
      <c r="C9" s="60">
        <v>1</v>
      </c>
    </row>
    <row r="10" spans="1:4" ht="15" customHeight="1" x14ac:dyDescent="0.2">
      <c r="A10" s="56" t="s">
        <v>42</v>
      </c>
      <c r="B10" s="59" t="s">
        <v>76</v>
      </c>
      <c r="C10" s="60">
        <v>4</v>
      </c>
    </row>
    <row r="11" spans="1:4" ht="15" customHeight="1" x14ac:dyDescent="0.2">
      <c r="A11" s="56" t="s">
        <v>47</v>
      </c>
      <c r="B11" s="59" t="s">
        <v>349</v>
      </c>
      <c r="C11" s="60">
        <v>1</v>
      </c>
    </row>
    <row r="12" spans="1:4" ht="15" customHeight="1" x14ac:dyDescent="0.2">
      <c r="A12" s="56" t="s">
        <v>49</v>
      </c>
      <c r="B12" s="58" t="s">
        <v>179</v>
      </c>
      <c r="C12" s="60">
        <v>1</v>
      </c>
    </row>
    <row r="13" spans="1:4" ht="15" customHeight="1" x14ac:dyDescent="0.2">
      <c r="A13" s="56" t="s">
        <v>50</v>
      </c>
      <c r="B13" s="10"/>
      <c r="C13" s="60">
        <v>0</v>
      </c>
    </row>
    <row r="14" spans="1:4" ht="15" customHeight="1" x14ac:dyDescent="0.2">
      <c r="A14" s="56" t="s">
        <v>51</v>
      </c>
      <c r="B14" s="59"/>
      <c r="C14" s="183"/>
    </row>
    <row r="15" spans="1:4" ht="15" customHeight="1" x14ac:dyDescent="0.2">
      <c r="A15" s="56" t="s">
        <v>52</v>
      </c>
      <c r="B15" s="58"/>
      <c r="C15" s="183"/>
    </row>
    <row r="16" spans="1:4" ht="15" customHeight="1" x14ac:dyDescent="0.2">
      <c r="A16" s="56" t="s">
        <v>24</v>
      </c>
      <c r="B16" s="58"/>
      <c r="C16" s="182"/>
    </row>
    <row r="17" spans="1:4" ht="15" customHeight="1" x14ac:dyDescent="0.2">
      <c r="A17" s="56" t="s">
        <v>24</v>
      </c>
      <c r="B17" s="58"/>
      <c r="C17" s="182"/>
    </row>
    <row r="18" spans="1:4" ht="15" customHeight="1" x14ac:dyDescent="0.2">
      <c r="A18" s="56" t="s">
        <v>25</v>
      </c>
      <c r="B18" s="59"/>
      <c r="C18" s="182"/>
    </row>
    <row r="19" spans="1:4" ht="15" customHeight="1" x14ac:dyDescent="0.2">
      <c r="A19" s="56" t="s">
        <v>30</v>
      </c>
      <c r="B19" s="61"/>
      <c r="C19" s="182"/>
    </row>
    <row r="20" spans="1:4" ht="15" customHeight="1" x14ac:dyDescent="0.2">
      <c r="A20" s="56"/>
      <c r="B20" s="61"/>
      <c r="C20" s="182"/>
    </row>
    <row r="21" spans="1:4" ht="15" customHeight="1" x14ac:dyDescent="0.2">
      <c r="A21" s="56" t="s">
        <v>26</v>
      </c>
      <c r="B21" s="59"/>
      <c r="C21" s="182"/>
    </row>
    <row r="22" spans="1:4" ht="15" customHeight="1" thickBot="1" x14ac:dyDescent="0.25">
      <c r="A22" s="56" t="s">
        <v>54</v>
      </c>
      <c r="B22" s="57"/>
      <c r="C22" s="184"/>
    </row>
    <row r="23" spans="1:4" s="10" customFormat="1" ht="18" customHeight="1" thickBot="1" x14ac:dyDescent="0.25">
      <c r="A23" s="660" t="s">
        <v>77</v>
      </c>
      <c r="B23" s="661"/>
      <c r="C23" s="185">
        <f>SUM(C6:C22)</f>
        <v>13</v>
      </c>
    </row>
    <row r="28" spans="1:4" ht="15" customHeight="1" x14ac:dyDescent="0.2">
      <c r="B28" s="10"/>
      <c r="C28" s="179"/>
      <c r="D28" s="62"/>
    </row>
    <row r="29" spans="1:4" ht="15" customHeight="1" x14ac:dyDescent="0.2">
      <c r="B29" s="10"/>
      <c r="C29" s="179"/>
      <c r="D29" s="62"/>
    </row>
    <row r="30" spans="1:4" ht="15" customHeight="1" x14ac:dyDescent="0.2">
      <c r="B30" s="10"/>
      <c r="C30" s="179"/>
      <c r="D30" s="62"/>
    </row>
    <row r="31" spans="1:4" ht="15" customHeight="1" x14ac:dyDescent="0.2">
      <c r="B31" s="10"/>
      <c r="C31" s="179"/>
      <c r="D31" s="62"/>
    </row>
    <row r="36" spans="2:4" ht="15" customHeight="1" x14ac:dyDescent="0.2">
      <c r="B36" s="10"/>
      <c r="C36" s="179"/>
      <c r="D36" s="62"/>
    </row>
    <row r="42" spans="2:4" ht="15" customHeight="1" x14ac:dyDescent="0.2">
      <c r="B42" s="10"/>
      <c r="C42" s="179"/>
      <c r="D42" s="62"/>
    </row>
    <row r="44" spans="2:4" ht="15" customHeight="1" x14ac:dyDescent="0.2">
      <c r="B44" s="10"/>
      <c r="C44" s="179"/>
      <c r="D44" s="62"/>
    </row>
  </sheetData>
  <mergeCells count="4">
    <mergeCell ref="A23:B23"/>
    <mergeCell ref="A1:C1"/>
    <mergeCell ref="A4:A5"/>
    <mergeCell ref="B4:B5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Normal="100" workbookViewId="0">
      <selection activeCell="D22" sqref="D22"/>
    </sheetView>
  </sheetViews>
  <sheetFormatPr defaultRowHeight="12.75" x14ac:dyDescent="0.2"/>
  <cols>
    <col min="3" max="3" width="36.140625" customWidth="1"/>
    <col min="4" max="4" width="23.5703125" customWidth="1"/>
    <col min="5" max="9" width="15.7109375" customWidth="1"/>
    <col min="10" max="10" width="10.140625" bestFit="1" customWidth="1"/>
    <col min="11" max="12" width="10.85546875" bestFit="1" customWidth="1"/>
  </cols>
  <sheetData>
    <row r="1" spans="1:9" x14ac:dyDescent="0.2">
      <c r="A1" s="662" t="s">
        <v>440</v>
      </c>
      <c r="B1" s="662"/>
      <c r="C1" s="662"/>
      <c r="D1" s="662"/>
      <c r="E1" s="662"/>
      <c r="F1" s="662"/>
      <c r="G1" s="662"/>
      <c r="H1" s="662"/>
      <c r="I1" s="662"/>
    </row>
    <row r="2" spans="1:9" x14ac:dyDescent="0.2">
      <c r="A2" s="662" t="s">
        <v>312</v>
      </c>
      <c r="B2" s="662"/>
      <c r="C2" s="662"/>
      <c r="D2" s="662"/>
      <c r="E2" s="662"/>
      <c r="F2" s="662"/>
      <c r="G2" s="662"/>
      <c r="H2" s="662"/>
      <c r="I2" s="662"/>
    </row>
    <row r="3" spans="1:9" x14ac:dyDescent="0.2">
      <c r="A3" s="157"/>
      <c r="B3" s="157"/>
      <c r="C3" s="157"/>
      <c r="D3" s="158"/>
      <c r="E3" s="158"/>
      <c r="F3" s="158"/>
      <c r="G3" s="158"/>
      <c r="H3" s="158"/>
      <c r="I3" s="158"/>
    </row>
    <row r="4" spans="1:9" x14ac:dyDescent="0.2">
      <c r="A4" s="157"/>
      <c r="B4" s="157"/>
      <c r="C4" s="157"/>
      <c r="D4" s="158"/>
      <c r="E4" s="158"/>
      <c r="F4" s="158"/>
      <c r="G4" s="158"/>
      <c r="H4" s="158"/>
      <c r="I4" s="158"/>
    </row>
    <row r="5" spans="1:9" x14ac:dyDescent="0.2">
      <c r="A5" s="157"/>
      <c r="B5" s="157"/>
      <c r="C5" s="157"/>
      <c r="D5" s="159"/>
      <c r="E5" s="159"/>
      <c r="F5" s="159"/>
      <c r="G5" s="159"/>
      <c r="H5" s="159"/>
      <c r="I5" s="159"/>
    </row>
    <row r="6" spans="1:9" ht="13.5" thickBot="1" x14ac:dyDescent="0.25">
      <c r="A6" s="160"/>
      <c r="B6" s="160"/>
      <c r="C6" s="161"/>
      <c r="D6" s="159"/>
      <c r="E6" s="159"/>
      <c r="F6" s="159"/>
      <c r="G6" s="159"/>
      <c r="H6" s="159"/>
      <c r="I6" s="159" t="s">
        <v>371</v>
      </c>
    </row>
    <row r="7" spans="1:9" ht="12.75" customHeight="1" x14ac:dyDescent="0.2">
      <c r="A7" s="669" t="s">
        <v>37</v>
      </c>
      <c r="B7" s="670"/>
      <c r="C7" s="671"/>
      <c r="D7" s="102" t="s">
        <v>333</v>
      </c>
      <c r="E7" s="313" t="s">
        <v>361</v>
      </c>
      <c r="F7" s="313" t="s">
        <v>406</v>
      </c>
      <c r="G7" s="313" t="s">
        <v>443</v>
      </c>
      <c r="H7" s="313" t="s">
        <v>366</v>
      </c>
      <c r="I7" s="314" t="s">
        <v>360</v>
      </c>
    </row>
    <row r="8" spans="1:9" x14ac:dyDescent="0.2">
      <c r="A8" s="672"/>
      <c r="B8" s="673"/>
      <c r="C8" s="674"/>
      <c r="D8" s="103" t="s">
        <v>71</v>
      </c>
      <c r="E8" s="103" t="s">
        <v>71</v>
      </c>
      <c r="F8" s="315" t="s">
        <v>71</v>
      </c>
      <c r="G8" s="315" t="s">
        <v>71</v>
      </c>
      <c r="H8" s="315" t="s">
        <v>71</v>
      </c>
      <c r="I8" s="316" t="s">
        <v>71</v>
      </c>
    </row>
    <row r="9" spans="1:9" x14ac:dyDescent="0.2">
      <c r="A9" s="162" t="s">
        <v>38</v>
      </c>
      <c r="B9" s="675" t="s">
        <v>177</v>
      </c>
      <c r="C9" s="675"/>
      <c r="D9" s="163">
        <f>'1. Bevételek'!E20+'1. Bevételek'!E21+'1. Bevételek'!E23</f>
        <v>35300000</v>
      </c>
      <c r="E9" s="317">
        <v>0</v>
      </c>
      <c r="F9" s="317">
        <v>469255</v>
      </c>
      <c r="G9" s="317">
        <f>H9-D9-E9-F9</f>
        <v>3557496</v>
      </c>
      <c r="H9" s="163">
        <v>39326751</v>
      </c>
      <c r="I9" s="275">
        <v>38045086</v>
      </c>
    </row>
    <row r="10" spans="1:9" x14ac:dyDescent="0.2">
      <c r="A10" s="162" t="s">
        <v>39</v>
      </c>
      <c r="B10" s="164" t="s">
        <v>204</v>
      </c>
      <c r="C10" s="164"/>
      <c r="D10" s="163">
        <v>0</v>
      </c>
      <c r="E10" s="317">
        <v>0</v>
      </c>
      <c r="F10" s="317">
        <v>332660</v>
      </c>
      <c r="G10" s="317">
        <f t="shared" ref="G10:G15" si="0">H10-D10-E10-F10</f>
        <v>0</v>
      </c>
      <c r="H10" s="163">
        <v>332660</v>
      </c>
      <c r="I10" s="275">
        <v>332660</v>
      </c>
    </row>
    <row r="11" spans="1:9" x14ac:dyDescent="0.2">
      <c r="A11" s="162" t="s">
        <v>40</v>
      </c>
      <c r="B11" s="675" t="s">
        <v>253</v>
      </c>
      <c r="C11" s="675"/>
      <c r="D11" s="163">
        <f>'1. Bevételek'!E25</f>
        <v>0</v>
      </c>
      <c r="E11" s="317">
        <v>0</v>
      </c>
      <c r="F11" s="317">
        <v>270439</v>
      </c>
      <c r="G11" s="317">
        <f t="shared" si="0"/>
        <v>606951</v>
      </c>
      <c r="H11" s="163">
        <v>877390</v>
      </c>
      <c r="I11" s="275">
        <v>424260</v>
      </c>
    </row>
    <row r="12" spans="1:9" x14ac:dyDescent="0.2">
      <c r="A12" s="165" t="s">
        <v>41</v>
      </c>
      <c r="B12" s="676" t="s">
        <v>313</v>
      </c>
      <c r="C12" s="676"/>
      <c r="D12" s="166">
        <f>'1. Bevételek'!E36</f>
        <v>0</v>
      </c>
      <c r="E12" s="452">
        <v>0</v>
      </c>
      <c r="F12" s="452">
        <v>0</v>
      </c>
      <c r="G12" s="317">
        <f t="shared" si="0"/>
        <v>0</v>
      </c>
      <c r="H12" s="163">
        <v>0</v>
      </c>
      <c r="I12" s="275">
        <v>0</v>
      </c>
    </row>
    <row r="13" spans="1:9" x14ac:dyDescent="0.2">
      <c r="A13" s="165" t="s">
        <v>42</v>
      </c>
      <c r="B13" s="677" t="s">
        <v>314</v>
      </c>
      <c r="C13" s="678"/>
      <c r="D13" s="163">
        <v>0</v>
      </c>
      <c r="E13" s="317">
        <v>0</v>
      </c>
      <c r="F13" s="317">
        <v>0</v>
      </c>
      <c r="G13" s="317">
        <f t="shared" si="0"/>
        <v>0</v>
      </c>
      <c r="H13" s="163">
        <v>0</v>
      </c>
      <c r="I13" s="275">
        <v>0</v>
      </c>
    </row>
    <row r="14" spans="1:9" x14ac:dyDescent="0.2">
      <c r="A14" s="165" t="s">
        <v>47</v>
      </c>
      <c r="B14" s="677" t="s">
        <v>315</v>
      </c>
      <c r="C14" s="678"/>
      <c r="D14" s="163">
        <v>0</v>
      </c>
      <c r="E14" s="317">
        <v>0</v>
      </c>
      <c r="F14" s="317">
        <v>0</v>
      </c>
      <c r="G14" s="317">
        <f t="shared" si="0"/>
        <v>0</v>
      </c>
      <c r="H14" s="163">
        <v>0</v>
      </c>
      <c r="I14" s="275">
        <v>0</v>
      </c>
    </row>
    <row r="15" spans="1:9" ht="13.5" thickBot="1" x14ac:dyDescent="0.25">
      <c r="A15" s="165" t="s">
        <v>49</v>
      </c>
      <c r="B15" s="681" t="s">
        <v>316</v>
      </c>
      <c r="C15" s="682"/>
      <c r="D15" s="167">
        <v>0</v>
      </c>
      <c r="E15" s="452">
        <v>0</v>
      </c>
      <c r="F15" s="452">
        <v>0</v>
      </c>
      <c r="G15" s="317">
        <f t="shared" si="0"/>
        <v>0</v>
      </c>
      <c r="H15" s="166">
        <v>0</v>
      </c>
      <c r="I15" s="318">
        <v>0</v>
      </c>
    </row>
    <row r="16" spans="1:9" ht="13.5" thickBot="1" x14ac:dyDescent="0.25">
      <c r="A16" s="679" t="s">
        <v>178</v>
      </c>
      <c r="B16" s="680"/>
      <c r="C16" s="680"/>
      <c r="D16" s="168">
        <f>SUM(D9:D15)</f>
        <v>35300000</v>
      </c>
      <c r="E16" s="168">
        <f t="shared" ref="E16:H16" si="1">SUM(E9:E15)</f>
        <v>0</v>
      </c>
      <c r="F16" s="168">
        <f t="shared" si="1"/>
        <v>1072354</v>
      </c>
      <c r="G16" s="168">
        <f>SUM(G9:G15)</f>
        <v>4164447</v>
      </c>
      <c r="H16" s="168">
        <f t="shared" si="1"/>
        <v>40536801</v>
      </c>
      <c r="I16" s="168">
        <f>SUM(I9:I15)</f>
        <v>38802006</v>
      </c>
    </row>
    <row r="17" spans="1:9" ht="13.5" thickBot="1" x14ac:dyDescent="0.25">
      <c r="A17" s="683" t="s">
        <v>317</v>
      </c>
      <c r="B17" s="684"/>
      <c r="C17" s="685"/>
      <c r="D17" s="169">
        <f t="shared" ref="D17:I17" si="2">D16*0.5</f>
        <v>17650000</v>
      </c>
      <c r="E17" s="169">
        <f t="shared" si="2"/>
        <v>0</v>
      </c>
      <c r="F17" s="169">
        <f t="shared" si="2"/>
        <v>536177</v>
      </c>
      <c r="G17" s="169">
        <f t="shared" si="2"/>
        <v>2082223.5</v>
      </c>
      <c r="H17" s="169">
        <f t="shared" si="2"/>
        <v>20268400.5</v>
      </c>
      <c r="I17" s="169">
        <f t="shared" si="2"/>
        <v>19401003</v>
      </c>
    </row>
    <row r="18" spans="1:9" x14ac:dyDescent="0.2">
      <c r="A18" s="667"/>
      <c r="B18" s="667"/>
      <c r="C18" s="667"/>
      <c r="D18" s="170"/>
      <c r="E18" s="172"/>
      <c r="F18" s="172"/>
      <c r="G18" s="172"/>
      <c r="H18" s="172"/>
      <c r="I18" s="172"/>
    </row>
    <row r="19" spans="1:9" x14ac:dyDescent="0.2">
      <c r="A19" s="171"/>
      <c r="B19" s="668"/>
      <c r="C19" s="668"/>
      <c r="D19" s="172"/>
      <c r="E19" s="172"/>
      <c r="F19" s="172"/>
      <c r="G19" s="172"/>
      <c r="H19" s="172"/>
      <c r="I19" s="172"/>
    </row>
  </sheetData>
  <mergeCells count="13">
    <mergeCell ref="A1:I1"/>
    <mergeCell ref="A2:I2"/>
    <mergeCell ref="A18:C18"/>
    <mergeCell ref="B19:C19"/>
    <mergeCell ref="A7:C8"/>
    <mergeCell ref="B9:C9"/>
    <mergeCell ref="B11:C11"/>
    <mergeCell ref="B12:C12"/>
    <mergeCell ref="B13:C13"/>
    <mergeCell ref="A16:C16"/>
    <mergeCell ref="B14:C14"/>
    <mergeCell ref="B15:C15"/>
    <mergeCell ref="A17:C1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31" zoomScaleNormal="100" workbookViewId="0">
      <selection activeCell="F8" sqref="F8"/>
    </sheetView>
  </sheetViews>
  <sheetFormatPr defaultRowHeight="12.75" x14ac:dyDescent="0.2"/>
  <cols>
    <col min="1" max="1" width="3.5703125" style="138" bestFit="1" customWidth="1"/>
    <col min="2" max="2" width="2.5703125" style="138" bestFit="1" customWidth="1"/>
    <col min="3" max="3" width="52.7109375" style="138" customWidth="1"/>
    <col min="4" max="4" width="6.28515625" style="138" bestFit="1" customWidth="1"/>
    <col min="5" max="5" width="12.7109375" style="138" bestFit="1" customWidth="1"/>
    <col min="6" max="8" width="12.7109375" style="138" customWidth="1"/>
    <col min="9" max="9" width="10.140625" style="138" bestFit="1" customWidth="1"/>
    <col min="10" max="12" width="10.140625" style="138" customWidth="1"/>
    <col min="13" max="15" width="8.7109375" style="138" customWidth="1"/>
    <col min="16" max="16" width="9.85546875" style="138" customWidth="1"/>
    <col min="17" max="17" width="11" style="144" customWidth="1"/>
    <col min="18" max="18" width="11.140625" style="138" bestFit="1" customWidth="1"/>
    <col min="19" max="16384" width="9.140625" style="138"/>
  </cols>
  <sheetData>
    <row r="1" spans="1:23" ht="21.75" customHeight="1" x14ac:dyDescent="0.2">
      <c r="A1" s="503" t="s">
        <v>439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T1" s="10"/>
      <c r="U1" s="10"/>
      <c r="V1" s="10"/>
      <c r="W1" s="10"/>
    </row>
    <row r="2" spans="1:23" ht="28.5" customHeight="1" x14ac:dyDescent="0.2">
      <c r="A2" s="504" t="s">
        <v>80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</row>
    <row r="3" spans="1:23" ht="36.75" customHeight="1" x14ac:dyDescent="0.2">
      <c r="A3" s="542" t="s">
        <v>37</v>
      </c>
      <c r="B3" s="543"/>
      <c r="C3" s="544"/>
      <c r="D3" s="548" t="s">
        <v>255</v>
      </c>
      <c r="E3" s="537" t="s">
        <v>418</v>
      </c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9"/>
    </row>
    <row r="4" spans="1:23" ht="36.75" customHeight="1" x14ac:dyDescent="0.2">
      <c r="A4" s="545"/>
      <c r="B4" s="546"/>
      <c r="C4" s="547"/>
      <c r="D4" s="549"/>
      <c r="E4" s="537" t="s">
        <v>419</v>
      </c>
      <c r="F4" s="538"/>
      <c r="G4" s="538"/>
      <c r="H4" s="539"/>
      <c r="I4" s="537" t="s">
        <v>420</v>
      </c>
      <c r="J4" s="538"/>
      <c r="K4" s="538"/>
      <c r="L4" s="539"/>
      <c r="M4" s="537" t="s">
        <v>446</v>
      </c>
      <c r="N4" s="538"/>
      <c r="O4" s="538"/>
      <c r="P4" s="539"/>
      <c r="Q4" s="540" t="s">
        <v>363</v>
      </c>
    </row>
    <row r="5" spans="1:23" ht="25.5" x14ac:dyDescent="0.2">
      <c r="A5" s="545"/>
      <c r="B5" s="546"/>
      <c r="C5" s="547"/>
      <c r="D5" s="549"/>
      <c r="E5" s="154" t="s">
        <v>445</v>
      </c>
      <c r="F5" s="154" t="s">
        <v>361</v>
      </c>
      <c r="G5" s="154" t="s">
        <v>406</v>
      </c>
      <c r="H5" s="154" t="s">
        <v>443</v>
      </c>
      <c r="I5" s="154" t="s">
        <v>445</v>
      </c>
      <c r="J5" s="154" t="s">
        <v>361</v>
      </c>
      <c r="K5" s="154" t="s">
        <v>406</v>
      </c>
      <c r="L5" s="154" t="s">
        <v>443</v>
      </c>
      <c r="M5" s="198" t="s">
        <v>445</v>
      </c>
      <c r="N5" s="197" t="s">
        <v>361</v>
      </c>
      <c r="O5" s="197" t="s">
        <v>406</v>
      </c>
      <c r="P5" s="197" t="s">
        <v>443</v>
      </c>
      <c r="Q5" s="541"/>
    </row>
    <row r="6" spans="1:23" ht="17.25" customHeight="1" x14ac:dyDescent="0.2">
      <c r="A6" s="559" t="s">
        <v>38</v>
      </c>
      <c r="B6" s="149"/>
      <c r="C6" s="140" t="s">
        <v>195</v>
      </c>
      <c r="D6" s="140" t="s">
        <v>256</v>
      </c>
      <c r="E6" s="349">
        <f>'1. Bevételek'!E4</f>
        <v>13739118</v>
      </c>
      <c r="F6" s="349">
        <v>255095</v>
      </c>
      <c r="G6" s="349">
        <v>121628</v>
      </c>
      <c r="H6" s="357">
        <f>Q6-E6-F6-G6</f>
        <v>120743</v>
      </c>
      <c r="I6" s="375">
        <v>0</v>
      </c>
      <c r="J6" s="385">
        <v>0</v>
      </c>
      <c r="K6" s="385">
        <v>0</v>
      </c>
      <c r="L6" s="385">
        <v>0</v>
      </c>
      <c r="M6" s="375">
        <v>0</v>
      </c>
      <c r="N6" s="384">
        <v>0</v>
      </c>
      <c r="O6" s="384">
        <v>0</v>
      </c>
      <c r="P6" s="384">
        <v>0</v>
      </c>
      <c r="Q6" s="357">
        <v>14236584</v>
      </c>
      <c r="R6" s="386"/>
      <c r="S6" s="386"/>
    </row>
    <row r="7" spans="1:23" ht="25.5" x14ac:dyDescent="0.2">
      <c r="A7" s="559"/>
      <c r="B7" s="149"/>
      <c r="C7" s="140" t="s">
        <v>351</v>
      </c>
      <c r="D7" s="140" t="s">
        <v>257</v>
      </c>
      <c r="E7" s="349">
        <f>'1. Bevételek'!E5</f>
        <v>0</v>
      </c>
      <c r="F7" s="349">
        <v>0</v>
      </c>
      <c r="G7" s="349">
        <v>0</v>
      </c>
      <c r="H7" s="357">
        <f t="shared" ref="H7:H11" si="0">Q7-E7-F7-G7</f>
        <v>0</v>
      </c>
      <c r="I7" s="375">
        <v>0</v>
      </c>
      <c r="J7" s="385">
        <v>0</v>
      </c>
      <c r="K7" s="385">
        <v>0</v>
      </c>
      <c r="L7" s="385">
        <v>0</v>
      </c>
      <c r="M7" s="375">
        <v>0</v>
      </c>
      <c r="N7" s="384">
        <v>0</v>
      </c>
      <c r="O7" s="384">
        <v>0</v>
      </c>
      <c r="P7" s="384">
        <v>0</v>
      </c>
      <c r="Q7" s="357">
        <v>0</v>
      </c>
      <c r="R7" s="386"/>
      <c r="S7" s="386"/>
    </row>
    <row r="8" spans="1:23" ht="25.5" x14ac:dyDescent="0.2">
      <c r="A8" s="559"/>
      <c r="B8" s="446"/>
      <c r="C8" s="140" t="s">
        <v>434</v>
      </c>
      <c r="D8" s="140" t="s">
        <v>435</v>
      </c>
      <c r="E8" s="349">
        <v>7060000</v>
      </c>
      <c r="F8" s="349">
        <v>0</v>
      </c>
      <c r="G8" s="349">
        <v>0</v>
      </c>
      <c r="H8" s="357">
        <f t="shared" si="0"/>
        <v>0</v>
      </c>
      <c r="I8" s="375">
        <v>0</v>
      </c>
      <c r="J8" s="385">
        <v>0</v>
      </c>
      <c r="K8" s="385">
        <v>0</v>
      </c>
      <c r="L8" s="385">
        <v>0</v>
      </c>
      <c r="M8" s="375">
        <v>0</v>
      </c>
      <c r="N8" s="384">
        <v>0</v>
      </c>
      <c r="O8" s="384">
        <v>0</v>
      </c>
      <c r="P8" s="384">
        <v>0</v>
      </c>
      <c r="Q8" s="357">
        <v>7060000</v>
      </c>
      <c r="R8" s="386"/>
      <c r="S8" s="386"/>
    </row>
    <row r="9" spans="1:23" ht="25.5" x14ac:dyDescent="0.2">
      <c r="A9" s="559"/>
      <c r="B9" s="149"/>
      <c r="C9" s="140" t="s">
        <v>438</v>
      </c>
      <c r="D9" s="140" t="s">
        <v>437</v>
      </c>
      <c r="E9" s="349">
        <v>13483271</v>
      </c>
      <c r="F9" s="349">
        <v>0</v>
      </c>
      <c r="G9" s="349">
        <v>-3805838</v>
      </c>
      <c r="H9" s="357">
        <f t="shared" si="0"/>
        <v>-3985097</v>
      </c>
      <c r="I9" s="375">
        <v>0</v>
      </c>
      <c r="J9" s="385">
        <v>0</v>
      </c>
      <c r="K9" s="385">
        <v>0</v>
      </c>
      <c r="L9" s="385">
        <v>0</v>
      </c>
      <c r="M9" s="375">
        <v>0</v>
      </c>
      <c r="N9" s="384">
        <v>0</v>
      </c>
      <c r="O9" s="384">
        <v>0</v>
      </c>
      <c r="P9" s="384">
        <v>0</v>
      </c>
      <c r="Q9" s="357">
        <v>5692336</v>
      </c>
      <c r="R9" s="386"/>
      <c r="S9" s="386"/>
    </row>
    <row r="10" spans="1:23" ht="14.25" customHeight="1" x14ac:dyDescent="0.2">
      <c r="A10" s="559"/>
      <c r="B10" s="149"/>
      <c r="C10" s="140" t="s">
        <v>196</v>
      </c>
      <c r="D10" s="140" t="s">
        <v>258</v>
      </c>
      <c r="E10" s="349">
        <f>'1. Bevételek'!E8</f>
        <v>2405673</v>
      </c>
      <c r="F10" s="349">
        <v>0</v>
      </c>
      <c r="G10" s="349">
        <v>826890</v>
      </c>
      <c r="H10" s="357">
        <f t="shared" si="0"/>
        <v>0</v>
      </c>
      <c r="I10" s="375">
        <v>0</v>
      </c>
      <c r="J10" s="385">
        <v>0</v>
      </c>
      <c r="K10" s="385">
        <v>0</v>
      </c>
      <c r="L10" s="385">
        <v>0</v>
      </c>
      <c r="M10" s="375">
        <v>0</v>
      </c>
      <c r="N10" s="384">
        <v>0</v>
      </c>
      <c r="O10" s="384">
        <v>0</v>
      </c>
      <c r="P10" s="384">
        <v>0</v>
      </c>
      <c r="Q10" s="357">
        <v>3232563</v>
      </c>
      <c r="R10" s="386"/>
      <c r="S10" s="386"/>
    </row>
    <row r="11" spans="1:23" ht="25.5" x14ac:dyDescent="0.2">
      <c r="A11" s="559"/>
      <c r="B11" s="383"/>
      <c r="C11" s="140" t="s">
        <v>407</v>
      </c>
      <c r="D11" s="140" t="s">
        <v>408</v>
      </c>
      <c r="E11" s="349">
        <v>0</v>
      </c>
      <c r="F11" s="349">
        <v>0</v>
      </c>
      <c r="G11" s="349">
        <v>933450</v>
      </c>
      <c r="H11" s="357">
        <f t="shared" si="0"/>
        <v>0</v>
      </c>
      <c r="I11" s="375">
        <v>0</v>
      </c>
      <c r="J11" s="385">
        <v>0</v>
      </c>
      <c r="K11" s="385">
        <v>0</v>
      </c>
      <c r="L11" s="385">
        <v>0</v>
      </c>
      <c r="M11" s="375">
        <v>0</v>
      </c>
      <c r="N11" s="384">
        <v>0</v>
      </c>
      <c r="O11" s="384">
        <v>0</v>
      </c>
      <c r="P11" s="384">
        <v>0</v>
      </c>
      <c r="Q11" s="357">
        <v>933450</v>
      </c>
      <c r="R11" s="386"/>
      <c r="S11" s="386"/>
    </row>
    <row r="12" spans="1:23" ht="18" customHeight="1" x14ac:dyDescent="0.2">
      <c r="A12" s="559"/>
      <c r="B12" s="560" t="s">
        <v>197</v>
      </c>
      <c r="C12" s="560"/>
      <c r="D12" s="376" t="s">
        <v>259</v>
      </c>
      <c r="E12" s="352">
        <f>SUM(E6:E10)</f>
        <v>36688062</v>
      </c>
      <c r="F12" s="352">
        <f>SUM(F6:F11)</f>
        <v>255095</v>
      </c>
      <c r="G12" s="352">
        <f>SUM(G6:G11)</f>
        <v>-1923870</v>
      </c>
      <c r="H12" s="352">
        <f>SUM(H6:H11)</f>
        <v>-3864354</v>
      </c>
      <c r="I12" s="352">
        <f t="shared" ref="I12:Q12" si="1">SUM(I6:I11)</f>
        <v>0</v>
      </c>
      <c r="J12" s="352">
        <f>SUM(J6:J11)</f>
        <v>0</v>
      </c>
      <c r="K12" s="352">
        <f>SUM(K6:K11)</f>
        <v>0</v>
      </c>
      <c r="L12" s="352">
        <f t="shared" si="1"/>
        <v>0</v>
      </c>
      <c r="M12" s="352">
        <f t="shared" si="1"/>
        <v>0</v>
      </c>
      <c r="N12" s="352">
        <f t="shared" si="1"/>
        <v>0</v>
      </c>
      <c r="O12" s="352">
        <f t="shared" si="1"/>
        <v>0</v>
      </c>
      <c r="P12" s="352">
        <f t="shared" si="1"/>
        <v>0</v>
      </c>
      <c r="Q12" s="352">
        <f t="shared" si="1"/>
        <v>31154933</v>
      </c>
      <c r="R12" s="386"/>
      <c r="S12" s="386"/>
    </row>
    <row r="13" spans="1:23" x14ac:dyDescent="0.2">
      <c r="A13" s="559"/>
      <c r="B13" s="377"/>
      <c r="C13" s="140" t="s">
        <v>319</v>
      </c>
      <c r="D13" s="140" t="s">
        <v>260</v>
      </c>
      <c r="E13" s="349">
        <f>'1. Bevételek'!E11</f>
        <v>0</v>
      </c>
      <c r="F13" s="349">
        <v>0</v>
      </c>
      <c r="G13" s="349">
        <v>0</v>
      </c>
      <c r="H13" s="357">
        <f>Q13-E13-F13-G13</f>
        <v>0</v>
      </c>
      <c r="I13" s="387">
        <v>0</v>
      </c>
      <c r="J13" s="387">
        <v>0</v>
      </c>
      <c r="K13" s="387">
        <v>0</v>
      </c>
      <c r="L13" s="387">
        <v>0</v>
      </c>
      <c r="M13" s="387">
        <v>0</v>
      </c>
      <c r="N13" s="388">
        <v>0</v>
      </c>
      <c r="O13" s="388">
        <v>0</v>
      </c>
      <c r="P13" s="388">
        <v>0</v>
      </c>
      <c r="Q13" s="357">
        <v>0</v>
      </c>
      <c r="R13" s="386"/>
      <c r="S13" s="386"/>
    </row>
    <row r="14" spans="1:23" x14ac:dyDescent="0.2">
      <c r="A14" s="559"/>
      <c r="B14" s="377"/>
      <c r="C14" s="135" t="s">
        <v>211</v>
      </c>
      <c r="D14" s="140" t="s">
        <v>260</v>
      </c>
      <c r="E14" s="349">
        <f>'1. Bevételek'!E12</f>
        <v>6692160</v>
      </c>
      <c r="F14" s="349">
        <v>587500</v>
      </c>
      <c r="G14" s="349">
        <v>0</v>
      </c>
      <c r="H14" s="357">
        <f t="shared" ref="H14:H16" si="2">Q14-E14-F14-G14</f>
        <v>-1345560</v>
      </c>
      <c r="I14" s="141">
        <v>0</v>
      </c>
      <c r="J14" s="387">
        <v>0</v>
      </c>
      <c r="K14" s="387">
        <v>0</v>
      </c>
      <c r="L14" s="387">
        <v>0</v>
      </c>
      <c r="M14" s="387">
        <v>0</v>
      </c>
      <c r="N14" s="388">
        <v>0</v>
      </c>
      <c r="O14" s="388">
        <v>0</v>
      </c>
      <c r="P14" s="388">
        <v>0</v>
      </c>
      <c r="Q14" s="357">
        <v>5934100</v>
      </c>
      <c r="R14" s="386"/>
      <c r="S14" s="386"/>
    </row>
    <row r="15" spans="1:23" x14ac:dyDescent="0.2">
      <c r="A15" s="559"/>
      <c r="B15" s="377"/>
      <c r="C15" s="135" t="s">
        <v>212</v>
      </c>
      <c r="D15" s="140" t="s">
        <v>260</v>
      </c>
      <c r="E15" s="349">
        <f>'1. Bevételek'!E13</f>
        <v>4400000</v>
      </c>
      <c r="F15" s="349">
        <v>0</v>
      </c>
      <c r="G15" s="349">
        <v>0</v>
      </c>
      <c r="H15" s="357">
        <f t="shared" si="2"/>
        <v>-1181730</v>
      </c>
      <c r="I15" s="387">
        <v>0</v>
      </c>
      <c r="J15" s="387">
        <v>0</v>
      </c>
      <c r="K15" s="387">
        <v>0</v>
      </c>
      <c r="L15" s="387">
        <v>0</v>
      </c>
      <c r="M15" s="387">
        <v>0</v>
      </c>
      <c r="N15" s="388">
        <v>0</v>
      </c>
      <c r="O15" s="388">
        <v>0</v>
      </c>
      <c r="P15" s="388">
        <v>0</v>
      </c>
      <c r="Q15" s="357">
        <v>3218270</v>
      </c>
      <c r="R15" s="386"/>
      <c r="S15" s="386"/>
    </row>
    <row r="16" spans="1:23" x14ac:dyDescent="0.2">
      <c r="A16" s="559"/>
      <c r="B16" s="377"/>
      <c r="C16" s="135" t="s">
        <v>213</v>
      </c>
      <c r="D16" s="140" t="s">
        <v>260</v>
      </c>
      <c r="E16" s="349">
        <f>'1. Bevételek'!E14</f>
        <v>793846</v>
      </c>
      <c r="F16" s="349">
        <v>0</v>
      </c>
      <c r="G16" s="349">
        <v>0</v>
      </c>
      <c r="H16" s="357">
        <f t="shared" si="2"/>
        <v>0</v>
      </c>
      <c r="I16" s="387">
        <v>0</v>
      </c>
      <c r="J16" s="387">
        <v>0</v>
      </c>
      <c r="K16" s="387">
        <v>0</v>
      </c>
      <c r="L16" s="387">
        <v>0</v>
      </c>
      <c r="M16" s="387">
        <v>0</v>
      </c>
      <c r="N16" s="388">
        <v>0</v>
      </c>
      <c r="O16" s="388">
        <v>0</v>
      </c>
      <c r="P16" s="388">
        <v>0</v>
      </c>
      <c r="Q16" s="357">
        <v>793846</v>
      </c>
      <c r="R16" s="386"/>
      <c r="S16" s="386"/>
    </row>
    <row r="17" spans="1:19" s="107" customFormat="1" ht="18.75" customHeight="1" x14ac:dyDescent="0.2">
      <c r="A17" s="559"/>
      <c r="B17" s="560" t="s">
        <v>214</v>
      </c>
      <c r="C17" s="560"/>
      <c r="D17" s="376" t="s">
        <v>260</v>
      </c>
      <c r="E17" s="352">
        <f t="shared" ref="E17:Q17" si="3">SUM(E13:E16)</f>
        <v>11886006</v>
      </c>
      <c r="F17" s="352">
        <f t="shared" si="3"/>
        <v>587500</v>
      </c>
      <c r="G17" s="352">
        <f t="shared" si="3"/>
        <v>0</v>
      </c>
      <c r="H17" s="352">
        <f t="shared" si="3"/>
        <v>-2527290</v>
      </c>
      <c r="I17" s="352">
        <f t="shared" si="3"/>
        <v>0</v>
      </c>
      <c r="J17" s="352">
        <f t="shared" si="3"/>
        <v>0</v>
      </c>
      <c r="K17" s="352">
        <f t="shared" si="3"/>
        <v>0</v>
      </c>
      <c r="L17" s="352">
        <f t="shared" si="3"/>
        <v>0</v>
      </c>
      <c r="M17" s="352">
        <f t="shared" si="3"/>
        <v>0</v>
      </c>
      <c r="N17" s="352">
        <f t="shared" si="3"/>
        <v>0</v>
      </c>
      <c r="O17" s="352">
        <f t="shared" si="3"/>
        <v>0</v>
      </c>
      <c r="P17" s="352">
        <f t="shared" si="3"/>
        <v>0</v>
      </c>
      <c r="Q17" s="352">
        <f t="shared" si="3"/>
        <v>9946216</v>
      </c>
      <c r="R17" s="369"/>
      <c r="S17" s="369"/>
    </row>
    <row r="18" spans="1:19" s="148" customFormat="1" ht="22.5" customHeight="1" x14ac:dyDescent="0.2">
      <c r="A18" s="559"/>
      <c r="B18" s="551" t="s">
        <v>215</v>
      </c>
      <c r="C18" s="551"/>
      <c r="D18" s="374" t="s">
        <v>261</v>
      </c>
      <c r="E18" s="130">
        <f t="shared" ref="E18:Q18" si="4">E12+E17</f>
        <v>48574068</v>
      </c>
      <c r="F18" s="130">
        <f>F12+F17</f>
        <v>842595</v>
      </c>
      <c r="G18" s="130">
        <f>G12+G17</f>
        <v>-1923870</v>
      </c>
      <c r="H18" s="130">
        <f>H12+H17</f>
        <v>-6391644</v>
      </c>
      <c r="I18" s="130">
        <f t="shared" si="4"/>
        <v>0</v>
      </c>
      <c r="J18" s="130">
        <f>J12+J17</f>
        <v>0</v>
      </c>
      <c r="K18" s="130">
        <f>K12+K17</f>
        <v>0</v>
      </c>
      <c r="L18" s="130">
        <f t="shared" si="4"/>
        <v>0</v>
      </c>
      <c r="M18" s="130">
        <f t="shared" si="4"/>
        <v>0</v>
      </c>
      <c r="N18" s="353">
        <f t="shared" ref="N18:O18" si="5">SUM(N14:N17)</f>
        <v>0</v>
      </c>
      <c r="O18" s="353">
        <f t="shared" si="5"/>
        <v>0</v>
      </c>
      <c r="P18" s="130">
        <f t="shared" si="4"/>
        <v>0</v>
      </c>
      <c r="Q18" s="130">
        <f t="shared" si="4"/>
        <v>41101149</v>
      </c>
      <c r="R18" s="370"/>
      <c r="S18" s="370"/>
    </row>
    <row r="19" spans="1:19" s="370" customFormat="1" ht="18.75" customHeight="1" x14ac:dyDescent="0.2">
      <c r="A19" s="552" t="s">
        <v>39</v>
      </c>
      <c r="B19" s="365"/>
      <c r="C19" s="365" t="s">
        <v>410</v>
      </c>
      <c r="D19" s="365" t="s">
        <v>409</v>
      </c>
      <c r="E19" s="357">
        <v>0</v>
      </c>
      <c r="F19" s="357">
        <v>0</v>
      </c>
      <c r="G19" s="357">
        <v>19540998</v>
      </c>
      <c r="H19" s="357">
        <f>Q19-E19-F19-G19</f>
        <v>0</v>
      </c>
      <c r="I19" s="357">
        <v>0</v>
      </c>
      <c r="J19" s="357">
        <v>0</v>
      </c>
      <c r="K19" s="357">
        <v>0</v>
      </c>
      <c r="L19" s="357">
        <v>0</v>
      </c>
      <c r="M19" s="357">
        <v>0</v>
      </c>
      <c r="N19" s="455">
        <f t="shared" ref="N19" si="6">SUM(N15:N18)</f>
        <v>0</v>
      </c>
      <c r="O19" s="390">
        <v>0</v>
      </c>
      <c r="P19" s="390">
        <v>0</v>
      </c>
      <c r="Q19" s="357">
        <v>19540998</v>
      </c>
    </row>
    <row r="20" spans="1:19" s="370" customFormat="1" ht="25.5" x14ac:dyDescent="0.2">
      <c r="A20" s="553"/>
      <c r="B20" s="365"/>
      <c r="C20" s="365" t="s">
        <v>411</v>
      </c>
      <c r="D20" s="365" t="s">
        <v>412</v>
      </c>
      <c r="E20" s="357">
        <v>0</v>
      </c>
      <c r="F20" s="357">
        <v>0</v>
      </c>
      <c r="G20" s="357">
        <v>14973300</v>
      </c>
      <c r="H20" s="357">
        <f>Q20-E20-F20-G20</f>
        <v>12929391</v>
      </c>
      <c r="I20" s="357">
        <v>0</v>
      </c>
      <c r="J20" s="357">
        <v>0</v>
      </c>
      <c r="K20" s="357">
        <v>0</v>
      </c>
      <c r="L20" s="357">
        <v>0</v>
      </c>
      <c r="M20" s="357">
        <v>0</v>
      </c>
      <c r="N20" s="455">
        <f t="shared" ref="N20" si="7">SUM(N16:N19)</f>
        <v>0</v>
      </c>
      <c r="O20" s="390">
        <v>0</v>
      </c>
      <c r="P20" s="390">
        <v>0</v>
      </c>
      <c r="Q20" s="357">
        <v>27902691</v>
      </c>
    </row>
    <row r="21" spans="1:19" s="370" customFormat="1" ht="22.5" customHeight="1" x14ac:dyDescent="0.2">
      <c r="A21" s="554"/>
      <c r="B21" s="555"/>
      <c r="C21" s="556"/>
      <c r="D21" s="389" t="s">
        <v>414</v>
      </c>
      <c r="E21" s="353">
        <f>SUM(E19:E20)</f>
        <v>0</v>
      </c>
      <c r="F21" s="353">
        <f t="shared" ref="F21:Q21" si="8">SUM(F19:F20)</f>
        <v>0</v>
      </c>
      <c r="G21" s="353">
        <f t="shared" si="8"/>
        <v>34514298</v>
      </c>
      <c r="H21" s="353">
        <f t="shared" si="8"/>
        <v>12929391</v>
      </c>
      <c r="I21" s="353">
        <f t="shared" si="8"/>
        <v>0</v>
      </c>
      <c r="J21" s="353">
        <f t="shared" si="8"/>
        <v>0</v>
      </c>
      <c r="K21" s="353">
        <f t="shared" si="8"/>
        <v>0</v>
      </c>
      <c r="L21" s="353">
        <f t="shared" si="8"/>
        <v>0</v>
      </c>
      <c r="M21" s="353">
        <f t="shared" si="8"/>
        <v>0</v>
      </c>
      <c r="N21" s="353">
        <f t="shared" si="8"/>
        <v>0</v>
      </c>
      <c r="O21" s="353">
        <f t="shared" si="8"/>
        <v>0</v>
      </c>
      <c r="P21" s="353">
        <f t="shared" si="8"/>
        <v>0</v>
      </c>
      <c r="Q21" s="353">
        <f t="shared" si="8"/>
        <v>47443689</v>
      </c>
    </row>
    <row r="22" spans="1:19" s="107" customFormat="1" x14ac:dyDescent="0.2">
      <c r="A22" s="550" t="s">
        <v>40</v>
      </c>
      <c r="B22" s="560" t="s">
        <v>198</v>
      </c>
      <c r="C22" s="560"/>
      <c r="D22" s="376" t="s">
        <v>262</v>
      </c>
      <c r="E22" s="352">
        <f>'1. Bevételek'!E20</f>
        <v>5300000</v>
      </c>
      <c r="F22" s="352">
        <f>'1. Bevételek'!F20</f>
        <v>0</v>
      </c>
      <c r="G22" s="352">
        <f>'1. Bevételek'!G20</f>
        <v>469255</v>
      </c>
      <c r="H22" s="352">
        <f>Q22-E22-F22-G22</f>
        <v>874074</v>
      </c>
      <c r="I22" s="378">
        <v>0</v>
      </c>
      <c r="J22" s="378">
        <v>0</v>
      </c>
      <c r="K22" s="378">
        <v>0</v>
      </c>
      <c r="L22" s="378">
        <v>0</v>
      </c>
      <c r="M22" s="378">
        <v>0</v>
      </c>
      <c r="N22" s="352">
        <f t="shared" ref="N22" si="9">SUM(N18:N21)</f>
        <v>0</v>
      </c>
      <c r="O22" s="379">
        <v>0</v>
      </c>
      <c r="P22" s="379">
        <v>0</v>
      </c>
      <c r="Q22" s="352">
        <v>6643329</v>
      </c>
      <c r="R22" s="369"/>
      <c r="S22" s="369"/>
    </row>
    <row r="23" spans="1:19" x14ac:dyDescent="0.2">
      <c r="A23" s="550"/>
      <c r="B23" s="149" t="s">
        <v>38</v>
      </c>
      <c r="C23" s="140" t="s">
        <v>192</v>
      </c>
      <c r="D23" s="140" t="s">
        <v>263</v>
      </c>
      <c r="E23" s="349">
        <f>'1. Bevételek'!E21</f>
        <v>30000000</v>
      </c>
      <c r="F23" s="349">
        <v>0</v>
      </c>
      <c r="G23" s="349">
        <v>0</v>
      </c>
      <c r="H23" s="357">
        <f>Q23-E23-F23-G23</f>
        <v>2683422</v>
      </c>
      <c r="I23" s="375">
        <v>0</v>
      </c>
      <c r="J23" s="385">
        <v>0</v>
      </c>
      <c r="K23" s="385">
        <v>0</v>
      </c>
      <c r="L23" s="385">
        <v>0</v>
      </c>
      <c r="M23" s="375">
        <v>0</v>
      </c>
      <c r="N23" s="455">
        <f t="shared" ref="N23" si="10">SUM(N19:N22)</f>
        <v>0</v>
      </c>
      <c r="O23" s="384">
        <v>0</v>
      </c>
      <c r="P23" s="384">
        <v>0</v>
      </c>
      <c r="Q23" s="357">
        <v>32683422</v>
      </c>
      <c r="R23" s="386"/>
      <c r="S23" s="386"/>
    </row>
    <row r="24" spans="1:19" x14ac:dyDescent="0.2">
      <c r="A24" s="550"/>
      <c r="B24" s="149" t="s">
        <v>39</v>
      </c>
      <c r="C24" s="140" t="s">
        <v>199</v>
      </c>
      <c r="D24" s="140" t="s">
        <v>264</v>
      </c>
      <c r="E24" s="349">
        <f>'1. Bevételek'!E22</f>
        <v>7000000</v>
      </c>
      <c r="F24" s="349">
        <v>-7000000</v>
      </c>
      <c r="G24" s="349">
        <v>0</v>
      </c>
      <c r="H24" s="357">
        <f t="shared" ref="H24:H25" si="11">Q24-E24-F24-G24</f>
        <v>0</v>
      </c>
      <c r="I24" s="375">
        <v>0</v>
      </c>
      <c r="J24" s="385">
        <v>0</v>
      </c>
      <c r="K24" s="385">
        <v>0</v>
      </c>
      <c r="L24" s="385">
        <v>0</v>
      </c>
      <c r="M24" s="375">
        <v>0</v>
      </c>
      <c r="N24" s="455">
        <f t="shared" ref="N24" si="12">SUM(N20:N23)</f>
        <v>0</v>
      </c>
      <c r="O24" s="384">
        <v>0</v>
      </c>
      <c r="P24" s="384">
        <v>0</v>
      </c>
      <c r="Q24" s="357">
        <v>0</v>
      </c>
      <c r="R24" s="386"/>
      <c r="S24" s="386"/>
    </row>
    <row r="25" spans="1:19" x14ac:dyDescent="0.2">
      <c r="A25" s="550"/>
      <c r="B25" s="149" t="s">
        <v>40</v>
      </c>
      <c r="C25" s="140" t="s">
        <v>193</v>
      </c>
      <c r="D25" s="140" t="s">
        <v>265</v>
      </c>
      <c r="E25" s="349">
        <f>'1. Bevételek'!E23</f>
        <v>0</v>
      </c>
      <c r="F25" s="349">
        <v>0</v>
      </c>
      <c r="G25" s="349">
        <v>0</v>
      </c>
      <c r="H25" s="357">
        <f t="shared" si="11"/>
        <v>0</v>
      </c>
      <c r="I25" s="375">
        <v>0</v>
      </c>
      <c r="J25" s="385">
        <v>0</v>
      </c>
      <c r="K25" s="385">
        <v>0</v>
      </c>
      <c r="L25" s="385">
        <v>0</v>
      </c>
      <c r="M25" s="375">
        <v>0</v>
      </c>
      <c r="N25" s="455">
        <f t="shared" ref="N25" si="13">SUM(N21:N24)</f>
        <v>0</v>
      </c>
      <c r="O25" s="384">
        <v>0</v>
      </c>
      <c r="P25" s="384">
        <v>0</v>
      </c>
      <c r="Q25" s="357">
        <v>0</v>
      </c>
      <c r="R25" s="386"/>
      <c r="S25" s="386"/>
    </row>
    <row r="26" spans="1:19" ht="17.25" customHeight="1" x14ac:dyDescent="0.2">
      <c r="A26" s="550"/>
      <c r="B26" s="560" t="s">
        <v>245</v>
      </c>
      <c r="C26" s="560"/>
      <c r="D26" s="376" t="s">
        <v>266</v>
      </c>
      <c r="E26" s="352">
        <f>SUM(E23:E25)</f>
        <v>37000000</v>
      </c>
      <c r="F26" s="352">
        <f>SUM(F23:F25)</f>
        <v>-7000000</v>
      </c>
      <c r="G26" s="352">
        <f>SUM(G23:G25)</f>
        <v>0</v>
      </c>
      <c r="H26" s="352">
        <f>SUM(H23:H25)</f>
        <v>2683422</v>
      </c>
      <c r="I26" s="352">
        <f t="shared" ref="I26:Q26" si="14">SUM(I23:I25)</f>
        <v>0</v>
      </c>
      <c r="J26" s="352">
        <f>SUM(J23:J25)</f>
        <v>0</v>
      </c>
      <c r="K26" s="352">
        <f>SUM(K23:K25)</f>
        <v>0</v>
      </c>
      <c r="L26" s="352">
        <f>SUM(L23:L25)</f>
        <v>0</v>
      </c>
      <c r="M26" s="352">
        <f t="shared" si="14"/>
        <v>0</v>
      </c>
      <c r="N26" s="352">
        <v>0</v>
      </c>
      <c r="O26" s="352">
        <v>0</v>
      </c>
      <c r="P26" s="352">
        <f t="shared" si="14"/>
        <v>0</v>
      </c>
      <c r="Q26" s="352">
        <f t="shared" si="14"/>
        <v>32683422</v>
      </c>
      <c r="R26" s="386"/>
      <c r="S26" s="386"/>
    </row>
    <row r="27" spans="1:19" s="107" customFormat="1" ht="18.75" customHeight="1" x14ac:dyDescent="0.2">
      <c r="A27" s="550"/>
      <c r="B27" s="560" t="s">
        <v>194</v>
      </c>
      <c r="C27" s="560"/>
      <c r="D27" s="376" t="s">
        <v>267</v>
      </c>
      <c r="E27" s="352">
        <f>'1. Bevételek'!E25</f>
        <v>0</v>
      </c>
      <c r="F27" s="352">
        <f>'1. Bevételek'!F25</f>
        <v>0</v>
      </c>
      <c r="G27" s="352">
        <f>'1. Bevételek'!G25</f>
        <v>270439</v>
      </c>
      <c r="H27" s="352">
        <f>Q27-E27-F27-G27</f>
        <v>606951</v>
      </c>
      <c r="I27" s="378">
        <v>0</v>
      </c>
      <c r="J27" s="378">
        <v>0</v>
      </c>
      <c r="K27" s="378">
        <v>0</v>
      </c>
      <c r="L27" s="378">
        <v>0</v>
      </c>
      <c r="M27" s="378">
        <v>0</v>
      </c>
      <c r="N27" s="352">
        <v>0</v>
      </c>
      <c r="O27" s="352">
        <v>0</v>
      </c>
      <c r="P27" s="379">
        <v>0</v>
      </c>
      <c r="Q27" s="352">
        <v>877390</v>
      </c>
      <c r="R27" s="369"/>
      <c r="S27" s="369"/>
    </row>
    <row r="28" spans="1:19" s="148" customFormat="1" ht="18" customHeight="1" x14ac:dyDescent="0.2">
      <c r="A28" s="550"/>
      <c r="B28" s="551" t="s">
        <v>200</v>
      </c>
      <c r="C28" s="551"/>
      <c r="D28" s="374" t="s">
        <v>268</v>
      </c>
      <c r="E28" s="130">
        <f t="shared" ref="E28:Q28" si="15">E22+E26+E27</f>
        <v>42300000</v>
      </c>
      <c r="F28" s="130">
        <f t="shared" si="15"/>
        <v>-7000000</v>
      </c>
      <c r="G28" s="130">
        <f t="shared" si="15"/>
        <v>739694</v>
      </c>
      <c r="H28" s="130">
        <f t="shared" si="15"/>
        <v>4164447</v>
      </c>
      <c r="I28" s="130">
        <f t="shared" si="15"/>
        <v>0</v>
      </c>
      <c r="J28" s="130">
        <f>J22+J26+J27</f>
        <v>0</v>
      </c>
      <c r="K28" s="130">
        <f>K22+K26+K27</f>
        <v>0</v>
      </c>
      <c r="L28" s="130">
        <f t="shared" si="15"/>
        <v>0</v>
      </c>
      <c r="M28" s="130">
        <f t="shared" si="15"/>
        <v>0</v>
      </c>
      <c r="N28" s="130">
        <f t="shared" si="15"/>
        <v>0</v>
      </c>
      <c r="O28" s="130">
        <f t="shared" si="15"/>
        <v>0</v>
      </c>
      <c r="P28" s="130">
        <f t="shared" si="15"/>
        <v>0</v>
      </c>
      <c r="Q28" s="130">
        <f t="shared" si="15"/>
        <v>40204141</v>
      </c>
      <c r="R28" s="370"/>
      <c r="S28" s="370"/>
    </row>
    <row r="29" spans="1:19" x14ac:dyDescent="0.2">
      <c r="A29" s="550" t="s">
        <v>41</v>
      </c>
      <c r="B29" s="380"/>
      <c r="C29" s="140" t="s">
        <v>202</v>
      </c>
      <c r="D29" s="140" t="s">
        <v>269</v>
      </c>
      <c r="E29" s="349">
        <v>295000</v>
      </c>
      <c r="F29" s="349">
        <v>0</v>
      </c>
      <c r="G29" s="349">
        <v>0</v>
      </c>
      <c r="H29" s="357">
        <v>0</v>
      </c>
      <c r="I29" s="349">
        <f>'1. Bevételek'!E27-'1.1.Bevételek (KÖT, ÖNV,Áll.i)'!E29</f>
        <v>16505000</v>
      </c>
      <c r="J29" s="357">
        <v>0</v>
      </c>
      <c r="K29" s="357">
        <v>-332660</v>
      </c>
      <c r="L29" s="357">
        <f>Q29-I29-E29-J29-K29</f>
        <v>1031226</v>
      </c>
      <c r="M29" s="349">
        <v>0</v>
      </c>
      <c r="N29" s="455">
        <f t="shared" ref="N29" si="16">SUM(N25:N28)</f>
        <v>0</v>
      </c>
      <c r="O29" s="390">
        <v>0</v>
      </c>
      <c r="P29" s="390">
        <v>0</v>
      </c>
      <c r="Q29" s="357">
        <v>17498566</v>
      </c>
      <c r="R29" s="386"/>
      <c r="S29" s="386"/>
    </row>
    <row r="30" spans="1:19" x14ac:dyDescent="0.2">
      <c r="A30" s="550"/>
      <c r="B30" s="380"/>
      <c r="C30" s="140" t="s">
        <v>203</v>
      </c>
      <c r="D30" s="140" t="s">
        <v>270</v>
      </c>
      <c r="E30" s="375">
        <v>0</v>
      </c>
      <c r="F30" s="375">
        <v>0</v>
      </c>
      <c r="G30" s="375">
        <v>0</v>
      </c>
      <c r="H30" s="385">
        <v>0</v>
      </c>
      <c r="I30" s="349">
        <f>'1. Bevételek'!E28</f>
        <v>1500000</v>
      </c>
      <c r="J30" s="357">
        <v>0</v>
      </c>
      <c r="K30" s="357">
        <v>0</v>
      </c>
      <c r="L30" s="357">
        <f>Q30-I30-J30-K30</f>
        <v>333730</v>
      </c>
      <c r="M30" s="375">
        <v>0</v>
      </c>
      <c r="N30" s="455">
        <f t="shared" ref="N30" si="17">SUM(N26:N29)</f>
        <v>0</v>
      </c>
      <c r="O30" s="384">
        <v>0</v>
      </c>
      <c r="P30" s="384">
        <v>0</v>
      </c>
      <c r="Q30" s="357">
        <v>1833730</v>
      </c>
      <c r="R30" s="386"/>
      <c r="S30" s="386"/>
    </row>
    <row r="31" spans="1:19" x14ac:dyDescent="0.2">
      <c r="A31" s="550"/>
      <c r="B31" s="380"/>
      <c r="C31" s="140" t="s">
        <v>204</v>
      </c>
      <c r="D31" s="140" t="s">
        <v>271</v>
      </c>
      <c r="E31" s="349">
        <v>0</v>
      </c>
      <c r="F31" s="349">
        <v>0</v>
      </c>
      <c r="G31" s="349">
        <v>332660</v>
      </c>
      <c r="H31" s="357">
        <f>Q31-E31-F31-G31</f>
        <v>0</v>
      </c>
      <c r="I31" s="375">
        <v>0</v>
      </c>
      <c r="J31" s="385">
        <v>0</v>
      </c>
      <c r="K31" s="385">
        <v>0</v>
      </c>
      <c r="L31" s="385">
        <v>0</v>
      </c>
      <c r="M31" s="375">
        <v>0</v>
      </c>
      <c r="N31" s="455">
        <f t="shared" ref="N31" si="18">SUM(N27:N30)</f>
        <v>0</v>
      </c>
      <c r="O31" s="384">
        <v>0</v>
      </c>
      <c r="P31" s="384">
        <v>0</v>
      </c>
      <c r="Q31" s="357">
        <v>332660</v>
      </c>
      <c r="R31" s="386"/>
      <c r="S31" s="386"/>
    </row>
    <row r="32" spans="1:19" x14ac:dyDescent="0.2">
      <c r="A32" s="550"/>
      <c r="B32" s="380"/>
      <c r="C32" s="140" t="s">
        <v>205</v>
      </c>
      <c r="D32" s="140" t="s">
        <v>272</v>
      </c>
      <c r="E32" s="349">
        <f>'1. Bevételek'!E30</f>
        <v>3185361</v>
      </c>
      <c r="F32" s="349">
        <v>0</v>
      </c>
      <c r="G32" s="349">
        <v>0</v>
      </c>
      <c r="H32" s="357">
        <f t="shared" ref="H32:H36" si="19">Q32-E32-F32-G32</f>
        <v>-526771</v>
      </c>
      <c r="I32" s="375">
        <v>0</v>
      </c>
      <c r="J32" s="385">
        <v>0</v>
      </c>
      <c r="K32" s="385">
        <v>0</v>
      </c>
      <c r="L32" s="385">
        <v>0</v>
      </c>
      <c r="M32" s="375">
        <v>0</v>
      </c>
      <c r="N32" s="455">
        <f t="shared" ref="N32" si="20">SUM(N28:N31)</f>
        <v>0</v>
      </c>
      <c r="O32" s="384">
        <v>0</v>
      </c>
      <c r="P32" s="384">
        <v>0</v>
      </c>
      <c r="Q32" s="357">
        <v>2658590</v>
      </c>
      <c r="R32" s="386"/>
      <c r="S32" s="386"/>
    </row>
    <row r="33" spans="1:19" x14ac:dyDescent="0.2">
      <c r="A33" s="550"/>
      <c r="B33" s="380"/>
      <c r="C33" s="140" t="s">
        <v>206</v>
      </c>
      <c r="D33" s="140" t="s">
        <v>273</v>
      </c>
      <c r="E33" s="349">
        <f>'1. Bevételek'!E31</f>
        <v>860047</v>
      </c>
      <c r="F33" s="349">
        <v>0</v>
      </c>
      <c r="G33" s="349">
        <v>0</v>
      </c>
      <c r="H33" s="357">
        <f t="shared" si="19"/>
        <v>900879</v>
      </c>
      <c r="I33" s="375">
        <v>0</v>
      </c>
      <c r="J33" s="385">
        <v>0</v>
      </c>
      <c r="K33" s="385">
        <v>0</v>
      </c>
      <c r="L33" s="385">
        <v>0</v>
      </c>
      <c r="M33" s="375">
        <v>0</v>
      </c>
      <c r="N33" s="455">
        <f t="shared" ref="N33" si="21">SUM(N29:N32)</f>
        <v>0</v>
      </c>
      <c r="O33" s="384">
        <v>0</v>
      </c>
      <c r="P33" s="384">
        <v>0</v>
      </c>
      <c r="Q33" s="357">
        <v>1760926</v>
      </c>
      <c r="R33" s="386"/>
      <c r="S33" s="386"/>
    </row>
    <row r="34" spans="1:19" x14ac:dyDescent="0.2">
      <c r="A34" s="550"/>
      <c r="B34" s="380"/>
      <c r="C34" s="140" t="s">
        <v>207</v>
      </c>
      <c r="D34" s="140" t="s">
        <v>274</v>
      </c>
      <c r="E34" s="349">
        <f>'1. Bevételek'!E32</f>
        <v>180000</v>
      </c>
      <c r="F34" s="349">
        <v>0</v>
      </c>
      <c r="G34" s="349">
        <v>0</v>
      </c>
      <c r="H34" s="357">
        <f t="shared" si="19"/>
        <v>-180000</v>
      </c>
      <c r="I34" s="375">
        <v>0</v>
      </c>
      <c r="J34" s="385">
        <v>0</v>
      </c>
      <c r="K34" s="385">
        <v>0</v>
      </c>
      <c r="L34" s="385">
        <v>0</v>
      </c>
      <c r="M34" s="375">
        <v>0</v>
      </c>
      <c r="N34" s="455">
        <f t="shared" ref="N34" si="22">SUM(N30:N33)</f>
        <v>0</v>
      </c>
      <c r="O34" s="384">
        <v>0</v>
      </c>
      <c r="P34" s="384">
        <v>0</v>
      </c>
      <c r="Q34" s="357">
        <v>0</v>
      </c>
      <c r="R34" s="386"/>
      <c r="S34" s="386"/>
    </row>
    <row r="35" spans="1:19" x14ac:dyDescent="0.2">
      <c r="A35" s="550"/>
      <c r="B35" s="380"/>
      <c r="C35" s="140" t="s">
        <v>188</v>
      </c>
      <c r="D35" s="140" t="s">
        <v>275</v>
      </c>
      <c r="E35" s="349">
        <f>'1. Bevételek'!E33</f>
        <v>0</v>
      </c>
      <c r="F35" s="349">
        <v>0</v>
      </c>
      <c r="G35" s="349">
        <v>0</v>
      </c>
      <c r="H35" s="357">
        <f t="shared" si="19"/>
        <v>67</v>
      </c>
      <c r="I35" s="375">
        <v>0</v>
      </c>
      <c r="J35" s="385">
        <v>0</v>
      </c>
      <c r="K35" s="385">
        <v>0</v>
      </c>
      <c r="L35" s="385">
        <v>0</v>
      </c>
      <c r="M35" s="375">
        <v>0</v>
      </c>
      <c r="N35" s="455">
        <f t="shared" ref="N35" si="23">SUM(N31:N34)</f>
        <v>0</v>
      </c>
      <c r="O35" s="384">
        <v>0</v>
      </c>
      <c r="P35" s="384">
        <v>0</v>
      </c>
      <c r="Q35" s="357">
        <v>67</v>
      </c>
      <c r="R35" s="386"/>
      <c r="S35" s="386"/>
    </row>
    <row r="36" spans="1:19" x14ac:dyDescent="0.2">
      <c r="A36" s="550"/>
      <c r="B36" s="380"/>
      <c r="C36" s="140" t="s">
        <v>208</v>
      </c>
      <c r="D36" s="140" t="s">
        <v>276</v>
      </c>
      <c r="E36" s="349">
        <f>'1. Bevételek'!E34</f>
        <v>0</v>
      </c>
      <c r="F36" s="349">
        <v>0</v>
      </c>
      <c r="G36" s="349">
        <v>0</v>
      </c>
      <c r="H36" s="357">
        <f t="shared" si="19"/>
        <v>145741</v>
      </c>
      <c r="I36" s="375">
        <v>0</v>
      </c>
      <c r="J36" s="385">
        <v>0</v>
      </c>
      <c r="K36" s="385">
        <v>0</v>
      </c>
      <c r="L36" s="385">
        <v>0</v>
      </c>
      <c r="M36" s="375">
        <v>0</v>
      </c>
      <c r="N36" s="455">
        <f t="shared" ref="N36" si="24">SUM(N32:N35)</f>
        <v>0</v>
      </c>
      <c r="O36" s="384">
        <v>0</v>
      </c>
      <c r="P36" s="384">
        <v>0</v>
      </c>
      <c r="Q36" s="357">
        <v>145741</v>
      </c>
      <c r="R36" s="386"/>
      <c r="S36" s="386"/>
    </row>
    <row r="37" spans="1:19" x14ac:dyDescent="0.2">
      <c r="A37" s="550"/>
      <c r="B37" s="551" t="s">
        <v>201</v>
      </c>
      <c r="C37" s="551"/>
      <c r="D37" s="374" t="s">
        <v>277</v>
      </c>
      <c r="E37" s="130">
        <f t="shared" ref="E37:Q37" si="25">SUM(E29:E36)</f>
        <v>4520408</v>
      </c>
      <c r="F37" s="130">
        <f t="shared" si="25"/>
        <v>0</v>
      </c>
      <c r="G37" s="130">
        <f>SUM(G29:G36)</f>
        <v>332660</v>
      </c>
      <c r="H37" s="130">
        <f>SUM(H29:H36)</f>
        <v>339916</v>
      </c>
      <c r="I37" s="130">
        <f t="shared" si="25"/>
        <v>18005000</v>
      </c>
      <c r="J37" s="130">
        <f t="shared" si="25"/>
        <v>0</v>
      </c>
      <c r="K37" s="130">
        <f t="shared" si="25"/>
        <v>-332660</v>
      </c>
      <c r="L37" s="130">
        <f t="shared" si="25"/>
        <v>1364956</v>
      </c>
      <c r="M37" s="130">
        <f t="shared" si="25"/>
        <v>0</v>
      </c>
      <c r="N37" s="130">
        <f t="shared" si="25"/>
        <v>0</v>
      </c>
      <c r="O37" s="130">
        <f t="shared" si="25"/>
        <v>0</v>
      </c>
      <c r="P37" s="130">
        <f t="shared" si="25"/>
        <v>0</v>
      </c>
      <c r="Q37" s="130">
        <f t="shared" si="25"/>
        <v>24230280</v>
      </c>
      <c r="R37" s="396"/>
      <c r="S37" s="386"/>
    </row>
    <row r="38" spans="1:19" ht="20.25" customHeight="1" x14ac:dyDescent="0.2">
      <c r="A38" s="550" t="s">
        <v>42</v>
      </c>
      <c r="B38" s="380"/>
      <c r="C38" s="140" t="s">
        <v>209</v>
      </c>
      <c r="D38" s="140" t="s">
        <v>354</v>
      </c>
      <c r="E38" s="349">
        <f>'1. Bevételek'!E36</f>
        <v>0</v>
      </c>
      <c r="F38" s="349">
        <v>0</v>
      </c>
      <c r="G38" s="349">
        <v>0</v>
      </c>
      <c r="H38" s="357">
        <v>0</v>
      </c>
      <c r="I38" s="375">
        <v>0</v>
      </c>
      <c r="J38" s="385">
        <v>0</v>
      </c>
      <c r="K38" s="385">
        <v>0</v>
      </c>
      <c r="L38" s="385">
        <v>0</v>
      </c>
      <c r="M38" s="375">
        <v>0</v>
      </c>
      <c r="N38" s="455">
        <f t="shared" ref="N38" si="26">SUM(N34:N37)</f>
        <v>0</v>
      </c>
      <c r="O38" s="384">
        <v>0</v>
      </c>
      <c r="P38" s="384">
        <v>0</v>
      </c>
      <c r="Q38" s="357">
        <v>0</v>
      </c>
      <c r="R38" s="386"/>
      <c r="S38" s="386"/>
    </row>
    <row r="39" spans="1:19" ht="16.5" customHeight="1" x14ac:dyDescent="0.2">
      <c r="A39" s="550"/>
      <c r="B39" s="551" t="s">
        <v>189</v>
      </c>
      <c r="C39" s="551"/>
      <c r="D39" s="374" t="s">
        <v>353</v>
      </c>
      <c r="E39" s="130">
        <f>SUM(E38)</f>
        <v>0</v>
      </c>
      <c r="F39" s="130">
        <f>SUM(F38)</f>
        <v>0</v>
      </c>
      <c r="G39" s="130">
        <f>SUM(G38)</f>
        <v>0</v>
      </c>
      <c r="H39" s="130">
        <f>SUM(H38)</f>
        <v>0</v>
      </c>
      <c r="I39" s="130">
        <f t="shared" ref="I39:Q39" si="27">SUM(I38)</f>
        <v>0</v>
      </c>
      <c r="J39" s="130">
        <f t="shared" si="27"/>
        <v>0</v>
      </c>
      <c r="K39" s="130">
        <f t="shared" si="27"/>
        <v>0</v>
      </c>
      <c r="L39" s="130">
        <f t="shared" si="27"/>
        <v>0</v>
      </c>
      <c r="M39" s="130">
        <f t="shared" si="27"/>
        <v>0</v>
      </c>
      <c r="N39" s="130">
        <f t="shared" si="27"/>
        <v>0</v>
      </c>
      <c r="O39" s="130">
        <f t="shared" si="27"/>
        <v>0</v>
      </c>
      <c r="P39" s="130">
        <f t="shared" si="27"/>
        <v>0</v>
      </c>
      <c r="Q39" s="130">
        <f t="shared" si="27"/>
        <v>0</v>
      </c>
      <c r="R39" s="386"/>
      <c r="S39" s="386"/>
    </row>
    <row r="40" spans="1:19" s="386" customFormat="1" ht="25.5" x14ac:dyDescent="0.2">
      <c r="A40" s="550" t="s">
        <v>47</v>
      </c>
      <c r="B40" s="393"/>
      <c r="C40" s="365" t="s">
        <v>210</v>
      </c>
      <c r="D40" s="365" t="s">
        <v>278</v>
      </c>
      <c r="E40" s="357">
        <f>'1. Bevételek'!E38</f>
        <v>0</v>
      </c>
      <c r="F40" s="357">
        <v>0</v>
      </c>
      <c r="G40" s="357">
        <v>0</v>
      </c>
      <c r="H40" s="357">
        <v>0</v>
      </c>
      <c r="I40" s="385">
        <v>0</v>
      </c>
      <c r="J40" s="385">
        <v>0</v>
      </c>
      <c r="K40" s="385">
        <v>0</v>
      </c>
      <c r="L40" s="385">
        <v>0</v>
      </c>
      <c r="M40" s="385">
        <v>0</v>
      </c>
      <c r="N40" s="455">
        <f t="shared" ref="N40" si="28">SUM(N36:N39)</f>
        <v>0</v>
      </c>
      <c r="O40" s="384">
        <v>0</v>
      </c>
      <c r="P40" s="384">
        <v>0</v>
      </c>
      <c r="Q40" s="357">
        <v>0</v>
      </c>
    </row>
    <row r="41" spans="1:19" x14ac:dyDescent="0.2">
      <c r="A41" s="550"/>
      <c r="B41" s="380"/>
      <c r="C41" s="140" t="s">
        <v>421</v>
      </c>
      <c r="D41" s="140" t="s">
        <v>279</v>
      </c>
      <c r="E41" s="349">
        <f>'1. Bevételek'!E39</f>
        <v>0</v>
      </c>
      <c r="F41" s="349">
        <v>2932591</v>
      </c>
      <c r="G41" s="349">
        <v>3819500</v>
      </c>
      <c r="H41" s="357">
        <f>Q41-E41-F41-G41</f>
        <v>-2932591</v>
      </c>
      <c r="I41" s="375">
        <v>0</v>
      </c>
      <c r="J41" s="385">
        <v>0</v>
      </c>
      <c r="K41" s="385">
        <v>0</v>
      </c>
      <c r="L41" s="385">
        <v>0</v>
      </c>
      <c r="M41" s="375">
        <v>0</v>
      </c>
      <c r="N41" s="455">
        <f t="shared" ref="N41" si="29">SUM(N37:N40)</f>
        <v>0</v>
      </c>
      <c r="O41" s="384">
        <v>0</v>
      </c>
      <c r="P41" s="384">
        <v>0</v>
      </c>
      <c r="Q41" s="357">
        <v>3819500</v>
      </c>
      <c r="R41" s="386"/>
      <c r="S41" s="386"/>
    </row>
    <row r="42" spans="1:19" x14ac:dyDescent="0.2">
      <c r="A42" s="550"/>
      <c r="B42" s="551" t="s">
        <v>190</v>
      </c>
      <c r="C42" s="551"/>
      <c r="D42" s="374" t="s">
        <v>280</v>
      </c>
      <c r="E42" s="130">
        <f t="shared" ref="E42:Q42" si="30">SUM(E40:E41)</f>
        <v>0</v>
      </c>
      <c r="F42" s="130">
        <f t="shared" si="30"/>
        <v>2932591</v>
      </c>
      <c r="G42" s="130">
        <f t="shared" si="30"/>
        <v>3819500</v>
      </c>
      <c r="H42" s="130">
        <f t="shared" si="30"/>
        <v>-2932591</v>
      </c>
      <c r="I42" s="130">
        <f t="shared" si="30"/>
        <v>0</v>
      </c>
      <c r="J42" s="130">
        <f t="shared" si="30"/>
        <v>0</v>
      </c>
      <c r="K42" s="130">
        <f t="shared" si="30"/>
        <v>0</v>
      </c>
      <c r="L42" s="130">
        <f t="shared" si="30"/>
        <v>0</v>
      </c>
      <c r="M42" s="130">
        <f t="shared" si="30"/>
        <v>0</v>
      </c>
      <c r="N42" s="130">
        <f t="shared" si="30"/>
        <v>0</v>
      </c>
      <c r="O42" s="130">
        <f t="shared" si="30"/>
        <v>0</v>
      </c>
      <c r="P42" s="130">
        <f t="shared" si="30"/>
        <v>0</v>
      </c>
      <c r="Q42" s="130">
        <f t="shared" si="30"/>
        <v>3819500</v>
      </c>
      <c r="R42" s="386"/>
      <c r="S42" s="386"/>
    </row>
    <row r="43" spans="1:19" s="150" customFormat="1" ht="24.75" customHeight="1" x14ac:dyDescent="0.2">
      <c r="A43" s="558" t="s">
        <v>191</v>
      </c>
      <c r="B43" s="558"/>
      <c r="C43" s="558"/>
      <c r="D43" s="373" t="s">
        <v>281</v>
      </c>
      <c r="E43" s="131">
        <f>E18+E28+E21+E37+E39+E42</f>
        <v>95394476</v>
      </c>
      <c r="F43" s="131">
        <f t="shared" ref="F43:Q43" si="31">F18+F28+F21+F37+F39+F42</f>
        <v>-3224814</v>
      </c>
      <c r="G43" s="131">
        <f t="shared" si="31"/>
        <v>37482282</v>
      </c>
      <c r="H43" s="454">
        <f t="shared" si="31"/>
        <v>8109519</v>
      </c>
      <c r="I43" s="131">
        <f t="shared" si="31"/>
        <v>18005000</v>
      </c>
      <c r="J43" s="131">
        <f t="shared" si="31"/>
        <v>0</v>
      </c>
      <c r="K43" s="131">
        <f t="shared" si="31"/>
        <v>-332660</v>
      </c>
      <c r="L43" s="131">
        <f t="shared" si="31"/>
        <v>1364956</v>
      </c>
      <c r="M43" s="131">
        <f t="shared" si="31"/>
        <v>0</v>
      </c>
      <c r="N43" s="131">
        <f t="shared" si="31"/>
        <v>0</v>
      </c>
      <c r="O43" s="131">
        <f t="shared" si="31"/>
        <v>0</v>
      </c>
      <c r="P43" s="131">
        <f t="shared" si="31"/>
        <v>0</v>
      </c>
      <c r="Q43" s="131">
        <f t="shared" si="31"/>
        <v>156798759</v>
      </c>
      <c r="R43" s="394"/>
      <c r="S43" s="394"/>
    </row>
    <row r="44" spans="1:19" s="386" customFormat="1" ht="24" customHeight="1" x14ac:dyDescent="0.2">
      <c r="A44" s="533" t="s">
        <v>49</v>
      </c>
      <c r="B44" s="393"/>
      <c r="C44" s="365" t="s">
        <v>250</v>
      </c>
      <c r="D44" s="365" t="s">
        <v>282</v>
      </c>
      <c r="E44" s="357">
        <f>'1. Bevételek'!E42</f>
        <v>0</v>
      </c>
      <c r="F44" s="357">
        <v>0</v>
      </c>
      <c r="G44" s="357">
        <v>0</v>
      </c>
      <c r="H44" s="357">
        <v>0</v>
      </c>
      <c r="I44" s="385">
        <v>0</v>
      </c>
      <c r="J44" s="385">
        <v>0</v>
      </c>
      <c r="K44" s="385">
        <v>0</v>
      </c>
      <c r="L44" s="385">
        <v>0</v>
      </c>
      <c r="M44" s="385">
        <v>0</v>
      </c>
      <c r="N44" s="455">
        <f t="shared" ref="N44" si="32">SUM(N40:N43)</f>
        <v>0</v>
      </c>
      <c r="O44" s="384">
        <v>0</v>
      </c>
      <c r="P44" s="384">
        <v>0</v>
      </c>
      <c r="Q44" s="357">
        <v>0</v>
      </c>
    </row>
    <row r="45" spans="1:19" ht="18.75" customHeight="1" x14ac:dyDescent="0.2">
      <c r="A45" s="534"/>
      <c r="B45" s="551" t="s">
        <v>251</v>
      </c>
      <c r="C45" s="551"/>
      <c r="D45" s="374" t="s">
        <v>283</v>
      </c>
      <c r="E45" s="130">
        <f t="shared" ref="E45:Q45" si="33">SUM(E44)</f>
        <v>0</v>
      </c>
      <c r="F45" s="130">
        <f t="shared" si="33"/>
        <v>0</v>
      </c>
      <c r="G45" s="130">
        <f t="shared" si="33"/>
        <v>0</v>
      </c>
      <c r="H45" s="130">
        <f t="shared" si="33"/>
        <v>0</v>
      </c>
      <c r="I45" s="130">
        <f t="shared" si="33"/>
        <v>0</v>
      </c>
      <c r="J45" s="130">
        <f t="shared" si="33"/>
        <v>0</v>
      </c>
      <c r="K45" s="130">
        <f t="shared" si="33"/>
        <v>0</v>
      </c>
      <c r="L45" s="130">
        <f t="shared" si="33"/>
        <v>0</v>
      </c>
      <c r="M45" s="130">
        <f t="shared" si="33"/>
        <v>0</v>
      </c>
      <c r="N45" s="130">
        <f t="shared" si="33"/>
        <v>0</v>
      </c>
      <c r="O45" s="130">
        <f t="shared" si="33"/>
        <v>0</v>
      </c>
      <c r="P45" s="130">
        <f t="shared" si="33"/>
        <v>0</v>
      </c>
      <c r="Q45" s="130">
        <f t="shared" si="33"/>
        <v>0</v>
      </c>
      <c r="R45" s="386"/>
      <c r="S45" s="386"/>
    </row>
    <row r="46" spans="1:19" s="386" customFormat="1" ht="17.25" customHeight="1" x14ac:dyDescent="0.2">
      <c r="A46" s="550" t="s">
        <v>50</v>
      </c>
      <c r="B46" s="393"/>
      <c r="C46" s="365" t="s">
        <v>217</v>
      </c>
      <c r="D46" s="365" t="s">
        <v>284</v>
      </c>
      <c r="E46" s="357">
        <f>'1. Bevételek'!E44</f>
        <v>0</v>
      </c>
      <c r="F46" s="357">
        <v>0</v>
      </c>
      <c r="G46" s="357">
        <v>0</v>
      </c>
      <c r="H46" s="357">
        <v>0</v>
      </c>
      <c r="I46" s="385">
        <v>0</v>
      </c>
      <c r="J46" s="385">
        <v>0</v>
      </c>
      <c r="K46" s="385">
        <v>0</v>
      </c>
      <c r="L46" s="385">
        <v>0</v>
      </c>
      <c r="M46" s="385">
        <v>0</v>
      </c>
      <c r="N46" s="455">
        <f t="shared" ref="N46" si="34">SUM(N42:N45)</f>
        <v>0</v>
      </c>
      <c r="O46" s="384">
        <v>0</v>
      </c>
      <c r="P46" s="384">
        <v>0</v>
      </c>
      <c r="Q46" s="357">
        <v>0</v>
      </c>
    </row>
    <row r="47" spans="1:19" ht="18.75" customHeight="1" x14ac:dyDescent="0.2">
      <c r="A47" s="550"/>
      <c r="B47" s="551" t="s">
        <v>216</v>
      </c>
      <c r="C47" s="551"/>
      <c r="D47" s="374" t="s">
        <v>355</v>
      </c>
      <c r="E47" s="130">
        <f t="shared" ref="E47:Q47" si="35">SUM(E46)</f>
        <v>0</v>
      </c>
      <c r="F47" s="130">
        <f t="shared" si="35"/>
        <v>0</v>
      </c>
      <c r="G47" s="130">
        <f t="shared" si="35"/>
        <v>0</v>
      </c>
      <c r="H47" s="130">
        <f t="shared" si="35"/>
        <v>0</v>
      </c>
      <c r="I47" s="130">
        <f t="shared" si="35"/>
        <v>0</v>
      </c>
      <c r="J47" s="130">
        <f t="shared" si="35"/>
        <v>0</v>
      </c>
      <c r="K47" s="130">
        <f t="shared" si="35"/>
        <v>0</v>
      </c>
      <c r="L47" s="130">
        <f t="shared" si="35"/>
        <v>0</v>
      </c>
      <c r="M47" s="130">
        <f t="shared" si="35"/>
        <v>0</v>
      </c>
      <c r="N47" s="130">
        <f t="shared" si="35"/>
        <v>0</v>
      </c>
      <c r="O47" s="130">
        <f t="shared" si="35"/>
        <v>0</v>
      </c>
      <c r="P47" s="130">
        <f t="shared" si="35"/>
        <v>0</v>
      </c>
      <c r="Q47" s="130">
        <f t="shared" si="35"/>
        <v>0</v>
      </c>
      <c r="R47" s="386"/>
      <c r="S47" s="386"/>
    </row>
    <row r="48" spans="1:19" s="386" customFormat="1" ht="15" customHeight="1" x14ac:dyDescent="0.2">
      <c r="A48" s="550" t="s">
        <v>51</v>
      </c>
      <c r="B48" s="393"/>
      <c r="C48" s="365" t="s">
        <v>246</v>
      </c>
      <c r="D48" s="365" t="s">
        <v>357</v>
      </c>
      <c r="E48" s="357">
        <f>'1. Bevételek'!E46</f>
        <v>69397630</v>
      </c>
      <c r="F48" s="357">
        <v>0</v>
      </c>
      <c r="G48" s="357">
        <v>0</v>
      </c>
      <c r="H48" s="357">
        <f>Q48-E48-F48-G48</f>
        <v>-5929335</v>
      </c>
      <c r="I48" s="385">
        <v>0</v>
      </c>
      <c r="J48" s="385">
        <v>0</v>
      </c>
      <c r="K48" s="385">
        <v>0</v>
      </c>
      <c r="L48" s="385">
        <v>0</v>
      </c>
      <c r="M48" s="385">
        <v>0</v>
      </c>
      <c r="N48" s="455">
        <f t="shared" ref="N48" si="36">SUM(N44:N47)</f>
        <v>0</v>
      </c>
      <c r="O48" s="384">
        <v>0</v>
      </c>
      <c r="P48" s="384">
        <v>0</v>
      </c>
      <c r="Q48" s="357">
        <v>63468295</v>
      </c>
    </row>
    <row r="49" spans="1:19" ht="17.25" customHeight="1" x14ac:dyDescent="0.2">
      <c r="A49" s="550"/>
      <c r="B49" s="551" t="s">
        <v>218</v>
      </c>
      <c r="C49" s="551"/>
      <c r="D49" s="374" t="s">
        <v>356</v>
      </c>
      <c r="E49" s="130">
        <f t="shared" ref="E49:Q49" si="37">SUM(E48)</f>
        <v>69397630</v>
      </c>
      <c r="F49" s="130">
        <f t="shared" si="37"/>
        <v>0</v>
      </c>
      <c r="G49" s="130">
        <f t="shared" si="37"/>
        <v>0</v>
      </c>
      <c r="H49" s="130">
        <f t="shared" si="37"/>
        <v>-5929335</v>
      </c>
      <c r="I49" s="130">
        <f t="shared" si="37"/>
        <v>0</v>
      </c>
      <c r="J49" s="130">
        <f t="shared" si="37"/>
        <v>0</v>
      </c>
      <c r="K49" s="130">
        <f t="shared" si="37"/>
        <v>0</v>
      </c>
      <c r="L49" s="130">
        <f t="shared" si="37"/>
        <v>0</v>
      </c>
      <c r="M49" s="130">
        <f t="shared" si="37"/>
        <v>0</v>
      </c>
      <c r="N49" s="130">
        <f t="shared" si="37"/>
        <v>0</v>
      </c>
      <c r="O49" s="130">
        <f t="shared" si="37"/>
        <v>0</v>
      </c>
      <c r="P49" s="130">
        <f t="shared" si="37"/>
        <v>0</v>
      </c>
      <c r="Q49" s="130">
        <f t="shared" si="37"/>
        <v>63468295</v>
      </c>
      <c r="R49" s="386"/>
      <c r="S49" s="386"/>
    </row>
    <row r="50" spans="1:19" ht="17.25" customHeight="1" x14ac:dyDescent="0.2">
      <c r="A50" s="392" t="s">
        <v>52</v>
      </c>
      <c r="B50" s="535" t="s">
        <v>416</v>
      </c>
      <c r="C50" s="536"/>
      <c r="D50" s="391" t="s">
        <v>415</v>
      </c>
      <c r="E50" s="130">
        <v>0</v>
      </c>
      <c r="F50" s="130">
        <v>0</v>
      </c>
      <c r="G50" s="130">
        <v>11024</v>
      </c>
      <c r="H50" s="130">
        <f>Q50-E50-F50-G50</f>
        <v>1515016</v>
      </c>
      <c r="I50" s="130">
        <v>0</v>
      </c>
      <c r="J50" s="130">
        <v>0</v>
      </c>
      <c r="K50" s="130">
        <v>0</v>
      </c>
      <c r="L50" s="130">
        <v>0</v>
      </c>
      <c r="M50" s="130">
        <v>0</v>
      </c>
      <c r="N50" s="194">
        <f t="shared" ref="N50" si="38">SUM(N46:N49)</f>
        <v>0</v>
      </c>
      <c r="O50" s="395">
        <v>0</v>
      </c>
      <c r="P50" s="395">
        <v>0</v>
      </c>
      <c r="Q50" s="130">
        <v>1526040</v>
      </c>
      <c r="R50" s="386"/>
      <c r="S50" s="386"/>
    </row>
    <row r="51" spans="1:19" s="386" customFormat="1" ht="15.75" customHeight="1" x14ac:dyDescent="0.2">
      <c r="A51" s="552" t="s">
        <v>24</v>
      </c>
      <c r="B51" s="393"/>
      <c r="C51" s="365" t="s">
        <v>248</v>
      </c>
      <c r="D51" s="365" t="s">
        <v>285</v>
      </c>
      <c r="E51" s="357">
        <f>'1. Bevételek'!E49</f>
        <v>0</v>
      </c>
      <c r="F51" s="357">
        <v>0</v>
      </c>
      <c r="G51" s="357">
        <v>0</v>
      </c>
      <c r="H51" s="357">
        <v>0</v>
      </c>
      <c r="I51" s="385">
        <v>0</v>
      </c>
      <c r="J51" s="385">
        <v>0</v>
      </c>
      <c r="K51" s="385">
        <v>0</v>
      </c>
      <c r="L51" s="385">
        <v>0</v>
      </c>
      <c r="M51" s="385">
        <v>0</v>
      </c>
      <c r="N51" s="455">
        <f t="shared" ref="N51" si="39">SUM(N47:N50)</f>
        <v>0</v>
      </c>
      <c r="O51" s="384">
        <v>0</v>
      </c>
      <c r="P51" s="384">
        <v>0</v>
      </c>
      <c r="Q51" s="357">
        <v>0</v>
      </c>
    </row>
    <row r="52" spans="1:19" ht="18" customHeight="1" x14ac:dyDescent="0.2">
      <c r="A52" s="554"/>
      <c r="B52" s="551" t="s">
        <v>249</v>
      </c>
      <c r="C52" s="551"/>
      <c r="D52" s="374" t="s">
        <v>285</v>
      </c>
      <c r="E52" s="130">
        <f t="shared" ref="E52:Q52" si="40">SUM(E51)</f>
        <v>0</v>
      </c>
      <c r="F52" s="130">
        <f t="shared" si="40"/>
        <v>0</v>
      </c>
      <c r="G52" s="130">
        <f t="shared" si="40"/>
        <v>0</v>
      </c>
      <c r="H52" s="130">
        <f t="shared" si="40"/>
        <v>0</v>
      </c>
      <c r="I52" s="130">
        <f t="shared" si="40"/>
        <v>0</v>
      </c>
      <c r="J52" s="130">
        <f t="shared" si="40"/>
        <v>0</v>
      </c>
      <c r="K52" s="130">
        <f t="shared" si="40"/>
        <v>0</v>
      </c>
      <c r="L52" s="130">
        <f t="shared" si="40"/>
        <v>0</v>
      </c>
      <c r="M52" s="130">
        <f t="shared" si="40"/>
        <v>0</v>
      </c>
      <c r="N52" s="130">
        <f t="shared" si="40"/>
        <v>0</v>
      </c>
      <c r="O52" s="130">
        <f t="shared" si="40"/>
        <v>0</v>
      </c>
      <c r="P52" s="130">
        <f t="shared" si="40"/>
        <v>0</v>
      </c>
      <c r="Q52" s="130">
        <f t="shared" si="40"/>
        <v>0</v>
      </c>
      <c r="R52" s="386"/>
      <c r="S52" s="386"/>
    </row>
    <row r="53" spans="1:19" s="148" customFormat="1" ht="21.75" customHeight="1" x14ac:dyDescent="0.2">
      <c r="A53" s="558" t="s">
        <v>219</v>
      </c>
      <c r="B53" s="558"/>
      <c r="C53" s="558"/>
      <c r="D53" s="373" t="s">
        <v>286</v>
      </c>
      <c r="E53" s="131">
        <f>E47+E49+E50+E52+E45</f>
        <v>69397630</v>
      </c>
      <c r="F53" s="131">
        <f t="shared" ref="F53:Q53" si="41">F47+F49+F50+F52+F45</f>
        <v>0</v>
      </c>
      <c r="G53" s="131">
        <f t="shared" si="41"/>
        <v>11024</v>
      </c>
      <c r="H53" s="131">
        <f t="shared" si="41"/>
        <v>-4414319</v>
      </c>
      <c r="I53" s="131">
        <f t="shared" si="41"/>
        <v>0</v>
      </c>
      <c r="J53" s="131">
        <f t="shared" si="41"/>
        <v>0</v>
      </c>
      <c r="K53" s="131">
        <f t="shared" si="41"/>
        <v>0</v>
      </c>
      <c r="L53" s="131">
        <f t="shared" si="41"/>
        <v>0</v>
      </c>
      <c r="M53" s="131">
        <f t="shared" si="41"/>
        <v>0</v>
      </c>
      <c r="N53" s="131">
        <f t="shared" si="41"/>
        <v>0</v>
      </c>
      <c r="O53" s="131">
        <f t="shared" si="41"/>
        <v>0</v>
      </c>
      <c r="P53" s="131">
        <f t="shared" si="41"/>
        <v>0</v>
      </c>
      <c r="Q53" s="131">
        <f t="shared" si="41"/>
        <v>64994335</v>
      </c>
      <c r="R53" s="370"/>
      <c r="S53" s="370"/>
    </row>
    <row r="54" spans="1:19" s="107" customFormat="1" ht="22.5" customHeight="1" x14ac:dyDescent="0.2">
      <c r="A54" s="557" t="s">
        <v>220</v>
      </c>
      <c r="B54" s="557"/>
      <c r="C54" s="557"/>
      <c r="D54" s="381"/>
      <c r="E54" s="382">
        <f>E43+E53</f>
        <v>164792106</v>
      </c>
      <c r="F54" s="382">
        <f t="shared" ref="F54:Q54" si="42">F43+F53</f>
        <v>-3224814</v>
      </c>
      <c r="G54" s="382">
        <f t="shared" si="42"/>
        <v>37493306</v>
      </c>
      <c r="H54" s="456">
        <f t="shared" si="42"/>
        <v>3695200</v>
      </c>
      <c r="I54" s="382">
        <f t="shared" si="42"/>
        <v>18005000</v>
      </c>
      <c r="J54" s="382">
        <f t="shared" si="42"/>
        <v>0</v>
      </c>
      <c r="K54" s="382">
        <f t="shared" si="42"/>
        <v>-332660</v>
      </c>
      <c r="L54" s="382">
        <f t="shared" si="42"/>
        <v>1364956</v>
      </c>
      <c r="M54" s="382">
        <f t="shared" si="42"/>
        <v>0</v>
      </c>
      <c r="N54" s="382">
        <f t="shared" si="42"/>
        <v>0</v>
      </c>
      <c r="O54" s="382">
        <f t="shared" si="42"/>
        <v>0</v>
      </c>
      <c r="P54" s="382">
        <f t="shared" si="42"/>
        <v>0</v>
      </c>
      <c r="Q54" s="382">
        <f t="shared" si="42"/>
        <v>221793094</v>
      </c>
      <c r="R54" s="405"/>
      <c r="S54" s="369"/>
    </row>
    <row r="56" spans="1:19" x14ac:dyDescent="0.2"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96"/>
    </row>
  </sheetData>
  <mergeCells count="38">
    <mergeCell ref="A1:Q1"/>
    <mergeCell ref="A2:Q2"/>
    <mergeCell ref="A43:C43"/>
    <mergeCell ref="A53:C53"/>
    <mergeCell ref="A6:A18"/>
    <mergeCell ref="B12:C12"/>
    <mergeCell ref="B17:C17"/>
    <mergeCell ref="B18:C18"/>
    <mergeCell ref="B45:C45"/>
    <mergeCell ref="A22:A28"/>
    <mergeCell ref="B22:C22"/>
    <mergeCell ref="B26:C26"/>
    <mergeCell ref="B27:C27"/>
    <mergeCell ref="B28:C28"/>
    <mergeCell ref="A29:A37"/>
    <mergeCell ref="B37:C37"/>
    <mergeCell ref="A54:C54"/>
    <mergeCell ref="A46:A47"/>
    <mergeCell ref="B47:C47"/>
    <mergeCell ref="A48:A49"/>
    <mergeCell ref="B49:C49"/>
    <mergeCell ref="A51:A52"/>
    <mergeCell ref="B52:C52"/>
    <mergeCell ref="A44:A45"/>
    <mergeCell ref="B50:C50"/>
    <mergeCell ref="I4:L4"/>
    <mergeCell ref="M4:P4"/>
    <mergeCell ref="Q4:Q5"/>
    <mergeCell ref="A3:C5"/>
    <mergeCell ref="D3:D5"/>
    <mergeCell ref="E3:Q3"/>
    <mergeCell ref="A38:A39"/>
    <mergeCell ref="B39:C39"/>
    <mergeCell ref="A40:A42"/>
    <mergeCell ref="B42:C42"/>
    <mergeCell ref="E4:H4"/>
    <mergeCell ref="A19:A21"/>
    <mergeCell ref="B21:C21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48" fitToWidth="0" orientation="landscape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V44"/>
  <sheetViews>
    <sheetView topLeftCell="A16" zoomScaleNormal="100" zoomScaleSheetLayoutView="100" workbookViewId="0">
      <selection activeCell="A3" sqref="A3:C3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7.85546875" customWidth="1"/>
    <col min="5" max="10" width="17.7109375" style="132" customWidth="1"/>
    <col min="11" max="11" width="13.7109375" style="132" customWidth="1"/>
  </cols>
  <sheetData>
    <row r="1" spans="1:22" ht="21.75" customHeight="1" x14ac:dyDescent="0.2">
      <c r="A1" s="503" t="s">
        <v>440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22" ht="28.5" customHeight="1" x14ac:dyDescent="0.2">
      <c r="A2" s="504" t="s">
        <v>81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</row>
    <row r="3" spans="1:22" ht="43.5" customHeight="1" x14ac:dyDescent="0.2">
      <c r="A3" s="562" t="s">
        <v>37</v>
      </c>
      <c r="B3" s="563"/>
      <c r="C3" s="564"/>
      <c r="D3" s="196" t="s">
        <v>255</v>
      </c>
      <c r="E3" s="120" t="s">
        <v>359</v>
      </c>
      <c r="F3" s="120" t="s">
        <v>361</v>
      </c>
      <c r="G3" s="120" t="s">
        <v>406</v>
      </c>
      <c r="H3" s="120" t="s">
        <v>443</v>
      </c>
      <c r="I3" s="120" t="s">
        <v>362</v>
      </c>
      <c r="J3" s="120" t="s">
        <v>360</v>
      </c>
      <c r="K3" s="120" t="s">
        <v>405</v>
      </c>
      <c r="S3" s="199"/>
      <c r="T3" s="199"/>
      <c r="U3" s="199"/>
      <c r="V3" s="200"/>
    </row>
    <row r="4" spans="1:22" s="108" customFormat="1" ht="16.5" customHeight="1" x14ac:dyDescent="0.2">
      <c r="A4" s="574" t="s">
        <v>38</v>
      </c>
      <c r="B4" s="112"/>
      <c r="C4" s="113" t="s">
        <v>222</v>
      </c>
      <c r="D4" s="113" t="s">
        <v>287</v>
      </c>
      <c r="E4" s="114">
        <v>23469846</v>
      </c>
      <c r="F4" s="114">
        <v>559346</v>
      </c>
      <c r="G4" s="114">
        <v>44100</v>
      </c>
      <c r="H4" s="193">
        <f>I4-E4-F4-G4</f>
        <v>-3784713</v>
      </c>
      <c r="I4" s="193">
        <v>20288579</v>
      </c>
      <c r="J4" s="193">
        <v>20288579</v>
      </c>
      <c r="K4" s="193">
        <f t="shared" ref="K4:K18" si="0">J4/I4*100</f>
        <v>100</v>
      </c>
      <c r="M4" s="371"/>
    </row>
    <row r="5" spans="1:22" s="108" customFormat="1" ht="16.5" customHeight="1" x14ac:dyDescent="0.2">
      <c r="A5" s="574"/>
      <c r="B5" s="112"/>
      <c r="C5" s="113" t="s">
        <v>223</v>
      </c>
      <c r="D5" s="113" t="s">
        <v>288</v>
      </c>
      <c r="E5" s="114">
        <v>12254800</v>
      </c>
      <c r="F5" s="114">
        <v>0</v>
      </c>
      <c r="G5" s="114">
        <v>0</v>
      </c>
      <c r="H5" s="193">
        <f>I5-E5-F5-G5</f>
        <v>-3357935</v>
      </c>
      <c r="I5" s="193">
        <v>8896865</v>
      </c>
      <c r="J5" s="193">
        <v>8896865</v>
      </c>
      <c r="K5" s="193">
        <f t="shared" si="0"/>
        <v>100</v>
      </c>
      <c r="M5" s="371"/>
    </row>
    <row r="6" spans="1:22" s="111" customFormat="1" ht="21.75" customHeight="1" x14ac:dyDescent="0.2">
      <c r="A6" s="574"/>
      <c r="B6" s="561" t="s">
        <v>221</v>
      </c>
      <c r="C6" s="561"/>
      <c r="D6" s="188" t="s">
        <v>289</v>
      </c>
      <c r="E6" s="130">
        <f t="shared" ref="E6:J6" si="1">SUM(E4:E5)</f>
        <v>35724646</v>
      </c>
      <c r="F6" s="130">
        <f t="shared" si="1"/>
        <v>559346</v>
      </c>
      <c r="G6" s="130">
        <f t="shared" si="1"/>
        <v>44100</v>
      </c>
      <c r="H6" s="130">
        <f t="shared" si="1"/>
        <v>-7142648</v>
      </c>
      <c r="I6" s="130">
        <f t="shared" si="1"/>
        <v>29185444</v>
      </c>
      <c r="J6" s="130">
        <f t="shared" si="1"/>
        <v>29185444</v>
      </c>
      <c r="K6" s="130">
        <f t="shared" si="0"/>
        <v>100</v>
      </c>
      <c r="M6" s="201"/>
    </row>
    <row r="7" spans="1:22" s="111" customFormat="1" ht="22.5" customHeight="1" x14ac:dyDescent="0.2">
      <c r="A7" s="123" t="s">
        <v>39</v>
      </c>
      <c r="B7" s="561" t="s">
        <v>224</v>
      </c>
      <c r="C7" s="561"/>
      <c r="D7" s="188" t="s">
        <v>290</v>
      </c>
      <c r="E7" s="130">
        <v>6251813</v>
      </c>
      <c r="F7" s="130">
        <v>28154</v>
      </c>
      <c r="G7" s="130">
        <v>0</v>
      </c>
      <c r="H7" s="130">
        <f>I7-E7-F7-G7</f>
        <v>-2145843</v>
      </c>
      <c r="I7" s="130">
        <v>4134124</v>
      </c>
      <c r="J7" s="130">
        <v>4134124</v>
      </c>
      <c r="K7" s="130">
        <f t="shared" si="0"/>
        <v>100</v>
      </c>
      <c r="M7" s="201"/>
    </row>
    <row r="8" spans="1:22" s="108" customFormat="1" ht="13.5" customHeight="1" x14ac:dyDescent="0.2">
      <c r="A8" s="575" t="s">
        <v>40</v>
      </c>
      <c r="B8" s="112"/>
      <c r="C8" s="113" t="s">
        <v>225</v>
      </c>
      <c r="D8" s="113" t="s">
        <v>291</v>
      </c>
      <c r="E8" s="114">
        <v>6035050</v>
      </c>
      <c r="F8" s="114">
        <v>0</v>
      </c>
      <c r="G8" s="114">
        <v>213665</v>
      </c>
      <c r="H8" s="193">
        <f>I8-E8-F8-G8</f>
        <v>-464667</v>
      </c>
      <c r="I8" s="193">
        <v>5784048</v>
      </c>
      <c r="J8" s="193">
        <v>5784048</v>
      </c>
      <c r="K8" s="193">
        <f t="shared" si="0"/>
        <v>100</v>
      </c>
      <c r="M8" s="371"/>
    </row>
    <row r="9" spans="1:22" s="108" customFormat="1" ht="13.5" customHeight="1" x14ac:dyDescent="0.2">
      <c r="A9" s="575"/>
      <c r="B9" s="112"/>
      <c r="C9" s="113" t="s">
        <v>226</v>
      </c>
      <c r="D9" s="113" t="s">
        <v>292</v>
      </c>
      <c r="E9" s="114">
        <v>1484372</v>
      </c>
      <c r="F9" s="114">
        <v>88500</v>
      </c>
      <c r="G9" s="114">
        <v>49584</v>
      </c>
      <c r="H9" s="193">
        <f t="shared" ref="H9:H12" si="2">I9-E9-F9-G9</f>
        <v>-29516</v>
      </c>
      <c r="I9" s="193">
        <v>1592940</v>
      </c>
      <c r="J9" s="193">
        <v>1592940</v>
      </c>
      <c r="K9" s="193">
        <f t="shared" si="0"/>
        <v>100</v>
      </c>
      <c r="M9" s="371"/>
    </row>
    <row r="10" spans="1:22" s="108" customFormat="1" ht="13.5" customHeight="1" x14ac:dyDescent="0.2">
      <c r="A10" s="575"/>
      <c r="B10" s="112"/>
      <c r="C10" s="113" t="s">
        <v>227</v>
      </c>
      <c r="D10" s="113" t="s">
        <v>293</v>
      </c>
      <c r="E10" s="114">
        <v>35891502</v>
      </c>
      <c r="F10" s="114">
        <v>0</v>
      </c>
      <c r="G10" s="114">
        <v>-2769435</v>
      </c>
      <c r="H10" s="193">
        <f t="shared" si="2"/>
        <v>288024</v>
      </c>
      <c r="I10" s="193">
        <v>33410091</v>
      </c>
      <c r="J10" s="193">
        <v>31625616</v>
      </c>
      <c r="K10" s="193">
        <f t="shared" si="0"/>
        <v>94.658874170680946</v>
      </c>
      <c r="M10" s="371"/>
    </row>
    <row r="11" spans="1:22" s="108" customFormat="1" ht="13.5" customHeight="1" x14ac:dyDescent="0.2">
      <c r="A11" s="575"/>
      <c r="B11" s="112"/>
      <c r="C11" s="113" t="s">
        <v>228</v>
      </c>
      <c r="D11" s="113" t="s">
        <v>296</v>
      </c>
      <c r="E11" s="114">
        <v>120000</v>
      </c>
      <c r="F11" s="114">
        <v>0</v>
      </c>
      <c r="G11" s="114">
        <v>0</v>
      </c>
      <c r="H11" s="193">
        <f t="shared" si="2"/>
        <v>-120000</v>
      </c>
      <c r="I11" s="193">
        <v>0</v>
      </c>
      <c r="J11" s="193">
        <v>0</v>
      </c>
      <c r="K11" s="193"/>
      <c r="M11" s="371"/>
    </row>
    <row r="12" spans="1:22" s="108" customFormat="1" ht="13.5" customHeight="1" x14ac:dyDescent="0.2">
      <c r="A12" s="575"/>
      <c r="B12" s="112"/>
      <c r="C12" s="113" t="s">
        <v>229</v>
      </c>
      <c r="D12" s="113" t="s">
        <v>297</v>
      </c>
      <c r="E12" s="114">
        <v>14216777</v>
      </c>
      <c r="F12" s="114">
        <v>0</v>
      </c>
      <c r="G12" s="114">
        <v>292950</v>
      </c>
      <c r="H12" s="193">
        <f t="shared" si="2"/>
        <v>-4253790</v>
      </c>
      <c r="I12" s="193">
        <v>10255937</v>
      </c>
      <c r="J12" s="193">
        <v>9774128</v>
      </c>
      <c r="K12" s="193">
        <f t="shared" si="0"/>
        <v>95.302145479247784</v>
      </c>
      <c r="L12" s="138" t="s">
        <v>364</v>
      </c>
      <c r="M12" s="371"/>
    </row>
    <row r="13" spans="1:22" s="111" customFormat="1" ht="19.5" customHeight="1" x14ac:dyDescent="0.2">
      <c r="A13" s="575"/>
      <c r="B13" s="561" t="s">
        <v>230</v>
      </c>
      <c r="C13" s="561"/>
      <c r="D13" s="188" t="s">
        <v>298</v>
      </c>
      <c r="E13" s="130">
        <f t="shared" ref="E13:J13" si="3">SUM(E8:E12)</f>
        <v>57747701</v>
      </c>
      <c r="F13" s="130">
        <f t="shared" si="3"/>
        <v>88500</v>
      </c>
      <c r="G13" s="130">
        <f t="shared" si="3"/>
        <v>-2213236</v>
      </c>
      <c r="H13" s="130">
        <f t="shared" si="3"/>
        <v>-4579949</v>
      </c>
      <c r="I13" s="130">
        <f t="shared" si="3"/>
        <v>51043016</v>
      </c>
      <c r="J13" s="130">
        <f t="shared" si="3"/>
        <v>48776732</v>
      </c>
      <c r="K13" s="130">
        <f t="shared" si="0"/>
        <v>95.560050761890707</v>
      </c>
      <c r="M13" s="201"/>
    </row>
    <row r="14" spans="1:22" s="111" customFormat="1" ht="25.5" customHeight="1" x14ac:dyDescent="0.2">
      <c r="A14" s="115" t="s">
        <v>41</v>
      </c>
      <c r="B14" s="561" t="s">
        <v>84</v>
      </c>
      <c r="C14" s="561"/>
      <c r="D14" s="188" t="s">
        <v>299</v>
      </c>
      <c r="E14" s="130">
        <v>7060000</v>
      </c>
      <c r="F14" s="130">
        <v>0</v>
      </c>
      <c r="G14" s="130">
        <v>0</v>
      </c>
      <c r="H14" s="130">
        <f>I14-E14-F14-G14</f>
        <v>-1461673</v>
      </c>
      <c r="I14" s="130">
        <v>5598327</v>
      </c>
      <c r="J14" s="130">
        <v>5598327</v>
      </c>
      <c r="K14" s="130">
        <f t="shared" si="0"/>
        <v>100</v>
      </c>
      <c r="M14" s="201"/>
    </row>
    <row r="15" spans="1:22" s="111" customFormat="1" ht="25.5" customHeight="1" x14ac:dyDescent="0.2">
      <c r="A15" s="115" t="s">
        <v>42</v>
      </c>
      <c r="B15" s="561" t="s">
        <v>231</v>
      </c>
      <c r="C15" s="561"/>
      <c r="D15" s="188" t="s">
        <v>300</v>
      </c>
      <c r="E15" s="130">
        <v>0</v>
      </c>
      <c r="F15" s="130">
        <v>1385228</v>
      </c>
      <c r="G15" s="130">
        <v>0</v>
      </c>
      <c r="H15" s="130">
        <f>I15-E15-F15-G15</f>
        <v>0</v>
      </c>
      <c r="I15" s="130">
        <v>1385228</v>
      </c>
      <c r="J15" s="130">
        <v>1385228</v>
      </c>
      <c r="K15" s="130">
        <f t="shared" si="0"/>
        <v>100</v>
      </c>
      <c r="L15" s="201"/>
      <c r="M15" s="201"/>
    </row>
    <row r="16" spans="1:22" x14ac:dyDescent="0.2">
      <c r="A16" s="517" t="s">
        <v>47</v>
      </c>
      <c r="B16" s="112"/>
      <c r="C16" s="113" t="s">
        <v>232</v>
      </c>
      <c r="D16" s="113" t="s">
        <v>301</v>
      </c>
      <c r="E16" s="114">
        <v>8549064</v>
      </c>
      <c r="F16" s="114">
        <v>0</v>
      </c>
      <c r="G16" s="114">
        <v>0</v>
      </c>
      <c r="H16" s="357">
        <f>I16-E16-F16-G16</f>
        <v>-1834542</v>
      </c>
      <c r="I16" s="193">
        <v>6714522</v>
      </c>
      <c r="J16" s="193">
        <v>6714522</v>
      </c>
      <c r="K16" s="356">
        <f t="shared" si="0"/>
        <v>100</v>
      </c>
      <c r="M16" s="351"/>
    </row>
    <row r="17" spans="1:13" x14ac:dyDescent="0.2">
      <c r="A17" s="518"/>
      <c r="B17" s="112"/>
      <c r="C17" s="113" t="s">
        <v>233</v>
      </c>
      <c r="D17" s="113" t="s">
        <v>302</v>
      </c>
      <c r="E17" s="114">
        <v>2512000</v>
      </c>
      <c r="F17" s="114">
        <v>0</v>
      </c>
      <c r="G17" s="114">
        <v>0</v>
      </c>
      <c r="H17" s="357">
        <f>I17-E17-F17-G17</f>
        <v>-630000</v>
      </c>
      <c r="I17" s="193">
        <v>1882000</v>
      </c>
      <c r="J17" s="193">
        <v>1882000</v>
      </c>
      <c r="K17" s="356">
        <f t="shared" si="0"/>
        <v>100</v>
      </c>
      <c r="M17" s="351"/>
    </row>
    <row r="18" spans="1:13" ht="25.5" customHeight="1" x14ac:dyDescent="0.2">
      <c r="A18" s="519"/>
      <c r="B18" s="561" t="s">
        <v>234</v>
      </c>
      <c r="C18" s="561"/>
      <c r="D18" s="188" t="s">
        <v>358</v>
      </c>
      <c r="E18" s="130">
        <f>SUM(E15:E17)</f>
        <v>11061064</v>
      </c>
      <c r="F18" s="130">
        <f t="shared" ref="F18:G18" si="4">SUM(F15:F17)</f>
        <v>1385228</v>
      </c>
      <c r="G18" s="130">
        <f t="shared" si="4"/>
        <v>0</v>
      </c>
      <c r="H18" s="130">
        <f>SUM(H15:H17)</f>
        <v>-2464542</v>
      </c>
      <c r="I18" s="130">
        <f>SUM(I15:I17)</f>
        <v>9981750</v>
      </c>
      <c r="J18" s="130">
        <f>SUM(J15:J17)</f>
        <v>9981750</v>
      </c>
      <c r="K18" s="130">
        <f t="shared" si="0"/>
        <v>100</v>
      </c>
      <c r="L18" s="351"/>
      <c r="M18" s="351"/>
    </row>
    <row r="19" spans="1:13" s="109" customFormat="1" ht="25.5" customHeight="1" x14ac:dyDescent="0.2">
      <c r="A19" s="397" t="s">
        <v>49</v>
      </c>
      <c r="B19" s="572" t="s">
        <v>88</v>
      </c>
      <c r="C19" s="573"/>
      <c r="D19" s="191" t="s">
        <v>303</v>
      </c>
      <c r="E19" s="194">
        <f>7160990+395035</f>
        <v>7556025</v>
      </c>
      <c r="F19" s="194">
        <v>-5645192</v>
      </c>
      <c r="G19" s="194">
        <v>5895342</v>
      </c>
      <c r="H19" s="130">
        <f>I19-E19-F19-G19</f>
        <v>57422586</v>
      </c>
      <c r="I19" s="194">
        <v>65228761</v>
      </c>
      <c r="J19" s="353">
        <v>0</v>
      </c>
      <c r="K19" s="353"/>
      <c r="L19" s="358"/>
      <c r="M19" s="358"/>
    </row>
    <row r="20" spans="1:13" s="124" customFormat="1" ht="19.5" customHeight="1" x14ac:dyDescent="0.2">
      <c r="A20" s="398" t="s">
        <v>50</v>
      </c>
      <c r="B20" s="561" t="s">
        <v>235</v>
      </c>
      <c r="C20" s="561"/>
      <c r="D20" s="188" t="s">
        <v>304</v>
      </c>
      <c r="E20" s="130">
        <v>18796000</v>
      </c>
      <c r="F20" s="130">
        <v>0</v>
      </c>
      <c r="G20" s="130">
        <v>18548398</v>
      </c>
      <c r="H20" s="130">
        <f>I20-E20-F20-G20</f>
        <v>-11955956</v>
      </c>
      <c r="I20" s="130">
        <v>25388442</v>
      </c>
      <c r="J20" s="130">
        <v>25388442</v>
      </c>
      <c r="K20" s="130">
        <f t="shared" ref="K20:K25" si="5">J20/I20*100</f>
        <v>100</v>
      </c>
      <c r="M20" s="399"/>
    </row>
    <row r="21" spans="1:13" s="124" customFormat="1" ht="18.75" customHeight="1" x14ac:dyDescent="0.2">
      <c r="A21" s="398" t="s">
        <v>51</v>
      </c>
      <c r="B21" s="561" t="s">
        <v>131</v>
      </c>
      <c r="C21" s="561"/>
      <c r="D21" s="188" t="s">
        <v>305</v>
      </c>
      <c r="E21" s="130">
        <v>36154334</v>
      </c>
      <c r="F21" s="130">
        <v>0</v>
      </c>
      <c r="G21" s="130">
        <v>14875018</v>
      </c>
      <c r="H21" s="130">
        <f>I21-E21-F21-G21</f>
        <v>-22587455</v>
      </c>
      <c r="I21" s="130">
        <v>28441897</v>
      </c>
      <c r="J21" s="130">
        <v>28441897</v>
      </c>
      <c r="K21" s="130">
        <f t="shared" si="5"/>
        <v>100</v>
      </c>
      <c r="M21" s="399"/>
    </row>
    <row r="22" spans="1:13" ht="25.5" x14ac:dyDescent="0.2">
      <c r="A22" s="508" t="s">
        <v>52</v>
      </c>
      <c r="B22" s="112"/>
      <c r="C22" s="113" t="s">
        <v>236</v>
      </c>
      <c r="D22" s="113" t="s">
        <v>62</v>
      </c>
      <c r="E22" s="349">
        <v>0</v>
      </c>
      <c r="F22" s="349">
        <v>359150</v>
      </c>
      <c r="G22" s="349">
        <v>0</v>
      </c>
      <c r="H22" s="356">
        <f>I22-E22-F22-G22</f>
        <v>0</v>
      </c>
      <c r="I22" s="357">
        <v>359150</v>
      </c>
      <c r="J22" s="357">
        <v>359150</v>
      </c>
      <c r="K22" s="356">
        <f t="shared" si="5"/>
        <v>100</v>
      </c>
      <c r="M22" s="351"/>
    </row>
    <row r="23" spans="1:13" ht="25.5" x14ac:dyDescent="0.2">
      <c r="A23" s="566"/>
      <c r="B23" s="112"/>
      <c r="C23" s="113" t="s">
        <v>237</v>
      </c>
      <c r="D23" s="113" t="s">
        <v>63</v>
      </c>
      <c r="E23" s="349">
        <v>0</v>
      </c>
      <c r="F23" s="349">
        <v>0</v>
      </c>
      <c r="G23" s="349">
        <v>0</v>
      </c>
      <c r="H23" s="356">
        <f t="shared" ref="H23:H24" si="6">I23-E23-F23-G23</f>
        <v>0</v>
      </c>
      <c r="I23" s="357">
        <v>0</v>
      </c>
      <c r="J23" s="357">
        <v>0</v>
      </c>
      <c r="K23" s="356"/>
      <c r="M23" s="351"/>
    </row>
    <row r="24" spans="1:13" x14ac:dyDescent="0.2">
      <c r="A24" s="566"/>
      <c r="B24" s="112"/>
      <c r="C24" s="113" t="s">
        <v>238</v>
      </c>
      <c r="D24" s="113" t="s">
        <v>330</v>
      </c>
      <c r="E24" s="114">
        <v>978000</v>
      </c>
      <c r="F24" s="114">
        <v>0</v>
      </c>
      <c r="G24" s="114">
        <v>0</v>
      </c>
      <c r="H24" s="356">
        <f t="shared" si="6"/>
        <v>-24364</v>
      </c>
      <c r="I24" s="193">
        <v>953636</v>
      </c>
      <c r="J24" s="193">
        <v>953636</v>
      </c>
      <c r="K24" s="356">
        <f t="shared" si="5"/>
        <v>100</v>
      </c>
      <c r="M24" s="351"/>
    </row>
    <row r="25" spans="1:13" s="111" customFormat="1" ht="25.5" customHeight="1" x14ac:dyDescent="0.2">
      <c r="A25" s="567"/>
      <c r="B25" s="561" t="s">
        <v>239</v>
      </c>
      <c r="C25" s="561"/>
      <c r="D25" s="188" t="s">
        <v>306</v>
      </c>
      <c r="E25" s="130">
        <f t="shared" ref="E25:J25" si="7">SUM(E22:E24)</f>
        <v>978000</v>
      </c>
      <c r="F25" s="130">
        <f t="shared" si="7"/>
        <v>359150</v>
      </c>
      <c r="G25" s="130">
        <f t="shared" si="7"/>
        <v>0</v>
      </c>
      <c r="H25" s="130">
        <f t="shared" si="7"/>
        <v>-24364</v>
      </c>
      <c r="I25" s="130">
        <f t="shared" si="7"/>
        <v>1312786</v>
      </c>
      <c r="J25" s="130">
        <f t="shared" si="7"/>
        <v>1312786</v>
      </c>
      <c r="K25" s="130">
        <f t="shared" si="5"/>
        <v>100</v>
      </c>
      <c r="M25" s="201"/>
    </row>
    <row r="26" spans="1:13" s="111" customFormat="1" ht="25.5" customHeight="1" x14ac:dyDescent="0.2">
      <c r="A26" s="571" t="s">
        <v>240</v>
      </c>
      <c r="B26" s="571"/>
      <c r="C26" s="571"/>
      <c r="D26" s="189" t="s">
        <v>307</v>
      </c>
      <c r="E26" s="131">
        <f>E6+E7+E13+E14+E18+E20+E21+E25+E19</f>
        <v>181329583</v>
      </c>
      <c r="F26" s="131">
        <f>F6+F7+F13+F14+F18+F20+F21+F25+F19</f>
        <v>-3224814</v>
      </c>
      <c r="G26" s="131">
        <f>G6+G7+G13+G14+G18+G20+G21+G25+G19</f>
        <v>37149622</v>
      </c>
      <c r="H26" s="131">
        <f>H6+H7+H13+H14+H18+H20+H21+H25+H19</f>
        <v>5060156</v>
      </c>
      <c r="I26" s="131">
        <f t="shared" ref="I26:J26" si="8">I6+I7+I13+I14+I18+I20+I21+I25+I19</f>
        <v>220314547</v>
      </c>
      <c r="J26" s="131">
        <f t="shared" si="8"/>
        <v>152819502</v>
      </c>
      <c r="K26" s="131">
        <f>J26/I26*100</f>
        <v>69.364235853204917</v>
      </c>
      <c r="L26" s="201"/>
      <c r="M26" s="201"/>
    </row>
    <row r="27" spans="1:13" x14ac:dyDescent="0.2">
      <c r="A27" s="517" t="s">
        <v>24</v>
      </c>
      <c r="B27" s="112"/>
      <c r="C27" s="113" t="s">
        <v>243</v>
      </c>
      <c r="D27" s="113" t="s">
        <v>308</v>
      </c>
      <c r="E27" s="114">
        <v>1467523</v>
      </c>
      <c r="F27" s="114">
        <v>0</v>
      </c>
      <c r="G27" s="114">
        <v>11024</v>
      </c>
      <c r="H27" s="193">
        <f>I27-E27-F27-G27</f>
        <v>0</v>
      </c>
      <c r="I27" s="193">
        <v>1478547</v>
      </c>
      <c r="J27" s="193">
        <v>1478547</v>
      </c>
      <c r="K27" s="193">
        <f>J27/I27*100</f>
        <v>100</v>
      </c>
      <c r="M27" s="351"/>
    </row>
    <row r="28" spans="1:13" x14ac:dyDescent="0.2">
      <c r="A28" s="519"/>
      <c r="B28" s="112"/>
      <c r="C28" s="113" t="s">
        <v>244</v>
      </c>
      <c r="D28" s="113" t="s">
        <v>64</v>
      </c>
      <c r="E28" s="114">
        <v>0</v>
      </c>
      <c r="F28" s="114">
        <v>0</v>
      </c>
      <c r="G28" s="114">
        <v>0</v>
      </c>
      <c r="H28" s="193">
        <f>I28-E28-F28-G28</f>
        <v>0</v>
      </c>
      <c r="I28" s="193">
        <v>0</v>
      </c>
      <c r="J28" s="193">
        <v>0</v>
      </c>
      <c r="K28" s="193"/>
      <c r="L28" s="351"/>
      <c r="M28" s="351"/>
    </row>
    <row r="29" spans="1:13" s="111" customFormat="1" ht="22.5" customHeight="1" x14ac:dyDescent="0.2">
      <c r="A29" s="568" t="s">
        <v>241</v>
      </c>
      <c r="B29" s="569"/>
      <c r="C29" s="570"/>
      <c r="D29" s="192" t="s">
        <v>309</v>
      </c>
      <c r="E29" s="131">
        <f t="shared" ref="E29:J29" si="9">SUM(E27:E28)</f>
        <v>1467523</v>
      </c>
      <c r="F29" s="131">
        <f t="shared" si="9"/>
        <v>0</v>
      </c>
      <c r="G29" s="131">
        <f t="shared" si="9"/>
        <v>11024</v>
      </c>
      <c r="H29" s="131">
        <f t="shared" si="9"/>
        <v>0</v>
      </c>
      <c r="I29" s="131">
        <f t="shared" si="9"/>
        <v>1478547</v>
      </c>
      <c r="J29" s="131">
        <f t="shared" si="9"/>
        <v>1478547</v>
      </c>
      <c r="K29" s="131">
        <f>J29/I29*100</f>
        <v>100</v>
      </c>
      <c r="M29" s="201"/>
    </row>
    <row r="30" spans="1:13" s="107" customFormat="1" ht="22.5" customHeight="1" x14ac:dyDescent="0.2">
      <c r="A30" s="565" t="s">
        <v>242</v>
      </c>
      <c r="B30" s="565"/>
      <c r="C30" s="565"/>
      <c r="D30" s="190"/>
      <c r="E30" s="121">
        <f t="shared" ref="E30:J30" si="10">E26+E29</f>
        <v>182797106</v>
      </c>
      <c r="F30" s="121">
        <f t="shared" si="10"/>
        <v>-3224814</v>
      </c>
      <c r="G30" s="121">
        <f t="shared" si="10"/>
        <v>37160646</v>
      </c>
      <c r="H30" s="121">
        <f t="shared" si="10"/>
        <v>5060156</v>
      </c>
      <c r="I30" s="121">
        <f t="shared" si="10"/>
        <v>221793094</v>
      </c>
      <c r="J30" s="121">
        <f t="shared" si="10"/>
        <v>154298049</v>
      </c>
      <c r="K30" s="121">
        <f>J30/I30*100</f>
        <v>69.568464110970012</v>
      </c>
      <c r="M30" s="369"/>
    </row>
    <row r="32" spans="1:13" x14ac:dyDescent="0.2">
      <c r="H32" s="400"/>
      <c r="I32" s="400"/>
      <c r="J32" s="400"/>
      <c r="K32" s="400"/>
    </row>
    <row r="44" spans="13:13" x14ac:dyDescent="0.2">
      <c r="M44" t="s">
        <v>364</v>
      </c>
    </row>
  </sheetData>
  <mergeCells count="21">
    <mergeCell ref="A1:K1"/>
    <mergeCell ref="A2:K2"/>
    <mergeCell ref="B13:C13"/>
    <mergeCell ref="A8:A13"/>
    <mergeCell ref="B14:C14"/>
    <mergeCell ref="B15:C15"/>
    <mergeCell ref="A3:C3"/>
    <mergeCell ref="A30:C30"/>
    <mergeCell ref="B25:C25"/>
    <mergeCell ref="B20:C20"/>
    <mergeCell ref="B21:C21"/>
    <mergeCell ref="A22:A25"/>
    <mergeCell ref="A27:A28"/>
    <mergeCell ref="A29:C29"/>
    <mergeCell ref="A26:C26"/>
    <mergeCell ref="B19:C19"/>
    <mergeCell ref="B6:C6"/>
    <mergeCell ref="B7:C7"/>
    <mergeCell ref="A4:A6"/>
    <mergeCell ref="B18:C18"/>
    <mergeCell ref="A16:A18"/>
  </mergeCells>
  <phoneticPr fontId="0" type="noConversion"/>
  <printOptions horizontalCentered="1"/>
  <pageMargins left="0.59055118110236227" right="0.59055118110236227" top="0.62992125984251968" bottom="0.43307086614173229" header="0.19685039370078741" footer="0.19685039370078741"/>
  <pageSetup paperSize="9" scale="65" firstPageNumber="41" fitToHeight="0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N9" sqref="N9"/>
    </sheetView>
  </sheetViews>
  <sheetFormatPr defaultRowHeight="12.75" x14ac:dyDescent="0.2"/>
  <cols>
    <col min="1" max="1" width="3.5703125" style="138" bestFit="1" customWidth="1"/>
    <col min="2" max="2" width="2.85546875" style="138" customWidth="1"/>
    <col min="3" max="3" width="54.28515625" style="138" customWidth="1"/>
    <col min="4" max="4" width="6.28515625" style="138" bestFit="1" customWidth="1"/>
    <col min="5" max="5" width="12.7109375" style="138" bestFit="1" customWidth="1"/>
    <col min="6" max="8" width="12.7109375" style="138" customWidth="1"/>
    <col min="9" max="12" width="10.5703125" style="138" customWidth="1"/>
    <col min="13" max="16" width="7.7109375" style="144" customWidth="1"/>
    <col min="17" max="17" width="11.140625" style="144" bestFit="1" customWidth="1"/>
    <col min="18" max="19" width="12.7109375" style="144" bestFit="1" customWidth="1"/>
    <col min="20" max="16384" width="9.140625" style="138"/>
  </cols>
  <sheetData>
    <row r="1" spans="1:19" x14ac:dyDescent="0.2">
      <c r="A1" s="503" t="s">
        <v>441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</row>
    <row r="2" spans="1:19" ht="21" customHeight="1" x14ac:dyDescent="0.2">
      <c r="A2" s="583" t="s">
        <v>81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</row>
    <row r="3" spans="1:19" ht="28.5" customHeight="1" x14ac:dyDescent="0.2">
      <c r="A3" s="542" t="s">
        <v>37</v>
      </c>
      <c r="B3" s="543"/>
      <c r="C3" s="544"/>
      <c r="D3" s="548" t="s">
        <v>255</v>
      </c>
      <c r="E3" s="537" t="s">
        <v>418</v>
      </c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9"/>
    </row>
    <row r="4" spans="1:19" ht="28.5" customHeight="1" x14ac:dyDescent="0.2">
      <c r="A4" s="545"/>
      <c r="B4" s="546"/>
      <c r="C4" s="547"/>
      <c r="D4" s="549"/>
      <c r="E4" s="537" t="s">
        <v>419</v>
      </c>
      <c r="F4" s="538"/>
      <c r="G4" s="538"/>
      <c r="H4" s="539"/>
      <c r="I4" s="537" t="s">
        <v>420</v>
      </c>
      <c r="J4" s="538"/>
      <c r="K4" s="538"/>
      <c r="L4" s="539"/>
      <c r="M4" s="537" t="s">
        <v>446</v>
      </c>
      <c r="N4" s="538"/>
      <c r="O4" s="538"/>
      <c r="P4" s="539"/>
      <c r="Q4" s="588" t="s">
        <v>363</v>
      </c>
    </row>
    <row r="5" spans="1:19" ht="22.5" x14ac:dyDescent="0.2">
      <c r="A5" s="584"/>
      <c r="B5" s="585"/>
      <c r="C5" s="586"/>
      <c r="D5" s="587"/>
      <c r="E5" s="154" t="s">
        <v>445</v>
      </c>
      <c r="F5" s="154" t="s">
        <v>361</v>
      </c>
      <c r="G5" s="154" t="s">
        <v>406</v>
      </c>
      <c r="H5" s="154" t="s">
        <v>443</v>
      </c>
      <c r="I5" s="154" t="s">
        <v>445</v>
      </c>
      <c r="J5" s="154" t="s">
        <v>361</v>
      </c>
      <c r="K5" s="154" t="s">
        <v>406</v>
      </c>
      <c r="L5" s="154" t="s">
        <v>443</v>
      </c>
      <c r="M5" s="204" t="s">
        <v>445</v>
      </c>
      <c r="N5" s="204" t="s">
        <v>361</v>
      </c>
      <c r="O5" s="205" t="s">
        <v>406</v>
      </c>
      <c r="P5" s="205" t="s">
        <v>443</v>
      </c>
      <c r="Q5" s="589"/>
      <c r="R5" s="396"/>
    </row>
    <row r="6" spans="1:19" ht="16.5" customHeight="1" x14ac:dyDescent="0.2">
      <c r="A6" s="579" t="s">
        <v>38</v>
      </c>
      <c r="B6" s="112"/>
      <c r="C6" s="113" t="s">
        <v>222</v>
      </c>
      <c r="D6" s="113" t="s">
        <v>287</v>
      </c>
      <c r="E6" s="114">
        <f>'2. Kiadások'!E4</f>
        <v>23469846</v>
      </c>
      <c r="F6" s="114">
        <v>559346</v>
      </c>
      <c r="G6" s="114">
        <v>44100</v>
      </c>
      <c r="H6" s="193">
        <f>Q6-E6-F6-G6</f>
        <v>-3784713</v>
      </c>
      <c r="I6" s="139">
        <v>0</v>
      </c>
      <c r="J6" s="139">
        <v>0</v>
      </c>
      <c r="K6" s="139">
        <v>0</v>
      </c>
      <c r="L6" s="401">
        <v>0</v>
      </c>
      <c r="M6" s="206">
        <v>0</v>
      </c>
      <c r="N6" s="206">
        <v>0</v>
      </c>
      <c r="O6" s="206">
        <v>0</v>
      </c>
      <c r="P6" s="193">
        <v>0</v>
      </c>
      <c r="Q6" s="193">
        <v>20288579</v>
      </c>
      <c r="R6" s="396"/>
      <c r="S6" s="396"/>
    </row>
    <row r="7" spans="1:19" ht="16.5" customHeight="1" x14ac:dyDescent="0.2">
      <c r="A7" s="579"/>
      <c r="B7" s="112"/>
      <c r="C7" s="113" t="s">
        <v>223</v>
      </c>
      <c r="D7" s="113" t="s">
        <v>288</v>
      </c>
      <c r="E7" s="114">
        <f>'2. Kiadások'!E5</f>
        <v>12254800</v>
      </c>
      <c r="F7" s="114">
        <v>0</v>
      </c>
      <c r="G7" s="114">
        <v>0</v>
      </c>
      <c r="H7" s="193">
        <f>Q7-(E7+F7)</f>
        <v>-3357935</v>
      </c>
      <c r="I7" s="139">
        <v>0</v>
      </c>
      <c r="J7" s="139">
        <v>0</v>
      </c>
      <c r="K7" s="139">
        <v>0</v>
      </c>
      <c r="L7" s="401">
        <v>0</v>
      </c>
      <c r="M7" s="206">
        <v>0</v>
      </c>
      <c r="N7" s="206">
        <v>0</v>
      </c>
      <c r="O7" s="206">
        <v>0</v>
      </c>
      <c r="P7" s="193">
        <v>0</v>
      </c>
      <c r="Q7" s="193">
        <v>8896865</v>
      </c>
      <c r="R7" s="396"/>
      <c r="S7" s="396"/>
    </row>
    <row r="8" spans="1:19" s="148" customFormat="1" ht="21.75" customHeight="1" x14ac:dyDescent="0.2">
      <c r="A8" s="579"/>
      <c r="B8" s="551" t="s">
        <v>221</v>
      </c>
      <c r="C8" s="551"/>
      <c r="D8" s="142" t="s">
        <v>289</v>
      </c>
      <c r="E8" s="130">
        <f>SUM(E6:E7)</f>
        <v>35724646</v>
      </c>
      <c r="F8" s="130">
        <f>SUM(F6:F7)</f>
        <v>559346</v>
      </c>
      <c r="G8" s="130">
        <f>SUM(G6:G7)</f>
        <v>44100</v>
      </c>
      <c r="H8" s="130">
        <f>SUM(H6:H7)</f>
        <v>-7142648</v>
      </c>
      <c r="I8" s="130">
        <f t="shared" ref="I8:Q8" si="0">SUM(I6:I7)</f>
        <v>0</v>
      </c>
      <c r="J8" s="130">
        <f t="shared" si="0"/>
        <v>0</v>
      </c>
      <c r="K8" s="130">
        <f t="shared" si="0"/>
        <v>0</v>
      </c>
      <c r="L8" s="353">
        <f t="shared" si="0"/>
        <v>0</v>
      </c>
      <c r="M8" s="130">
        <f t="shared" si="0"/>
        <v>0</v>
      </c>
      <c r="N8" s="130">
        <f t="shared" si="0"/>
        <v>0</v>
      </c>
      <c r="O8" s="130">
        <f t="shared" si="0"/>
        <v>0</v>
      </c>
      <c r="P8" s="130">
        <f t="shared" si="0"/>
        <v>0</v>
      </c>
      <c r="Q8" s="130">
        <f t="shared" si="0"/>
        <v>29185444</v>
      </c>
      <c r="R8" s="402"/>
      <c r="S8" s="402"/>
    </row>
    <row r="9" spans="1:19" s="148" customFormat="1" ht="22.5" customHeight="1" x14ac:dyDescent="0.2">
      <c r="A9" s="149" t="s">
        <v>39</v>
      </c>
      <c r="B9" s="551" t="s">
        <v>224</v>
      </c>
      <c r="C9" s="551"/>
      <c r="D9" s="142" t="s">
        <v>290</v>
      </c>
      <c r="E9" s="130">
        <f>'2. Kiadások'!E7</f>
        <v>6251813</v>
      </c>
      <c r="F9" s="130">
        <v>28154</v>
      </c>
      <c r="G9" s="130">
        <v>0</v>
      </c>
      <c r="H9" s="353">
        <f>Q9-E9-F9-G9</f>
        <v>-2145843</v>
      </c>
      <c r="I9" s="130">
        <v>0</v>
      </c>
      <c r="J9" s="130">
        <v>0</v>
      </c>
      <c r="K9" s="130">
        <v>0</v>
      </c>
      <c r="L9" s="353">
        <v>0</v>
      </c>
      <c r="M9" s="203">
        <v>0</v>
      </c>
      <c r="N9" s="203">
        <v>0</v>
      </c>
      <c r="O9" s="203">
        <v>0</v>
      </c>
      <c r="P9" s="130">
        <v>0</v>
      </c>
      <c r="Q9" s="130">
        <v>4134124</v>
      </c>
      <c r="R9" s="402"/>
      <c r="S9" s="402"/>
    </row>
    <row r="10" spans="1:19" ht="13.5" customHeight="1" x14ac:dyDescent="0.2">
      <c r="A10" s="579" t="s">
        <v>40</v>
      </c>
      <c r="B10" s="112"/>
      <c r="C10" s="113" t="s">
        <v>225</v>
      </c>
      <c r="D10" s="113" t="s">
        <v>291</v>
      </c>
      <c r="E10" s="114">
        <f>'2. Kiadások'!E8</f>
        <v>6035050</v>
      </c>
      <c r="F10" s="114">
        <v>0</v>
      </c>
      <c r="G10" s="114">
        <v>213665</v>
      </c>
      <c r="H10" s="357">
        <f>Q10-E10-F10-G10</f>
        <v>-464667</v>
      </c>
      <c r="I10" s="139">
        <v>0</v>
      </c>
      <c r="J10" s="139">
        <v>0</v>
      </c>
      <c r="K10" s="139">
        <v>0</v>
      </c>
      <c r="L10" s="401">
        <v>0</v>
      </c>
      <c r="M10" s="206">
        <v>0</v>
      </c>
      <c r="N10" s="206">
        <v>0</v>
      </c>
      <c r="O10" s="206">
        <v>0</v>
      </c>
      <c r="P10" s="193">
        <v>0</v>
      </c>
      <c r="Q10" s="193">
        <v>5784048</v>
      </c>
      <c r="R10" s="396"/>
      <c r="S10" s="396"/>
    </row>
    <row r="11" spans="1:19" ht="13.5" customHeight="1" x14ac:dyDescent="0.2">
      <c r="A11" s="579"/>
      <c r="B11" s="112"/>
      <c r="C11" s="113" t="s">
        <v>226</v>
      </c>
      <c r="D11" s="113" t="s">
        <v>292</v>
      </c>
      <c r="E11" s="114">
        <f>'2. Kiadások'!E9</f>
        <v>1484372</v>
      </c>
      <c r="F11" s="114">
        <v>88500</v>
      </c>
      <c r="G11" s="114">
        <v>49584</v>
      </c>
      <c r="H11" s="357">
        <f t="shared" ref="H11:H15" si="1">Q11-E11-F11-G11</f>
        <v>-29516</v>
      </c>
      <c r="I11" s="139">
        <v>0</v>
      </c>
      <c r="J11" s="139">
        <v>0</v>
      </c>
      <c r="K11" s="139">
        <v>0</v>
      </c>
      <c r="L11" s="401">
        <v>0</v>
      </c>
      <c r="M11" s="206">
        <v>0</v>
      </c>
      <c r="N11" s="206">
        <v>0</v>
      </c>
      <c r="O11" s="206">
        <v>0</v>
      </c>
      <c r="P11" s="193">
        <v>0</v>
      </c>
      <c r="Q11" s="193">
        <v>1592940</v>
      </c>
      <c r="R11" s="396"/>
      <c r="S11" s="396"/>
    </row>
    <row r="12" spans="1:19" ht="13.5" customHeight="1" x14ac:dyDescent="0.2">
      <c r="A12" s="579"/>
      <c r="B12" s="112"/>
      <c r="C12" s="113" t="s">
        <v>227</v>
      </c>
      <c r="D12" s="113" t="s">
        <v>293</v>
      </c>
      <c r="E12" s="114">
        <f>'2. Kiadások'!E10-1450000</f>
        <v>34441502</v>
      </c>
      <c r="F12" s="114">
        <v>0</v>
      </c>
      <c r="G12" s="114">
        <v>-2773435</v>
      </c>
      <c r="H12" s="357">
        <f t="shared" si="1"/>
        <v>220338</v>
      </c>
      <c r="I12" s="139">
        <v>0</v>
      </c>
      <c r="J12" s="139">
        <v>0</v>
      </c>
      <c r="K12" s="139">
        <v>0</v>
      </c>
      <c r="L12" s="401">
        <v>0</v>
      </c>
      <c r="M12" s="206">
        <v>0</v>
      </c>
      <c r="N12" s="206">
        <v>0</v>
      </c>
      <c r="O12" s="206">
        <v>0</v>
      </c>
      <c r="P12" s="193">
        <v>0</v>
      </c>
      <c r="Q12" s="193">
        <v>31888405</v>
      </c>
      <c r="R12" s="396"/>
      <c r="S12" s="396"/>
    </row>
    <row r="13" spans="1:19" ht="13.5" customHeight="1" x14ac:dyDescent="0.2">
      <c r="A13" s="579"/>
      <c r="B13" s="112"/>
      <c r="C13" s="113" t="s">
        <v>294</v>
      </c>
      <c r="D13" s="113" t="s">
        <v>295</v>
      </c>
      <c r="E13" s="114">
        <v>0</v>
      </c>
      <c r="F13" s="114">
        <v>0</v>
      </c>
      <c r="G13" s="114">
        <v>0</v>
      </c>
      <c r="H13" s="357">
        <v>0</v>
      </c>
      <c r="I13" s="114">
        <v>1450000</v>
      </c>
      <c r="J13" s="114">
        <v>0</v>
      </c>
      <c r="K13" s="114">
        <v>4000</v>
      </c>
      <c r="L13" s="193">
        <f>Q13-I13-J13-K13</f>
        <v>67686</v>
      </c>
      <c r="M13" s="206">
        <v>0</v>
      </c>
      <c r="N13" s="206">
        <v>0</v>
      </c>
      <c r="O13" s="206">
        <v>0</v>
      </c>
      <c r="P13" s="193">
        <v>0</v>
      </c>
      <c r="Q13" s="193">
        <v>1521686</v>
      </c>
      <c r="R13" s="396"/>
      <c r="S13" s="396"/>
    </row>
    <row r="14" spans="1:19" ht="13.5" customHeight="1" x14ac:dyDescent="0.2">
      <c r="A14" s="579"/>
      <c r="B14" s="112"/>
      <c r="C14" s="113" t="s">
        <v>228</v>
      </c>
      <c r="D14" s="113" t="s">
        <v>296</v>
      </c>
      <c r="E14" s="114">
        <f>'2. Kiadások'!E11</f>
        <v>120000</v>
      </c>
      <c r="F14" s="114">
        <v>0</v>
      </c>
      <c r="G14" s="114">
        <v>0</v>
      </c>
      <c r="H14" s="357">
        <f t="shared" si="1"/>
        <v>-120000</v>
      </c>
      <c r="I14" s="139">
        <v>0</v>
      </c>
      <c r="J14" s="139">
        <v>0</v>
      </c>
      <c r="K14" s="139">
        <v>0</v>
      </c>
      <c r="L14" s="401">
        <v>0</v>
      </c>
      <c r="M14" s="206">
        <v>0</v>
      </c>
      <c r="N14" s="206">
        <v>0</v>
      </c>
      <c r="O14" s="206">
        <v>0</v>
      </c>
      <c r="P14" s="193">
        <v>0</v>
      </c>
      <c r="Q14" s="193">
        <v>0</v>
      </c>
      <c r="R14" s="396"/>
      <c r="S14" s="396"/>
    </row>
    <row r="15" spans="1:19" ht="13.5" customHeight="1" x14ac:dyDescent="0.2">
      <c r="A15" s="579"/>
      <c r="B15" s="112"/>
      <c r="C15" s="113" t="s">
        <v>229</v>
      </c>
      <c r="D15" s="113" t="s">
        <v>297</v>
      </c>
      <c r="E15" s="114">
        <f>'2. Kiadások'!E12</f>
        <v>14216777</v>
      </c>
      <c r="F15" s="114">
        <v>0</v>
      </c>
      <c r="G15" s="114">
        <v>292950</v>
      </c>
      <c r="H15" s="357">
        <f t="shared" si="1"/>
        <v>-4253790</v>
      </c>
      <c r="I15" s="139">
        <v>0</v>
      </c>
      <c r="J15" s="139">
        <v>0</v>
      </c>
      <c r="K15" s="139">
        <v>0</v>
      </c>
      <c r="L15" s="401">
        <v>0</v>
      </c>
      <c r="M15" s="206">
        <v>0</v>
      </c>
      <c r="N15" s="206">
        <v>0</v>
      </c>
      <c r="O15" s="206">
        <v>0</v>
      </c>
      <c r="P15" s="193">
        <v>0</v>
      </c>
      <c r="Q15" s="193">
        <v>10255937</v>
      </c>
      <c r="R15" s="396"/>
      <c r="S15" s="396"/>
    </row>
    <row r="16" spans="1:19" s="148" customFormat="1" ht="19.5" customHeight="1" x14ac:dyDescent="0.2">
      <c r="A16" s="579"/>
      <c r="B16" s="551" t="s">
        <v>230</v>
      </c>
      <c r="C16" s="551"/>
      <c r="D16" s="142" t="s">
        <v>298</v>
      </c>
      <c r="E16" s="130">
        <f t="shared" ref="E16:Q16" si="2">SUM(E10:E15)</f>
        <v>56297701</v>
      </c>
      <c r="F16" s="130">
        <f t="shared" si="2"/>
        <v>88500</v>
      </c>
      <c r="G16" s="130">
        <f t="shared" si="2"/>
        <v>-2217236</v>
      </c>
      <c r="H16" s="130">
        <f t="shared" si="2"/>
        <v>-4647635</v>
      </c>
      <c r="I16" s="130">
        <f t="shared" si="2"/>
        <v>1450000</v>
      </c>
      <c r="J16" s="130">
        <f t="shared" si="2"/>
        <v>0</v>
      </c>
      <c r="K16" s="130">
        <f t="shared" si="2"/>
        <v>4000</v>
      </c>
      <c r="L16" s="353">
        <f t="shared" si="2"/>
        <v>67686</v>
      </c>
      <c r="M16" s="130">
        <f t="shared" si="2"/>
        <v>0</v>
      </c>
      <c r="N16" s="130">
        <f t="shared" si="2"/>
        <v>0</v>
      </c>
      <c r="O16" s="130">
        <f t="shared" si="2"/>
        <v>0</v>
      </c>
      <c r="P16" s="130">
        <f t="shared" si="2"/>
        <v>0</v>
      </c>
      <c r="Q16" s="130">
        <f t="shared" si="2"/>
        <v>51043016</v>
      </c>
      <c r="R16" s="402"/>
      <c r="S16" s="402"/>
    </row>
    <row r="17" spans="1:20" s="148" customFormat="1" ht="25.5" customHeight="1" x14ac:dyDescent="0.2">
      <c r="A17" s="149" t="s">
        <v>41</v>
      </c>
      <c r="B17" s="551" t="s">
        <v>84</v>
      </c>
      <c r="C17" s="551"/>
      <c r="D17" s="142" t="s">
        <v>299</v>
      </c>
      <c r="E17" s="130">
        <f>'2. Kiadások'!E14</f>
        <v>7060000</v>
      </c>
      <c r="F17" s="130">
        <v>0</v>
      </c>
      <c r="G17" s="130">
        <v>0</v>
      </c>
      <c r="H17" s="353">
        <f>Q17-E17-F17-G17</f>
        <v>-1461673</v>
      </c>
      <c r="I17" s="145">
        <v>0</v>
      </c>
      <c r="J17" s="145">
        <v>0</v>
      </c>
      <c r="K17" s="145">
        <v>0</v>
      </c>
      <c r="L17" s="457">
        <v>0</v>
      </c>
      <c r="M17" s="203">
        <v>0</v>
      </c>
      <c r="N17" s="203">
        <v>0</v>
      </c>
      <c r="O17" s="203">
        <v>0</v>
      </c>
      <c r="P17" s="130">
        <v>0</v>
      </c>
      <c r="Q17" s="130">
        <v>5598327</v>
      </c>
      <c r="R17" s="402"/>
      <c r="S17" s="402"/>
    </row>
    <row r="18" spans="1:20" s="148" customFormat="1" ht="25.5" customHeight="1" x14ac:dyDescent="0.2">
      <c r="A18" s="149" t="s">
        <v>42</v>
      </c>
      <c r="B18" s="551" t="s">
        <v>231</v>
      </c>
      <c r="C18" s="551"/>
      <c r="D18" s="142" t="s">
        <v>300</v>
      </c>
      <c r="E18" s="130">
        <f>'2. Kiadások'!E15</f>
        <v>0</v>
      </c>
      <c r="F18" s="130">
        <v>1385228</v>
      </c>
      <c r="G18" s="130">
        <v>0</v>
      </c>
      <c r="H18" s="353">
        <f>Q18-E18-F18-G18</f>
        <v>0</v>
      </c>
      <c r="I18" s="145">
        <v>0</v>
      </c>
      <c r="J18" s="145">
        <v>0</v>
      </c>
      <c r="K18" s="145">
        <v>0</v>
      </c>
      <c r="L18" s="457">
        <v>0</v>
      </c>
      <c r="M18" s="203">
        <v>0</v>
      </c>
      <c r="N18" s="203">
        <v>0</v>
      </c>
      <c r="O18" s="203">
        <v>0</v>
      </c>
      <c r="P18" s="130">
        <v>0</v>
      </c>
      <c r="Q18" s="130">
        <v>1385228</v>
      </c>
      <c r="R18" s="402"/>
      <c r="S18" s="402"/>
    </row>
    <row r="19" spans="1:20" x14ac:dyDescent="0.2">
      <c r="A19" s="580" t="s">
        <v>47</v>
      </c>
      <c r="B19" s="112"/>
      <c r="C19" s="113" t="s">
        <v>232</v>
      </c>
      <c r="D19" s="113" t="s">
        <v>301</v>
      </c>
      <c r="E19" s="114">
        <f>'2. Kiadások'!E16</f>
        <v>8549064</v>
      </c>
      <c r="F19" s="114">
        <v>0</v>
      </c>
      <c r="G19" s="114">
        <v>0</v>
      </c>
      <c r="H19" s="357">
        <f>Q19-E19-F19-G19</f>
        <v>-1834542</v>
      </c>
      <c r="I19" s="401">
        <v>0</v>
      </c>
      <c r="J19" s="401">
        <v>0</v>
      </c>
      <c r="K19" s="401">
        <v>0</v>
      </c>
      <c r="L19" s="401">
        <v>0</v>
      </c>
      <c r="M19" s="458">
        <v>0</v>
      </c>
      <c r="N19" s="458">
        <v>0</v>
      </c>
      <c r="O19" s="458">
        <v>0</v>
      </c>
      <c r="P19" s="193">
        <v>0</v>
      </c>
      <c r="Q19" s="193">
        <v>6714522</v>
      </c>
      <c r="R19" s="396"/>
      <c r="S19" s="396"/>
    </row>
    <row r="20" spans="1:20" x14ac:dyDescent="0.2">
      <c r="A20" s="581"/>
      <c r="B20" s="112"/>
      <c r="C20" s="113" t="s">
        <v>233</v>
      </c>
      <c r="D20" s="113" t="s">
        <v>302</v>
      </c>
      <c r="E20" s="114">
        <v>0</v>
      </c>
      <c r="F20" s="114">
        <v>0</v>
      </c>
      <c r="G20" s="114">
        <v>0</v>
      </c>
      <c r="H20" s="357">
        <v>0</v>
      </c>
      <c r="I20" s="193">
        <f>'2. Kiadások'!E17</f>
        <v>2512000</v>
      </c>
      <c r="J20" s="193">
        <v>0</v>
      </c>
      <c r="K20" s="193">
        <v>0</v>
      </c>
      <c r="L20" s="193">
        <f>Q20-(I20+J20)</f>
        <v>-630000</v>
      </c>
      <c r="M20" s="458">
        <v>0</v>
      </c>
      <c r="N20" s="458">
        <v>0</v>
      </c>
      <c r="O20" s="458">
        <v>0</v>
      </c>
      <c r="P20" s="193">
        <v>0</v>
      </c>
      <c r="Q20" s="193">
        <v>1882000</v>
      </c>
      <c r="R20" s="396"/>
      <c r="S20" s="396"/>
    </row>
    <row r="21" spans="1:20" ht="25.5" customHeight="1" x14ac:dyDescent="0.2">
      <c r="A21" s="582"/>
      <c r="B21" s="551" t="s">
        <v>234</v>
      </c>
      <c r="C21" s="551"/>
      <c r="D21" s="142" t="s">
        <v>358</v>
      </c>
      <c r="E21" s="130">
        <f>SUM(E18:E20)</f>
        <v>8549064</v>
      </c>
      <c r="F21" s="130">
        <f t="shared" ref="F21:Q21" si="3">SUM(F18:F20)</f>
        <v>1385228</v>
      </c>
      <c r="G21" s="130">
        <f t="shared" si="3"/>
        <v>0</v>
      </c>
      <c r="H21" s="130">
        <f t="shared" si="3"/>
        <v>-1834542</v>
      </c>
      <c r="I21" s="130">
        <f t="shared" si="3"/>
        <v>2512000</v>
      </c>
      <c r="J21" s="130">
        <f t="shared" si="3"/>
        <v>0</v>
      </c>
      <c r="K21" s="130">
        <f t="shared" si="3"/>
        <v>0</v>
      </c>
      <c r="L21" s="353">
        <f t="shared" si="3"/>
        <v>-630000</v>
      </c>
      <c r="M21" s="130">
        <f t="shared" si="3"/>
        <v>0</v>
      </c>
      <c r="N21" s="130">
        <f t="shared" si="3"/>
        <v>0</v>
      </c>
      <c r="O21" s="130">
        <f t="shared" si="3"/>
        <v>0</v>
      </c>
      <c r="P21" s="130">
        <f t="shared" si="3"/>
        <v>0</v>
      </c>
      <c r="Q21" s="130">
        <f t="shared" si="3"/>
        <v>9981750</v>
      </c>
      <c r="R21" s="396"/>
      <c r="S21" s="396"/>
    </row>
    <row r="22" spans="1:20" s="150" customFormat="1" ht="25.5" customHeight="1" x14ac:dyDescent="0.2">
      <c r="A22" s="149" t="s">
        <v>49</v>
      </c>
      <c r="B22" s="572" t="s">
        <v>88</v>
      </c>
      <c r="C22" s="573"/>
      <c r="D22" s="136" t="s">
        <v>303</v>
      </c>
      <c r="E22" s="194">
        <f>'2. Kiadások'!E19</f>
        <v>7556025</v>
      </c>
      <c r="F22" s="202">
        <v>-5645192</v>
      </c>
      <c r="G22" s="202">
        <v>5895342</v>
      </c>
      <c r="H22" s="459">
        <f>Q22-E22-F22-G22</f>
        <v>57422586</v>
      </c>
      <c r="I22" s="146">
        <v>0</v>
      </c>
      <c r="J22" s="146">
        <v>0</v>
      </c>
      <c r="K22" s="146">
        <v>0</v>
      </c>
      <c r="L22" s="460">
        <v>0</v>
      </c>
      <c r="M22" s="207">
        <v>0</v>
      </c>
      <c r="N22" s="194">
        <v>0</v>
      </c>
      <c r="O22" s="194">
        <v>0</v>
      </c>
      <c r="P22" s="194">
        <v>0</v>
      </c>
      <c r="Q22" s="194">
        <v>65228761</v>
      </c>
      <c r="R22" s="403"/>
      <c r="S22" s="403"/>
    </row>
    <row r="23" spans="1:20" s="124" customFormat="1" ht="19.5" customHeight="1" x14ac:dyDescent="0.2">
      <c r="A23" s="151" t="s">
        <v>50</v>
      </c>
      <c r="B23" s="551" t="s">
        <v>235</v>
      </c>
      <c r="C23" s="551"/>
      <c r="D23" s="142" t="s">
        <v>304</v>
      </c>
      <c r="E23" s="130">
        <f>'2. Kiadások'!E20</f>
        <v>18796000</v>
      </c>
      <c r="F23" s="395">
        <v>0</v>
      </c>
      <c r="G23" s="395">
        <v>18548398</v>
      </c>
      <c r="H23" s="459">
        <f>Q23-E23-F23-G23</f>
        <v>-11955956</v>
      </c>
      <c r="I23" s="145">
        <v>0</v>
      </c>
      <c r="J23" s="145">
        <v>0</v>
      </c>
      <c r="K23" s="145">
        <v>0</v>
      </c>
      <c r="L23" s="457">
        <v>0</v>
      </c>
      <c r="M23" s="203">
        <v>0</v>
      </c>
      <c r="N23" s="203">
        <v>0</v>
      </c>
      <c r="O23" s="203">
        <v>0</v>
      </c>
      <c r="P23" s="130">
        <v>0</v>
      </c>
      <c r="Q23" s="130">
        <v>25388442</v>
      </c>
      <c r="R23" s="404"/>
      <c r="S23" s="404"/>
    </row>
    <row r="24" spans="1:20" s="124" customFormat="1" ht="18.75" customHeight="1" x14ac:dyDescent="0.2">
      <c r="A24" s="151" t="s">
        <v>51</v>
      </c>
      <c r="B24" s="551" t="s">
        <v>131</v>
      </c>
      <c r="C24" s="551"/>
      <c r="D24" s="142" t="s">
        <v>305</v>
      </c>
      <c r="E24" s="130">
        <f>'2. Kiadások'!E21</f>
        <v>36154334</v>
      </c>
      <c r="F24" s="395">
        <v>0</v>
      </c>
      <c r="G24" s="395">
        <v>14875018</v>
      </c>
      <c r="H24" s="459">
        <f>Q24-E24-F24-G24</f>
        <v>-22587455</v>
      </c>
      <c r="I24" s="145">
        <v>0</v>
      </c>
      <c r="J24" s="145">
        <v>0</v>
      </c>
      <c r="K24" s="145">
        <v>0</v>
      </c>
      <c r="L24" s="457">
        <v>0</v>
      </c>
      <c r="M24" s="203">
        <v>0</v>
      </c>
      <c r="N24" s="203">
        <v>0</v>
      </c>
      <c r="O24" s="203">
        <v>0</v>
      </c>
      <c r="P24" s="130">
        <v>0</v>
      </c>
      <c r="Q24" s="130">
        <v>28441897</v>
      </c>
      <c r="R24" s="404"/>
      <c r="S24" s="404"/>
    </row>
    <row r="25" spans="1:20" ht="25.5" x14ac:dyDescent="0.2">
      <c r="A25" s="580" t="s">
        <v>52</v>
      </c>
      <c r="B25" s="112"/>
      <c r="C25" s="113" t="s">
        <v>236</v>
      </c>
      <c r="D25" s="113" t="s">
        <v>62</v>
      </c>
      <c r="E25" s="349">
        <v>0</v>
      </c>
      <c r="F25" s="349">
        <v>359150</v>
      </c>
      <c r="G25" s="349">
        <v>0</v>
      </c>
      <c r="H25" s="357">
        <f>Q25-E25-F25-G25</f>
        <v>0</v>
      </c>
      <c r="I25" s="375">
        <v>0</v>
      </c>
      <c r="J25" s="375">
        <v>0</v>
      </c>
      <c r="K25" s="375">
        <v>0</v>
      </c>
      <c r="L25" s="385">
        <v>0</v>
      </c>
      <c r="M25" s="461">
        <v>0</v>
      </c>
      <c r="N25" s="461">
        <v>0</v>
      </c>
      <c r="O25" s="461">
        <v>0</v>
      </c>
      <c r="P25" s="357">
        <v>0</v>
      </c>
      <c r="Q25" s="357">
        <v>359150</v>
      </c>
      <c r="R25" s="396"/>
      <c r="S25" s="396"/>
    </row>
    <row r="26" spans="1:20" ht="25.5" x14ac:dyDescent="0.2">
      <c r="A26" s="581"/>
      <c r="B26" s="112"/>
      <c r="C26" s="113" t="s">
        <v>237</v>
      </c>
      <c r="D26" s="113" t="s">
        <v>63</v>
      </c>
      <c r="E26" s="375">
        <v>0</v>
      </c>
      <c r="F26" s="375">
        <v>0</v>
      </c>
      <c r="G26" s="375">
        <v>0</v>
      </c>
      <c r="H26" s="357">
        <f>Q26-E26-F26-G26</f>
        <v>0</v>
      </c>
      <c r="I26" s="349">
        <f>'2. Kiadások'!E23</f>
        <v>0</v>
      </c>
      <c r="J26" s="349">
        <v>0</v>
      </c>
      <c r="K26" s="349">
        <v>0</v>
      </c>
      <c r="L26" s="357">
        <v>0</v>
      </c>
      <c r="M26" s="461">
        <v>0</v>
      </c>
      <c r="N26" s="461">
        <v>0</v>
      </c>
      <c r="O26" s="461">
        <v>0</v>
      </c>
      <c r="P26" s="357">
        <v>0</v>
      </c>
      <c r="Q26" s="357">
        <v>0</v>
      </c>
      <c r="R26" s="396"/>
      <c r="S26" s="396"/>
    </row>
    <row r="27" spans="1:20" x14ac:dyDescent="0.2">
      <c r="A27" s="581"/>
      <c r="B27" s="112"/>
      <c r="C27" s="113" t="s">
        <v>238</v>
      </c>
      <c r="D27" s="113" t="s">
        <v>330</v>
      </c>
      <c r="E27" s="114">
        <v>0</v>
      </c>
      <c r="F27" s="114">
        <v>0</v>
      </c>
      <c r="G27" s="114">
        <v>0</v>
      </c>
      <c r="H27" s="193">
        <v>0</v>
      </c>
      <c r="I27" s="114">
        <f>'2. Kiadások'!E24</f>
        <v>978000</v>
      </c>
      <c r="J27" s="114">
        <v>0</v>
      </c>
      <c r="K27" s="114">
        <v>0</v>
      </c>
      <c r="L27" s="193">
        <f>Q27-(I27+J27)</f>
        <v>-24364</v>
      </c>
      <c r="M27" s="206">
        <v>0</v>
      </c>
      <c r="N27" s="206">
        <v>0</v>
      </c>
      <c r="O27" s="206">
        <v>0</v>
      </c>
      <c r="P27" s="193">
        <v>0</v>
      </c>
      <c r="Q27" s="193">
        <v>953636</v>
      </c>
      <c r="R27" s="396"/>
      <c r="S27" s="396"/>
    </row>
    <row r="28" spans="1:20" s="148" customFormat="1" ht="25.5" customHeight="1" x14ac:dyDescent="0.2">
      <c r="A28" s="582"/>
      <c r="B28" s="551" t="s">
        <v>239</v>
      </c>
      <c r="C28" s="551"/>
      <c r="D28" s="142" t="s">
        <v>306</v>
      </c>
      <c r="E28" s="130">
        <f>SUM(E25:E27)</f>
        <v>0</v>
      </c>
      <c r="F28" s="130">
        <f>SUM(F25:F27)</f>
        <v>359150</v>
      </c>
      <c r="G28" s="130">
        <f>SUM(G25:G27)</f>
        <v>0</v>
      </c>
      <c r="H28" s="130">
        <f>SUM(H25:H27)</f>
        <v>0</v>
      </c>
      <c r="I28" s="130">
        <f t="shared" ref="I28:Q28" si="4">SUM(I25:I27)</f>
        <v>978000</v>
      </c>
      <c r="J28" s="130">
        <f t="shared" si="4"/>
        <v>0</v>
      </c>
      <c r="K28" s="130">
        <f t="shared" si="4"/>
        <v>0</v>
      </c>
      <c r="L28" s="353">
        <f t="shared" si="4"/>
        <v>-24364</v>
      </c>
      <c r="M28" s="130">
        <f t="shared" si="4"/>
        <v>0</v>
      </c>
      <c r="N28" s="130">
        <f t="shared" si="4"/>
        <v>0</v>
      </c>
      <c r="O28" s="130">
        <f t="shared" si="4"/>
        <v>0</v>
      </c>
      <c r="P28" s="130">
        <f t="shared" si="4"/>
        <v>0</v>
      </c>
      <c r="Q28" s="130">
        <f t="shared" si="4"/>
        <v>1312786</v>
      </c>
      <c r="R28" s="402"/>
      <c r="S28" s="402"/>
    </row>
    <row r="29" spans="1:20" s="148" customFormat="1" ht="25.5" customHeight="1" x14ac:dyDescent="0.2">
      <c r="A29" s="558" t="s">
        <v>240</v>
      </c>
      <c r="B29" s="558"/>
      <c r="C29" s="558"/>
      <c r="D29" s="143" t="s">
        <v>307</v>
      </c>
      <c r="E29" s="131">
        <f>E8+E9+E16+E17+E21+E23+E24+E28+E22</f>
        <v>176389583</v>
      </c>
      <c r="F29" s="131">
        <f t="shared" ref="F29:Q29" si="5">F8+F9+F16+F17+F21+F23+F24+F28+F22</f>
        <v>-3224814</v>
      </c>
      <c r="G29" s="131">
        <f t="shared" si="5"/>
        <v>37145622</v>
      </c>
      <c r="H29" s="131">
        <f t="shared" si="5"/>
        <v>5646834</v>
      </c>
      <c r="I29" s="131">
        <f t="shared" si="5"/>
        <v>4940000</v>
      </c>
      <c r="J29" s="131">
        <f t="shared" si="5"/>
        <v>0</v>
      </c>
      <c r="K29" s="131">
        <f t="shared" si="5"/>
        <v>4000</v>
      </c>
      <c r="L29" s="354">
        <f t="shared" si="5"/>
        <v>-586678</v>
      </c>
      <c r="M29" s="131">
        <f t="shared" si="5"/>
        <v>0</v>
      </c>
      <c r="N29" s="131">
        <f t="shared" si="5"/>
        <v>0</v>
      </c>
      <c r="O29" s="131">
        <f t="shared" si="5"/>
        <v>0</v>
      </c>
      <c r="P29" s="131">
        <f t="shared" si="5"/>
        <v>0</v>
      </c>
      <c r="Q29" s="131">
        <f t="shared" si="5"/>
        <v>220314547</v>
      </c>
      <c r="R29" s="402"/>
      <c r="S29" s="402"/>
      <c r="T29" s="370"/>
    </row>
    <row r="30" spans="1:20" x14ac:dyDescent="0.2">
      <c r="A30" s="580" t="s">
        <v>24</v>
      </c>
      <c r="B30" s="112"/>
      <c r="C30" s="113" t="s">
        <v>243</v>
      </c>
      <c r="D30" s="113" t="s">
        <v>308</v>
      </c>
      <c r="E30" s="114">
        <f>'2. Kiadások'!E27</f>
        <v>1467523</v>
      </c>
      <c r="F30" s="114">
        <v>0</v>
      </c>
      <c r="G30" s="114">
        <v>11024</v>
      </c>
      <c r="H30" s="193">
        <f>Q30-E30-F30-G30</f>
        <v>0</v>
      </c>
      <c r="I30" s="139">
        <v>0</v>
      </c>
      <c r="J30" s="139">
        <v>0</v>
      </c>
      <c r="K30" s="139">
        <v>0</v>
      </c>
      <c r="L30" s="401">
        <v>0</v>
      </c>
      <c r="M30" s="206">
        <v>0</v>
      </c>
      <c r="N30" s="206">
        <v>0</v>
      </c>
      <c r="O30" s="206">
        <v>0</v>
      </c>
      <c r="P30" s="193">
        <v>0</v>
      </c>
      <c r="Q30" s="193">
        <v>1478547</v>
      </c>
      <c r="R30" s="396"/>
      <c r="S30" s="396"/>
    </row>
    <row r="31" spans="1:20" x14ac:dyDescent="0.2">
      <c r="A31" s="582"/>
      <c r="B31" s="112"/>
      <c r="C31" s="113" t="s">
        <v>244</v>
      </c>
      <c r="D31" s="113" t="s">
        <v>64</v>
      </c>
      <c r="E31" s="114">
        <f>'2. Kiadások'!E28</f>
        <v>0</v>
      </c>
      <c r="F31" s="114">
        <v>0</v>
      </c>
      <c r="G31" s="114">
        <v>0</v>
      </c>
      <c r="H31" s="193">
        <f>Q31-E31-F31-G31</f>
        <v>0</v>
      </c>
      <c r="I31" s="139">
        <v>0</v>
      </c>
      <c r="J31" s="139">
        <v>0</v>
      </c>
      <c r="K31" s="139">
        <v>0</v>
      </c>
      <c r="L31" s="401">
        <v>0</v>
      </c>
      <c r="M31" s="206">
        <v>0</v>
      </c>
      <c r="N31" s="206">
        <v>0</v>
      </c>
      <c r="O31" s="206">
        <v>0</v>
      </c>
      <c r="P31" s="193">
        <v>0</v>
      </c>
      <c r="Q31" s="193">
        <v>0</v>
      </c>
      <c r="R31" s="396"/>
      <c r="S31" s="396"/>
    </row>
    <row r="32" spans="1:20" s="148" customFormat="1" ht="22.5" customHeight="1" x14ac:dyDescent="0.2">
      <c r="A32" s="576" t="s">
        <v>241</v>
      </c>
      <c r="B32" s="577"/>
      <c r="C32" s="578"/>
      <c r="D32" s="147" t="s">
        <v>309</v>
      </c>
      <c r="E32" s="131">
        <f>SUM(E30:E31)</f>
        <v>1467523</v>
      </c>
      <c r="F32" s="131">
        <f>SUM(F30:F31)</f>
        <v>0</v>
      </c>
      <c r="G32" s="131">
        <f>SUM(G30:G31)</f>
        <v>11024</v>
      </c>
      <c r="H32" s="131">
        <f>SUM(H30:H31)</f>
        <v>0</v>
      </c>
      <c r="I32" s="131">
        <f t="shared" ref="I32:Q32" si="6">SUM(I30:I31)</f>
        <v>0</v>
      </c>
      <c r="J32" s="131">
        <f t="shared" si="6"/>
        <v>0</v>
      </c>
      <c r="K32" s="131">
        <f t="shared" si="6"/>
        <v>0</v>
      </c>
      <c r="L32" s="354">
        <f t="shared" si="6"/>
        <v>0</v>
      </c>
      <c r="M32" s="131">
        <f t="shared" si="6"/>
        <v>0</v>
      </c>
      <c r="N32" s="131">
        <f t="shared" si="6"/>
        <v>0</v>
      </c>
      <c r="O32" s="131">
        <f t="shared" si="6"/>
        <v>0</v>
      </c>
      <c r="P32" s="131">
        <f t="shared" si="6"/>
        <v>0</v>
      </c>
      <c r="Q32" s="131">
        <f t="shared" si="6"/>
        <v>1478547</v>
      </c>
      <c r="R32" s="402"/>
      <c r="S32" s="402"/>
    </row>
    <row r="33" spans="1:19" s="107" customFormat="1" ht="22.5" customHeight="1" x14ac:dyDescent="0.2">
      <c r="A33" s="565" t="s">
        <v>242</v>
      </c>
      <c r="B33" s="565"/>
      <c r="C33" s="565"/>
      <c r="D33" s="137"/>
      <c r="E33" s="121">
        <f>E29+E32</f>
        <v>177857106</v>
      </c>
      <c r="F33" s="121">
        <f>F29+F32</f>
        <v>-3224814</v>
      </c>
      <c r="G33" s="121">
        <f>G29+G32</f>
        <v>37156646</v>
      </c>
      <c r="H33" s="121">
        <f>H29+H32</f>
        <v>5646834</v>
      </c>
      <c r="I33" s="121">
        <f t="shared" ref="I33:Q33" si="7">I29+I32</f>
        <v>4940000</v>
      </c>
      <c r="J33" s="121">
        <f t="shared" si="7"/>
        <v>0</v>
      </c>
      <c r="K33" s="121">
        <f t="shared" si="7"/>
        <v>4000</v>
      </c>
      <c r="L33" s="462">
        <f t="shared" si="7"/>
        <v>-586678</v>
      </c>
      <c r="M33" s="121">
        <f t="shared" si="7"/>
        <v>0</v>
      </c>
      <c r="N33" s="121">
        <f t="shared" si="7"/>
        <v>0</v>
      </c>
      <c r="O33" s="121">
        <f t="shared" si="7"/>
        <v>0</v>
      </c>
      <c r="P33" s="121">
        <f t="shared" si="7"/>
        <v>0</v>
      </c>
      <c r="Q33" s="121">
        <f t="shared" si="7"/>
        <v>221793094</v>
      </c>
      <c r="R33" s="405"/>
      <c r="S33" s="405"/>
    </row>
    <row r="35" spans="1:19" x14ac:dyDescent="0.2">
      <c r="F35" s="386"/>
      <c r="G35" s="386"/>
      <c r="H35" s="386"/>
      <c r="I35" s="386"/>
      <c r="J35" s="386"/>
      <c r="K35" s="386"/>
      <c r="L35" s="386"/>
      <c r="M35" s="396"/>
      <c r="N35" s="396"/>
      <c r="O35" s="396"/>
      <c r="P35" s="396"/>
      <c r="Q35" s="396"/>
    </row>
  </sheetData>
  <mergeCells count="27">
    <mergeCell ref="B28:C28"/>
    <mergeCell ref="A1:Q1"/>
    <mergeCell ref="A2:Q2"/>
    <mergeCell ref="E3:Q3"/>
    <mergeCell ref="A3:C5"/>
    <mergeCell ref="D3:D5"/>
    <mergeCell ref="Q4:Q5"/>
    <mergeCell ref="E4:H4"/>
    <mergeCell ref="I4:L4"/>
    <mergeCell ref="M4:P4"/>
    <mergeCell ref="B23:C23"/>
    <mergeCell ref="A32:C32"/>
    <mergeCell ref="A33:C33"/>
    <mergeCell ref="A6:A8"/>
    <mergeCell ref="B8:C8"/>
    <mergeCell ref="B9:C9"/>
    <mergeCell ref="A10:A16"/>
    <mergeCell ref="B18:C18"/>
    <mergeCell ref="A19:A21"/>
    <mergeCell ref="B24:C24"/>
    <mergeCell ref="A25:A28"/>
    <mergeCell ref="B17:C17"/>
    <mergeCell ref="B21:C21"/>
    <mergeCell ref="B22:C22"/>
    <mergeCell ref="A29:C29"/>
    <mergeCell ref="A30:A31"/>
    <mergeCell ref="B16:C16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6" fitToHeight="0" orientation="landscape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selection activeCell="I45" sqref="I45"/>
    </sheetView>
  </sheetViews>
  <sheetFormatPr defaultRowHeight="12.75" x14ac:dyDescent="0.2"/>
  <cols>
    <col min="1" max="1" width="5.85546875" style="125" customWidth="1"/>
    <col min="2" max="2" width="47.28515625" style="126" customWidth="1"/>
    <col min="3" max="8" width="15.42578125" style="173" customWidth="1"/>
    <col min="9" max="9" width="47.28515625" style="125" customWidth="1"/>
    <col min="10" max="15" width="15.42578125" style="173" customWidth="1"/>
    <col min="16" max="16384" width="9.140625" style="125"/>
  </cols>
  <sheetData>
    <row r="1" spans="1:15" ht="39.75" customHeight="1" x14ac:dyDescent="0.2">
      <c r="A1" s="595" t="s">
        <v>78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</row>
    <row r="2" spans="1:15" ht="14.25" thickBot="1" x14ac:dyDescent="0.25">
      <c r="M2" s="63"/>
      <c r="N2" s="63"/>
      <c r="O2" s="63" t="s">
        <v>187</v>
      </c>
    </row>
    <row r="3" spans="1:15" ht="18" customHeight="1" thickBot="1" x14ac:dyDescent="0.25">
      <c r="A3" s="590" t="s">
        <v>79</v>
      </c>
      <c r="B3" s="592" t="s">
        <v>80</v>
      </c>
      <c r="C3" s="593"/>
      <c r="D3" s="593"/>
      <c r="E3" s="593"/>
      <c r="F3" s="593"/>
      <c r="G3" s="593"/>
      <c r="H3" s="594"/>
      <c r="I3" s="592" t="s">
        <v>81</v>
      </c>
      <c r="J3" s="593"/>
      <c r="K3" s="593"/>
      <c r="L3" s="593"/>
      <c r="M3" s="593"/>
      <c r="N3" s="593"/>
      <c r="O3" s="594"/>
    </row>
    <row r="4" spans="1:15" s="69" customFormat="1" ht="35.25" customHeight="1" thickBot="1" x14ac:dyDescent="0.25">
      <c r="A4" s="591"/>
      <c r="B4" s="67" t="s">
        <v>37</v>
      </c>
      <c r="C4" s="68" t="s">
        <v>320</v>
      </c>
      <c r="D4" s="208" t="s">
        <v>361</v>
      </c>
      <c r="E4" s="208" t="s">
        <v>406</v>
      </c>
      <c r="F4" s="208" t="s">
        <v>443</v>
      </c>
      <c r="G4" s="208" t="s">
        <v>362</v>
      </c>
      <c r="H4" s="208" t="s">
        <v>360</v>
      </c>
      <c r="I4" s="211" t="s">
        <v>37</v>
      </c>
      <c r="J4" s="212" t="s">
        <v>320</v>
      </c>
      <c r="K4" s="407" t="s">
        <v>361</v>
      </c>
      <c r="L4" s="213" t="s">
        <v>406</v>
      </c>
      <c r="M4" s="213" t="s">
        <v>443</v>
      </c>
      <c r="N4" s="214" t="s">
        <v>362</v>
      </c>
      <c r="O4" s="215" t="s">
        <v>360</v>
      </c>
    </row>
    <row r="5" spans="1:15" s="74" customFormat="1" ht="12" customHeight="1" thickBot="1" x14ac:dyDescent="0.25">
      <c r="A5" s="70">
        <v>1</v>
      </c>
      <c r="B5" s="71">
        <v>2</v>
      </c>
      <c r="C5" s="72" t="s">
        <v>40</v>
      </c>
      <c r="D5" s="209"/>
      <c r="E5" s="209"/>
      <c r="F5" s="209"/>
      <c r="G5" s="209"/>
      <c r="H5" s="209"/>
      <c r="I5" s="71" t="s">
        <v>41</v>
      </c>
      <c r="J5" s="72" t="s">
        <v>42</v>
      </c>
      <c r="K5" s="72"/>
      <c r="L5" s="72"/>
      <c r="M5" s="72"/>
      <c r="N5" s="72"/>
      <c r="O5" s="73"/>
    </row>
    <row r="6" spans="1:15" ht="12.95" customHeight="1" x14ac:dyDescent="0.2">
      <c r="A6" s="127" t="s">
        <v>38</v>
      </c>
      <c r="B6" s="75" t="s">
        <v>13</v>
      </c>
      <c r="C6" s="216">
        <f>'1. Bevételek'!E26</f>
        <v>42300000</v>
      </c>
      <c r="D6" s="217">
        <v>-7000000</v>
      </c>
      <c r="E6" s="217">
        <v>739694</v>
      </c>
      <c r="F6" s="217">
        <f>G6-C6-D6-E6</f>
        <v>4164447</v>
      </c>
      <c r="G6" s="217">
        <v>40204141</v>
      </c>
      <c r="H6" s="217">
        <v>38469346</v>
      </c>
      <c r="I6" s="75" t="s">
        <v>1</v>
      </c>
      <c r="J6" s="465">
        <f>'2. Kiadások'!E6</f>
        <v>35724646</v>
      </c>
      <c r="K6" s="233">
        <v>559346</v>
      </c>
      <c r="L6" s="233">
        <v>44100</v>
      </c>
      <c r="M6" s="233">
        <f>N6-J6-K6-L6</f>
        <v>-7142648</v>
      </c>
      <c r="N6" s="234">
        <v>29185444</v>
      </c>
      <c r="O6" s="235">
        <v>29185444</v>
      </c>
    </row>
    <row r="7" spans="1:15" ht="12.95" customHeight="1" x14ac:dyDescent="0.2">
      <c r="A7" s="128" t="s">
        <v>39</v>
      </c>
      <c r="B7" s="76" t="s">
        <v>180</v>
      </c>
      <c r="C7" s="218">
        <f>'1. Bevételek'!E35</f>
        <v>22525408</v>
      </c>
      <c r="D7" s="217"/>
      <c r="E7" s="217"/>
      <c r="F7" s="217">
        <f t="shared" ref="F7:F17" si="0">G7-C7-D7-E7</f>
        <v>1704872</v>
      </c>
      <c r="G7" s="219">
        <v>24230280</v>
      </c>
      <c r="H7" s="219">
        <v>23913692</v>
      </c>
      <c r="I7" s="76" t="s">
        <v>82</v>
      </c>
      <c r="J7" s="227">
        <f>'2. Kiadások'!E7</f>
        <v>6251813</v>
      </c>
      <c r="K7" s="233">
        <v>28154</v>
      </c>
      <c r="L7" s="233"/>
      <c r="M7" s="233">
        <f t="shared" ref="M7:M13" si="1">N7-J7-K7-L7</f>
        <v>-2145843</v>
      </c>
      <c r="N7" s="227">
        <v>4134124</v>
      </c>
      <c r="O7" s="236">
        <v>4134124</v>
      </c>
    </row>
    <row r="8" spans="1:15" ht="12.95" customHeight="1" x14ac:dyDescent="0.2">
      <c r="A8" s="128" t="s">
        <v>40</v>
      </c>
      <c r="B8" s="76" t="s">
        <v>83</v>
      </c>
      <c r="C8" s="218"/>
      <c r="D8" s="217"/>
      <c r="E8" s="217"/>
      <c r="F8" s="217">
        <f t="shared" si="0"/>
        <v>0</v>
      </c>
      <c r="G8" s="219"/>
      <c r="H8" s="219"/>
      <c r="I8" s="76" t="s">
        <v>35</v>
      </c>
      <c r="J8" s="227">
        <f>'2. Kiadások'!E13</f>
        <v>57747701</v>
      </c>
      <c r="K8" s="233">
        <v>88500</v>
      </c>
      <c r="L8" s="233">
        <v>-2213236</v>
      </c>
      <c r="M8" s="233">
        <f t="shared" si="1"/>
        <v>-4579949</v>
      </c>
      <c r="N8" s="227">
        <v>51043016</v>
      </c>
      <c r="O8" s="236">
        <v>48776732</v>
      </c>
    </row>
    <row r="9" spans="1:15" ht="22.5" x14ac:dyDescent="0.2">
      <c r="A9" s="128" t="s">
        <v>41</v>
      </c>
      <c r="B9" s="77" t="s">
        <v>181</v>
      </c>
      <c r="C9" s="218">
        <f>'1. Bevételek'!E10</f>
        <v>36688062</v>
      </c>
      <c r="D9" s="217">
        <v>255095</v>
      </c>
      <c r="E9" s="217">
        <v>-1923870</v>
      </c>
      <c r="F9" s="217">
        <f t="shared" si="0"/>
        <v>-3864354</v>
      </c>
      <c r="G9" s="219">
        <v>31154933</v>
      </c>
      <c r="H9" s="219">
        <v>31154933</v>
      </c>
      <c r="I9" s="76" t="s">
        <v>84</v>
      </c>
      <c r="J9" s="227">
        <f>'2. Kiadások'!E14</f>
        <v>7060000</v>
      </c>
      <c r="K9" s="233"/>
      <c r="L9" s="233"/>
      <c r="M9" s="233">
        <f t="shared" si="1"/>
        <v>-1461673</v>
      </c>
      <c r="N9" s="227">
        <v>5598327</v>
      </c>
      <c r="O9" s="236">
        <v>5598327</v>
      </c>
    </row>
    <row r="10" spans="1:15" ht="12.95" customHeight="1" x14ac:dyDescent="0.2">
      <c r="A10" s="128" t="s">
        <v>42</v>
      </c>
      <c r="B10" s="76" t="s">
        <v>85</v>
      </c>
      <c r="C10" s="218">
        <f>'1. Bevételek'!E15</f>
        <v>11886006</v>
      </c>
      <c r="D10" s="217">
        <v>587500</v>
      </c>
      <c r="E10" s="217"/>
      <c r="F10" s="217">
        <f t="shared" si="0"/>
        <v>-2527290</v>
      </c>
      <c r="G10" s="219">
        <v>9946216</v>
      </c>
      <c r="H10" s="219">
        <v>9946216</v>
      </c>
      <c r="I10" s="76" t="s">
        <v>86</v>
      </c>
      <c r="J10" s="227">
        <f>'2. Kiadások'!E18</f>
        <v>11061064</v>
      </c>
      <c r="K10" s="233">
        <v>1385228</v>
      </c>
      <c r="L10" s="233"/>
      <c r="M10" s="233">
        <f t="shared" si="1"/>
        <v>-2464542</v>
      </c>
      <c r="N10" s="227">
        <v>9981750</v>
      </c>
      <c r="O10" s="236">
        <v>9981750</v>
      </c>
    </row>
    <row r="11" spans="1:15" ht="12.95" customHeight="1" x14ac:dyDescent="0.2">
      <c r="A11" s="128" t="s">
        <v>47</v>
      </c>
      <c r="B11" s="76" t="s">
        <v>87</v>
      </c>
      <c r="C11" s="220"/>
      <c r="D11" s="406"/>
      <c r="E11" s="406"/>
      <c r="F11" s="217">
        <f t="shared" si="0"/>
        <v>0</v>
      </c>
      <c r="G11" s="220"/>
      <c r="H11" s="221"/>
      <c r="I11" s="76" t="s">
        <v>88</v>
      </c>
      <c r="J11" s="227">
        <f>'2. Kiadások'!E19</f>
        <v>7556025</v>
      </c>
      <c r="K11" s="233">
        <v>-5645192</v>
      </c>
      <c r="L11" s="233">
        <v>5895342</v>
      </c>
      <c r="M11" s="233">
        <f t="shared" si="1"/>
        <v>57422586</v>
      </c>
      <c r="N11" s="227">
        <v>65228761</v>
      </c>
      <c r="O11" s="236">
        <v>0</v>
      </c>
    </row>
    <row r="12" spans="1:15" ht="12.95" customHeight="1" x14ac:dyDescent="0.2">
      <c r="A12" s="128" t="s">
        <v>49</v>
      </c>
      <c r="B12" s="76" t="s">
        <v>89</v>
      </c>
      <c r="C12" s="220"/>
      <c r="D12" s="406"/>
      <c r="E12" s="406"/>
      <c r="F12" s="217">
        <f t="shared" si="0"/>
        <v>0</v>
      </c>
      <c r="G12" s="222"/>
      <c r="H12" s="222"/>
      <c r="I12" s="76" t="s">
        <v>14</v>
      </c>
      <c r="J12" s="227"/>
      <c r="K12" s="233"/>
      <c r="L12" s="233"/>
      <c r="M12" s="233">
        <f t="shared" si="1"/>
        <v>0</v>
      </c>
      <c r="N12" s="227"/>
      <c r="O12" s="236"/>
    </row>
    <row r="13" spans="1:15" ht="12.95" customHeight="1" x14ac:dyDescent="0.2">
      <c r="A13" s="128" t="s">
        <v>50</v>
      </c>
      <c r="B13" s="76" t="s">
        <v>90</v>
      </c>
      <c r="C13" s="220"/>
      <c r="D13" s="406"/>
      <c r="E13" s="406"/>
      <c r="F13" s="217">
        <f t="shared" si="0"/>
        <v>0</v>
      </c>
      <c r="G13" s="222"/>
      <c r="H13" s="222"/>
      <c r="I13" s="78" t="s">
        <v>254</v>
      </c>
      <c r="J13" s="227"/>
      <c r="K13" s="233"/>
      <c r="L13" s="233"/>
      <c r="M13" s="233">
        <f t="shared" si="1"/>
        <v>0</v>
      </c>
      <c r="N13" s="227"/>
      <c r="O13" s="236"/>
    </row>
    <row r="14" spans="1:15" ht="12.95" customHeight="1" x14ac:dyDescent="0.2">
      <c r="A14" s="128" t="s">
        <v>51</v>
      </c>
      <c r="B14" s="210" t="s">
        <v>91</v>
      </c>
      <c r="C14" s="220"/>
      <c r="D14" s="406"/>
      <c r="E14" s="406"/>
      <c r="F14" s="217">
        <f t="shared" si="0"/>
        <v>0</v>
      </c>
      <c r="G14" s="220"/>
      <c r="H14" s="221"/>
      <c r="I14" s="78" t="s">
        <v>247</v>
      </c>
      <c r="J14" s="227">
        <v>0</v>
      </c>
      <c r="K14" s="233"/>
      <c r="L14" s="233"/>
      <c r="M14" s="233">
        <f t="shared" ref="M14:M17" si="2">N14-J14-K14</f>
        <v>0</v>
      </c>
      <c r="N14" s="227"/>
      <c r="O14" s="236"/>
    </row>
    <row r="15" spans="1:15" ht="12.95" customHeight="1" x14ac:dyDescent="0.2">
      <c r="A15" s="128" t="s">
        <v>52</v>
      </c>
      <c r="B15" s="78" t="s">
        <v>254</v>
      </c>
      <c r="C15" s="220"/>
      <c r="D15" s="406"/>
      <c r="E15" s="406"/>
      <c r="F15" s="217">
        <f t="shared" si="0"/>
        <v>0</v>
      </c>
      <c r="G15" s="222"/>
      <c r="H15" s="222"/>
      <c r="I15" s="78"/>
      <c r="J15" s="227"/>
      <c r="K15" s="228"/>
      <c r="L15" s="233"/>
      <c r="M15" s="233">
        <f t="shared" si="2"/>
        <v>0</v>
      </c>
      <c r="N15" s="227"/>
      <c r="O15" s="236"/>
    </row>
    <row r="16" spans="1:15" ht="12.95" customHeight="1" x14ac:dyDescent="0.2">
      <c r="A16" s="128" t="s">
        <v>24</v>
      </c>
      <c r="B16" s="78"/>
      <c r="C16" s="220"/>
      <c r="D16" s="222"/>
      <c r="E16" s="406"/>
      <c r="F16" s="217">
        <f t="shared" si="0"/>
        <v>0</v>
      </c>
      <c r="G16" s="222"/>
      <c r="H16" s="222"/>
      <c r="I16" s="78"/>
      <c r="J16" s="227"/>
      <c r="K16" s="228"/>
      <c r="L16" s="233"/>
      <c r="M16" s="233">
        <f t="shared" si="2"/>
        <v>0</v>
      </c>
      <c r="N16" s="227"/>
      <c r="O16" s="236"/>
    </row>
    <row r="17" spans="1:15" ht="12.95" customHeight="1" thickBot="1" x14ac:dyDescent="0.25">
      <c r="A17" s="128" t="s">
        <v>25</v>
      </c>
      <c r="B17" s="79"/>
      <c r="C17" s="464"/>
      <c r="D17" s="408"/>
      <c r="E17" s="463"/>
      <c r="F17" s="217">
        <f t="shared" si="0"/>
        <v>0</v>
      </c>
      <c r="G17" s="408"/>
      <c r="H17" s="408"/>
      <c r="I17" s="78"/>
      <c r="J17" s="466"/>
      <c r="K17" s="467"/>
      <c r="L17" s="226"/>
      <c r="M17" s="233">
        <f t="shared" si="2"/>
        <v>0</v>
      </c>
      <c r="N17" s="237"/>
      <c r="O17" s="238"/>
    </row>
    <row r="18" spans="1:15" ht="15.95" customHeight="1" thickBot="1" x14ac:dyDescent="0.25">
      <c r="A18" s="80" t="s">
        <v>30</v>
      </c>
      <c r="B18" s="81" t="s">
        <v>92</v>
      </c>
      <c r="C18" s="223">
        <f t="shared" ref="C18:H18" si="3">+C6+C7+C8+C9+C10+C12+C13+C14+C15+C16+C17</f>
        <v>113399476</v>
      </c>
      <c r="D18" s="223">
        <f t="shared" si="3"/>
        <v>-6157405</v>
      </c>
      <c r="E18" s="223">
        <f t="shared" si="3"/>
        <v>-1184176</v>
      </c>
      <c r="F18" s="223">
        <f t="shared" si="3"/>
        <v>-522325</v>
      </c>
      <c r="G18" s="223">
        <f t="shared" si="3"/>
        <v>105535570</v>
      </c>
      <c r="H18" s="223">
        <f t="shared" si="3"/>
        <v>103484187</v>
      </c>
      <c r="I18" s="81" t="s">
        <v>93</v>
      </c>
      <c r="J18" s="223">
        <f t="shared" ref="J18:O18" si="4">SUM(J6:J17)</f>
        <v>125401249</v>
      </c>
      <c r="K18" s="223">
        <f t="shared" si="4"/>
        <v>-3583964</v>
      </c>
      <c r="L18" s="223">
        <f t="shared" si="4"/>
        <v>3726206</v>
      </c>
      <c r="M18" s="223">
        <f t="shared" si="4"/>
        <v>39627931</v>
      </c>
      <c r="N18" s="223">
        <f t="shared" si="4"/>
        <v>165171422</v>
      </c>
      <c r="O18" s="243">
        <f t="shared" si="4"/>
        <v>97676377</v>
      </c>
    </row>
    <row r="19" spans="1:15" ht="12.95" customHeight="1" x14ac:dyDescent="0.2">
      <c r="A19" s="82" t="s">
        <v>26</v>
      </c>
      <c r="B19" s="83" t="s">
        <v>94</v>
      </c>
      <c r="C19" s="229">
        <f t="shared" ref="C19:H19" si="5">+C20+C21+C22+C23</f>
        <v>13469296</v>
      </c>
      <c r="D19" s="229">
        <f t="shared" si="5"/>
        <v>0</v>
      </c>
      <c r="E19" s="229">
        <f t="shared" si="5"/>
        <v>11024</v>
      </c>
      <c r="F19" s="229">
        <f t="shared" si="5"/>
        <v>364220</v>
      </c>
      <c r="G19" s="229">
        <f t="shared" si="5"/>
        <v>13844540</v>
      </c>
      <c r="H19" s="229">
        <f t="shared" si="5"/>
        <v>13844540</v>
      </c>
      <c r="I19" s="84" t="s">
        <v>95</v>
      </c>
      <c r="J19" s="468"/>
      <c r="K19" s="469"/>
      <c r="L19" s="469"/>
      <c r="M19" s="473"/>
      <c r="N19" s="474"/>
      <c r="O19" s="475"/>
    </row>
    <row r="20" spans="1:15" ht="12.95" customHeight="1" x14ac:dyDescent="0.2">
      <c r="A20" s="85" t="s">
        <v>54</v>
      </c>
      <c r="B20" s="84" t="s">
        <v>96</v>
      </c>
      <c r="C20" s="227">
        <f>13469296</f>
        <v>13469296</v>
      </c>
      <c r="D20" s="228"/>
      <c r="E20" s="228"/>
      <c r="F20" s="228">
        <f>G20-C20-D20-E20</f>
        <v>-1150796</v>
      </c>
      <c r="G20" s="228">
        <v>12318500</v>
      </c>
      <c r="H20" s="228">
        <v>12318500</v>
      </c>
      <c r="I20" s="84" t="s">
        <v>97</v>
      </c>
      <c r="J20" s="470"/>
      <c r="K20" s="471"/>
      <c r="L20" s="471"/>
      <c r="M20" s="471"/>
      <c r="N20" s="470"/>
      <c r="O20" s="476"/>
    </row>
    <row r="21" spans="1:15" ht="12.95" customHeight="1" x14ac:dyDescent="0.2">
      <c r="A21" s="85" t="s">
        <v>56</v>
      </c>
      <c r="B21" s="84" t="s">
        <v>98</v>
      </c>
      <c r="C21" s="227"/>
      <c r="D21" s="228"/>
      <c r="E21" s="228"/>
      <c r="F21" s="228">
        <f t="shared" ref="F21:F23" si="6">G21-C21-D21-E21</f>
        <v>0</v>
      </c>
      <c r="G21" s="228"/>
      <c r="H21" s="228"/>
      <c r="I21" s="84" t="s">
        <v>99</v>
      </c>
      <c r="J21" s="470"/>
      <c r="K21" s="471"/>
      <c r="L21" s="471"/>
      <c r="M21" s="471"/>
      <c r="N21" s="470"/>
      <c r="O21" s="476"/>
    </row>
    <row r="22" spans="1:15" ht="12.95" customHeight="1" x14ac:dyDescent="0.2">
      <c r="A22" s="85" t="s">
        <v>27</v>
      </c>
      <c r="B22" s="84" t="s">
        <v>185</v>
      </c>
      <c r="C22" s="227">
        <f>'1. Bevételek'!E44</f>
        <v>0</v>
      </c>
      <c r="D22" s="228"/>
      <c r="E22" s="228"/>
      <c r="F22" s="228">
        <f t="shared" si="6"/>
        <v>0</v>
      </c>
      <c r="G22" s="228"/>
      <c r="H22" s="228"/>
      <c r="I22" s="84" t="s">
        <v>100</v>
      </c>
      <c r="J22" s="470"/>
      <c r="K22" s="471"/>
      <c r="L22" s="471"/>
      <c r="M22" s="471"/>
      <c r="N22" s="470"/>
      <c r="O22" s="476"/>
    </row>
    <row r="23" spans="1:15" ht="12.95" customHeight="1" x14ac:dyDescent="0.2">
      <c r="A23" s="85" t="s">
        <v>57</v>
      </c>
      <c r="B23" s="84" t="s">
        <v>450</v>
      </c>
      <c r="C23" s="227">
        <v>0</v>
      </c>
      <c r="D23" s="226"/>
      <c r="E23" s="226">
        <v>11024</v>
      </c>
      <c r="F23" s="228">
        <f t="shared" si="6"/>
        <v>1515016</v>
      </c>
      <c r="G23" s="226">
        <v>1526040</v>
      </c>
      <c r="H23" s="226">
        <v>1526040</v>
      </c>
      <c r="I23" s="83" t="s">
        <v>101</v>
      </c>
      <c r="J23" s="470"/>
      <c r="K23" s="471"/>
      <c r="L23" s="471"/>
      <c r="M23" s="471"/>
      <c r="N23" s="470"/>
      <c r="O23" s="476"/>
    </row>
    <row r="24" spans="1:15" ht="12.95" customHeight="1" x14ac:dyDescent="0.2">
      <c r="A24" s="85" t="s">
        <v>53</v>
      </c>
      <c r="B24" s="84" t="s">
        <v>102</v>
      </c>
      <c r="C24" s="224">
        <f>+C25+C26</f>
        <v>0</v>
      </c>
      <c r="D24" s="224">
        <f t="shared" ref="D24:H24" si="7">+D25+D26</f>
        <v>0</v>
      </c>
      <c r="E24" s="414">
        <f>SUM(E25:E26)</f>
        <v>0</v>
      </c>
      <c r="F24" s="414">
        <f>SUM(F25:F26)</f>
        <v>0</v>
      </c>
      <c r="G24" s="414">
        <f t="shared" si="7"/>
        <v>0</v>
      </c>
      <c r="H24" s="414">
        <f t="shared" si="7"/>
        <v>0</v>
      </c>
      <c r="I24" s="84" t="s">
        <v>103</v>
      </c>
      <c r="J24" s="470"/>
      <c r="K24" s="471"/>
      <c r="L24" s="471"/>
      <c r="M24" s="471"/>
      <c r="N24" s="470"/>
      <c r="O24" s="476"/>
    </row>
    <row r="25" spans="1:15" ht="12.95" customHeight="1" x14ac:dyDescent="0.2">
      <c r="A25" s="82" t="s">
        <v>67</v>
      </c>
      <c r="B25" s="83" t="s">
        <v>104</v>
      </c>
      <c r="C25" s="225"/>
      <c r="D25" s="226"/>
      <c r="E25" s="226"/>
      <c r="F25" s="226"/>
      <c r="G25" s="226"/>
      <c r="H25" s="226"/>
      <c r="I25" s="75" t="s">
        <v>105</v>
      </c>
      <c r="J25" s="472">
        <v>0</v>
      </c>
      <c r="K25" s="469"/>
      <c r="L25" s="469"/>
      <c r="M25" s="471"/>
      <c r="N25" s="470"/>
      <c r="O25" s="476"/>
    </row>
    <row r="26" spans="1:15" ht="12.95" customHeight="1" thickBot="1" x14ac:dyDescent="0.25">
      <c r="A26" s="85" t="s">
        <v>106</v>
      </c>
      <c r="B26" s="84" t="s">
        <v>107</v>
      </c>
      <c r="C26" s="227"/>
      <c r="D26" s="228"/>
      <c r="E26" s="228"/>
      <c r="F26" s="228"/>
      <c r="G26" s="228"/>
      <c r="H26" s="228"/>
      <c r="I26" s="78" t="s">
        <v>182</v>
      </c>
      <c r="J26" s="466">
        <f>'2. Kiadások'!E27</f>
        <v>1467523</v>
      </c>
      <c r="K26" s="467"/>
      <c r="L26" s="467">
        <v>11024</v>
      </c>
      <c r="M26" s="467">
        <f>N26-J26-K26-L26</f>
        <v>0</v>
      </c>
      <c r="N26" s="237">
        <v>1478547</v>
      </c>
      <c r="O26" s="238">
        <v>1478547</v>
      </c>
    </row>
    <row r="27" spans="1:15" ht="15.95" customHeight="1" thickBot="1" x14ac:dyDescent="0.25">
      <c r="A27" s="80" t="s">
        <v>108</v>
      </c>
      <c r="B27" s="81" t="s">
        <v>109</v>
      </c>
      <c r="C27" s="223">
        <f t="shared" ref="C27:H27" si="8">+C19+C24</f>
        <v>13469296</v>
      </c>
      <c r="D27" s="223">
        <f t="shared" si="8"/>
        <v>0</v>
      </c>
      <c r="E27" s="223">
        <f t="shared" si="8"/>
        <v>11024</v>
      </c>
      <c r="F27" s="223">
        <f t="shared" si="8"/>
        <v>364220</v>
      </c>
      <c r="G27" s="223">
        <f t="shared" si="8"/>
        <v>13844540</v>
      </c>
      <c r="H27" s="223">
        <f t="shared" si="8"/>
        <v>13844540</v>
      </c>
      <c r="I27" s="81" t="s">
        <v>110</v>
      </c>
      <c r="J27" s="223">
        <f t="shared" ref="J27:O27" si="9">SUM(J19:J26)</f>
        <v>1467523</v>
      </c>
      <c r="K27" s="223">
        <f t="shared" si="9"/>
        <v>0</v>
      </c>
      <c r="L27" s="223">
        <f t="shared" si="9"/>
        <v>11024</v>
      </c>
      <c r="M27" s="223">
        <f t="shared" si="9"/>
        <v>0</v>
      </c>
      <c r="N27" s="223">
        <f t="shared" si="9"/>
        <v>1478547</v>
      </c>
      <c r="O27" s="243">
        <f t="shared" si="9"/>
        <v>1478547</v>
      </c>
    </row>
    <row r="28" spans="1:15" ht="24" customHeight="1" thickBot="1" x14ac:dyDescent="0.25">
      <c r="A28" s="80" t="s">
        <v>111</v>
      </c>
      <c r="B28" s="86" t="s">
        <v>112</v>
      </c>
      <c r="C28" s="223">
        <f t="shared" ref="C28:H28" si="10">+C18+C27</f>
        <v>126868772</v>
      </c>
      <c r="D28" s="223">
        <f t="shared" si="10"/>
        <v>-6157405</v>
      </c>
      <c r="E28" s="223">
        <f t="shared" si="10"/>
        <v>-1173152</v>
      </c>
      <c r="F28" s="223">
        <f t="shared" si="10"/>
        <v>-158105</v>
      </c>
      <c r="G28" s="223">
        <f t="shared" si="10"/>
        <v>119380110</v>
      </c>
      <c r="H28" s="223">
        <f t="shared" si="10"/>
        <v>117328727</v>
      </c>
      <c r="I28" s="86" t="s">
        <v>113</v>
      </c>
      <c r="J28" s="223">
        <f t="shared" ref="J28:O28" si="11">+J18+J27</f>
        <v>126868772</v>
      </c>
      <c r="K28" s="223">
        <f t="shared" si="11"/>
        <v>-3583964</v>
      </c>
      <c r="L28" s="223">
        <f t="shared" si="11"/>
        <v>3737230</v>
      </c>
      <c r="M28" s="223">
        <f t="shared" si="11"/>
        <v>39627931</v>
      </c>
      <c r="N28" s="223">
        <f t="shared" si="11"/>
        <v>166649969</v>
      </c>
      <c r="O28" s="243">
        <f t="shared" si="11"/>
        <v>99154924</v>
      </c>
    </row>
    <row r="29" spans="1:15" ht="18" customHeight="1" thickBot="1" x14ac:dyDescent="0.25">
      <c r="A29" s="80" t="s">
        <v>114</v>
      </c>
      <c r="B29" s="81" t="s">
        <v>115</v>
      </c>
      <c r="C29" s="230"/>
      <c r="D29" s="231"/>
      <c r="E29" s="231"/>
      <c r="F29" s="231"/>
      <c r="G29" s="231"/>
      <c r="H29" s="231"/>
      <c r="I29" s="81" t="s">
        <v>116</v>
      </c>
      <c r="J29" s="230"/>
      <c r="K29" s="230"/>
      <c r="L29" s="230"/>
      <c r="M29" s="230"/>
      <c r="N29" s="230"/>
      <c r="O29" s="240"/>
    </row>
    <row r="30" spans="1:15" ht="13.5" thickBot="1" x14ac:dyDescent="0.25">
      <c r="A30" s="80" t="s">
        <v>117</v>
      </c>
      <c r="B30" s="87" t="s">
        <v>118</v>
      </c>
      <c r="C30" s="232">
        <f t="shared" ref="C30:H30" si="12">+C28+C29</f>
        <v>126868772</v>
      </c>
      <c r="D30" s="232">
        <f t="shared" si="12"/>
        <v>-6157405</v>
      </c>
      <c r="E30" s="232">
        <f t="shared" si="12"/>
        <v>-1173152</v>
      </c>
      <c r="F30" s="232">
        <f t="shared" si="12"/>
        <v>-158105</v>
      </c>
      <c r="G30" s="232">
        <f t="shared" si="12"/>
        <v>119380110</v>
      </c>
      <c r="H30" s="232">
        <f t="shared" si="12"/>
        <v>117328727</v>
      </c>
      <c r="I30" s="87" t="s">
        <v>119</v>
      </c>
      <c r="J30" s="232">
        <f t="shared" ref="J30:O30" si="13">+J28+J29</f>
        <v>126868772</v>
      </c>
      <c r="K30" s="232">
        <f t="shared" si="13"/>
        <v>-3583964</v>
      </c>
      <c r="L30" s="232">
        <f t="shared" si="13"/>
        <v>3737230</v>
      </c>
      <c r="M30" s="232">
        <f t="shared" si="13"/>
        <v>39627931</v>
      </c>
      <c r="N30" s="232">
        <f t="shared" si="13"/>
        <v>166649969</v>
      </c>
      <c r="O30" s="241">
        <f t="shared" si="13"/>
        <v>99154924</v>
      </c>
    </row>
    <row r="31" spans="1:15" ht="13.5" thickBot="1" x14ac:dyDescent="0.25">
      <c r="A31" s="80" t="s">
        <v>120</v>
      </c>
      <c r="B31" s="87" t="s">
        <v>121</v>
      </c>
      <c r="C31" s="232">
        <f>IF(C18-J18&lt;0,J18-C18,"-")</f>
        <v>12001773</v>
      </c>
      <c r="D31" s="232">
        <v>2573441</v>
      </c>
      <c r="E31" s="232">
        <v>4910382</v>
      </c>
      <c r="F31" s="232">
        <f>IF(F18-M18&lt;0,M18-F18,"-")</f>
        <v>40150256</v>
      </c>
      <c r="G31" s="232">
        <f>IF(G18-N18&lt;0,N18-G18,"-")</f>
        <v>59635852</v>
      </c>
      <c r="H31" s="232" t="str">
        <f>IF(H18-O18&lt;0,O18-H18,"-")</f>
        <v>-</v>
      </c>
      <c r="I31" s="87" t="s">
        <v>122</v>
      </c>
      <c r="J31" s="232" t="str">
        <f t="shared" ref="J31:O31" si="14">IF(C18-J18&gt;0,C18-J18,"-")</f>
        <v>-</v>
      </c>
      <c r="K31" s="232" t="str">
        <f t="shared" si="14"/>
        <v>-</v>
      </c>
      <c r="L31" s="232" t="str">
        <f t="shared" si="14"/>
        <v>-</v>
      </c>
      <c r="M31" s="232" t="str">
        <f t="shared" si="14"/>
        <v>-</v>
      </c>
      <c r="N31" s="232" t="str">
        <f t="shared" si="14"/>
        <v>-</v>
      </c>
      <c r="O31" s="241">
        <f t="shared" si="14"/>
        <v>5807810</v>
      </c>
    </row>
    <row r="32" spans="1:15" ht="13.5" thickBot="1" x14ac:dyDescent="0.25">
      <c r="A32" s="80" t="s">
        <v>123</v>
      </c>
      <c r="B32" s="87" t="s">
        <v>124</v>
      </c>
      <c r="C32" s="232" t="str">
        <f>IF(C18+C19-J28&lt;0,J28-(C18+C19),"-")</f>
        <v>-</v>
      </c>
      <c r="D32" s="232">
        <v>2573441</v>
      </c>
      <c r="E32" s="232">
        <v>4921406</v>
      </c>
      <c r="F32" s="232">
        <f>IF(F18+F19-M28&lt;0,M28-(F18+F19),"-")</f>
        <v>39786036</v>
      </c>
      <c r="G32" s="232">
        <f>IF(G18+G19-N28&lt;0,N28-(G18+G19),"-")</f>
        <v>47269859</v>
      </c>
      <c r="H32" s="232" t="str">
        <f>IF(H18+H19-O28&lt;0,O28-(H18+H19),"-")</f>
        <v>-</v>
      </c>
      <c r="I32" s="87" t="s">
        <v>125</v>
      </c>
      <c r="J32" s="232" t="str">
        <f>IF(C18+C19-J28&gt;0,C18+C19-J28,"-")</f>
        <v>-</v>
      </c>
      <c r="K32" s="232" t="s">
        <v>422</v>
      </c>
      <c r="L32" s="232" t="s">
        <v>422</v>
      </c>
      <c r="M32" s="232" t="str">
        <f>IF(F18+F19-M28&gt;0,F18+F19-M28,"-")</f>
        <v>-</v>
      </c>
      <c r="N32" s="232" t="str">
        <f>IF(G18+G19-N28&gt;0,G18+G19-N28,"-")</f>
        <v>-</v>
      </c>
      <c r="O32" s="241">
        <f>IF(H18+H19-O28&gt;0,H18+H19-O28,"-")</f>
        <v>18173803</v>
      </c>
    </row>
    <row r="36" spans="9:9" x14ac:dyDescent="0.2">
      <c r="I36" s="239" t="s">
        <v>365</v>
      </c>
    </row>
  </sheetData>
  <mergeCells count="4">
    <mergeCell ref="A3:A4"/>
    <mergeCell ref="B3:H3"/>
    <mergeCell ref="I3:O3"/>
    <mergeCell ref="A1:O1"/>
  </mergeCells>
  <phoneticPr fontId="6" type="noConversion"/>
  <pageMargins left="0.59055118110236227" right="0.59055118110236227" top="0.74803149606299213" bottom="0.98425196850393704" header="0.51181102362204722" footer="0.51181102362204722"/>
  <pageSetup paperSize="9" scale="48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B4" zoomScale="80" zoomScaleNormal="80" zoomScaleSheetLayoutView="70" workbookViewId="0">
      <selection activeCell="I49" sqref="I49"/>
    </sheetView>
  </sheetViews>
  <sheetFormatPr defaultRowHeight="12.75" x14ac:dyDescent="0.2"/>
  <cols>
    <col min="1" max="1" width="5.85546875" style="125" customWidth="1"/>
    <col min="2" max="2" width="47.28515625" style="126" customWidth="1"/>
    <col min="3" max="8" width="15.42578125" style="133" customWidth="1"/>
    <col min="9" max="9" width="47.28515625" style="125" customWidth="1"/>
    <col min="10" max="15" width="15.42578125" style="133" customWidth="1"/>
    <col min="16" max="16" width="11.7109375" style="125" bestFit="1" customWidth="1"/>
    <col min="17" max="16384" width="9.140625" style="125"/>
  </cols>
  <sheetData>
    <row r="1" spans="1:15" ht="40.5" customHeight="1" x14ac:dyDescent="0.2">
      <c r="A1" s="595" t="s">
        <v>126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</row>
    <row r="2" spans="1:15" ht="14.25" thickBot="1" x14ac:dyDescent="0.25">
      <c r="M2" s="63"/>
      <c r="N2" s="63"/>
      <c r="O2" s="63" t="s">
        <v>187</v>
      </c>
    </row>
    <row r="3" spans="1:15" ht="13.5" thickBot="1" x14ac:dyDescent="0.25">
      <c r="A3" s="596" t="s">
        <v>79</v>
      </c>
      <c r="B3" s="64" t="s">
        <v>80</v>
      </c>
      <c r="C3" s="65"/>
      <c r="D3" s="242"/>
      <c r="E3" s="242"/>
      <c r="F3" s="242"/>
      <c r="G3" s="242"/>
      <c r="H3" s="242"/>
      <c r="I3" s="64" t="s">
        <v>81</v>
      </c>
      <c r="J3" s="66"/>
      <c r="K3" s="245"/>
      <c r="L3" s="245"/>
      <c r="M3" s="244"/>
      <c r="N3" s="245"/>
      <c r="O3" s="246"/>
    </row>
    <row r="4" spans="1:15" s="69" customFormat="1" ht="24.75" thickBot="1" x14ac:dyDescent="0.25">
      <c r="A4" s="597"/>
      <c r="B4" s="67" t="s">
        <v>37</v>
      </c>
      <c r="C4" s="68" t="s">
        <v>320</v>
      </c>
      <c r="D4" s="208" t="s">
        <v>361</v>
      </c>
      <c r="E4" s="477" t="s">
        <v>406</v>
      </c>
      <c r="F4" s="477" t="s">
        <v>443</v>
      </c>
      <c r="G4" s="477" t="s">
        <v>362</v>
      </c>
      <c r="H4" s="477" t="s">
        <v>360</v>
      </c>
      <c r="I4" s="67" t="s">
        <v>37</v>
      </c>
      <c r="J4" s="68" t="s">
        <v>320</v>
      </c>
      <c r="K4" s="68" t="s">
        <v>361</v>
      </c>
      <c r="L4" s="479" t="s">
        <v>406</v>
      </c>
      <c r="M4" s="479" t="s">
        <v>443</v>
      </c>
      <c r="N4" s="479" t="s">
        <v>362</v>
      </c>
      <c r="O4" s="480" t="s">
        <v>360</v>
      </c>
    </row>
    <row r="5" spans="1:15" s="69" customFormat="1" ht="13.5" thickBot="1" x14ac:dyDescent="0.25">
      <c r="A5" s="70">
        <v>1</v>
      </c>
      <c r="B5" s="71">
        <v>2</v>
      </c>
      <c r="C5" s="72">
        <v>3</v>
      </c>
      <c r="D5" s="209"/>
      <c r="E5" s="478"/>
      <c r="F5" s="478"/>
      <c r="G5" s="478"/>
      <c r="H5" s="478"/>
      <c r="I5" s="71">
        <v>4</v>
      </c>
      <c r="J5" s="72">
        <v>5</v>
      </c>
      <c r="K5" s="72"/>
      <c r="L5" s="481"/>
      <c r="M5" s="481"/>
      <c r="N5" s="481"/>
      <c r="O5" s="482"/>
    </row>
    <row r="6" spans="1:15" ht="12.95" customHeight="1" x14ac:dyDescent="0.2">
      <c r="A6" s="127" t="s">
        <v>38</v>
      </c>
      <c r="B6" s="75" t="s">
        <v>127</v>
      </c>
      <c r="C6" s="216">
        <f>'1. Bevételek'!E36</f>
        <v>0</v>
      </c>
      <c r="D6" s="217"/>
      <c r="E6" s="217"/>
      <c r="F6" s="217"/>
      <c r="G6" s="217"/>
      <c r="H6" s="217"/>
      <c r="I6" s="75" t="s">
        <v>128</v>
      </c>
      <c r="J6" s="216">
        <f>'2. Kiadások'!E20</f>
        <v>18796000</v>
      </c>
      <c r="K6" s="216"/>
      <c r="L6" s="216">
        <v>18548398</v>
      </c>
      <c r="M6" s="216">
        <f>N6-J6-K6-L6</f>
        <v>-11955956</v>
      </c>
      <c r="N6" s="216">
        <v>25388442</v>
      </c>
      <c r="O6" s="411">
        <v>25388442</v>
      </c>
    </row>
    <row r="7" spans="1:15" ht="12.95" customHeight="1" x14ac:dyDescent="0.2">
      <c r="A7" s="127" t="s">
        <v>39</v>
      </c>
      <c r="B7" s="409" t="s">
        <v>129</v>
      </c>
      <c r="C7" s="216"/>
      <c r="D7" s="217"/>
      <c r="E7" s="217"/>
      <c r="F7" s="217"/>
      <c r="G7" s="217"/>
      <c r="H7" s="217"/>
      <c r="I7" s="75"/>
      <c r="J7" s="216"/>
      <c r="K7" s="216"/>
      <c r="L7" s="216"/>
      <c r="M7" s="216">
        <f t="shared" ref="M7" si="0">N7-J7-K7</f>
        <v>0</v>
      </c>
      <c r="N7" s="218"/>
      <c r="O7" s="250"/>
    </row>
    <row r="8" spans="1:15" ht="22.5" customHeight="1" x14ac:dyDescent="0.2">
      <c r="A8" s="127" t="s">
        <v>40</v>
      </c>
      <c r="B8" s="76" t="s">
        <v>130</v>
      </c>
      <c r="C8" s="218">
        <v>0</v>
      </c>
      <c r="D8" s="219"/>
      <c r="E8" s="219"/>
      <c r="F8" s="219"/>
      <c r="G8" s="219"/>
      <c r="H8" s="219"/>
      <c r="I8" s="76" t="s">
        <v>131</v>
      </c>
      <c r="J8" s="218">
        <f>'2. Kiadások'!E21</f>
        <v>36154334</v>
      </c>
      <c r="K8" s="216"/>
      <c r="L8" s="216">
        <v>14875018</v>
      </c>
      <c r="M8" s="216">
        <f>N8-J8-K8-L8</f>
        <v>-22587455</v>
      </c>
      <c r="N8" s="218">
        <v>28441897</v>
      </c>
      <c r="O8" s="250">
        <v>28441897</v>
      </c>
    </row>
    <row r="9" spans="1:15" ht="12.95" customHeight="1" x14ac:dyDescent="0.2">
      <c r="A9" s="127" t="s">
        <v>41</v>
      </c>
      <c r="B9" s="76" t="s">
        <v>132</v>
      </c>
      <c r="C9" s="218"/>
      <c r="D9" s="219"/>
      <c r="E9" s="219"/>
      <c r="F9" s="219"/>
      <c r="G9" s="219"/>
      <c r="H9" s="219"/>
      <c r="I9" s="76" t="s">
        <v>133</v>
      </c>
      <c r="J9" s="218">
        <f>SUM(J10:J16)</f>
        <v>978000</v>
      </c>
      <c r="K9" s="216">
        <v>359150</v>
      </c>
      <c r="L9" s="216"/>
      <c r="M9" s="216">
        <f t="shared" ref="M9:M18" si="1">N9-J9-K9-L9</f>
        <v>-24364</v>
      </c>
      <c r="N9" s="218">
        <f>SUM(N10:N11)</f>
        <v>1312786</v>
      </c>
      <c r="O9" s="218">
        <f>SUM(O10:O11)</f>
        <v>1312786</v>
      </c>
    </row>
    <row r="10" spans="1:15" ht="12.95" customHeight="1" x14ac:dyDescent="0.2">
      <c r="A10" s="127" t="s">
        <v>42</v>
      </c>
      <c r="B10" s="76" t="s">
        <v>134</v>
      </c>
      <c r="C10" s="218"/>
      <c r="D10" s="219"/>
      <c r="E10" s="219"/>
      <c r="F10" s="219"/>
      <c r="G10" s="219"/>
      <c r="H10" s="219"/>
      <c r="I10" s="76" t="s">
        <v>423</v>
      </c>
      <c r="J10" s="218">
        <v>0</v>
      </c>
      <c r="K10" s="216">
        <v>359150</v>
      </c>
      <c r="L10" s="216"/>
      <c r="M10" s="216">
        <f t="shared" si="1"/>
        <v>0</v>
      </c>
      <c r="N10" s="218">
        <v>359150</v>
      </c>
      <c r="O10" s="250">
        <v>359150</v>
      </c>
    </row>
    <row r="11" spans="1:15" ht="12.75" customHeight="1" x14ac:dyDescent="0.2">
      <c r="A11" s="127" t="s">
        <v>47</v>
      </c>
      <c r="B11" s="76" t="s">
        <v>135</v>
      </c>
      <c r="C11" s="218"/>
      <c r="D11" s="219"/>
      <c r="E11" s="219"/>
      <c r="F11" s="219"/>
      <c r="G11" s="219"/>
      <c r="H11" s="219"/>
      <c r="I11" s="76" t="s">
        <v>136</v>
      </c>
      <c r="J11" s="218">
        <f>'2. Kiadások'!E24</f>
        <v>978000</v>
      </c>
      <c r="K11" s="216"/>
      <c r="L11" s="216"/>
      <c r="M11" s="216">
        <f t="shared" si="1"/>
        <v>-24364</v>
      </c>
      <c r="N11" s="218">
        <v>953636</v>
      </c>
      <c r="O11" s="250">
        <v>953636</v>
      </c>
    </row>
    <row r="12" spans="1:15" ht="12.95" customHeight="1" x14ac:dyDescent="0.2">
      <c r="A12" s="127" t="s">
        <v>49</v>
      </c>
      <c r="B12" s="76" t="s">
        <v>137</v>
      </c>
      <c r="C12" s="218"/>
      <c r="D12" s="218"/>
      <c r="E12" s="218">
        <v>19540998</v>
      </c>
      <c r="F12" s="218">
        <f>G12-C12-D12-E12</f>
        <v>0</v>
      </c>
      <c r="G12" s="218">
        <v>19540998</v>
      </c>
      <c r="H12" s="250">
        <v>19540998</v>
      </c>
      <c r="I12" s="88" t="s">
        <v>138</v>
      </c>
      <c r="J12" s="218"/>
      <c r="K12" s="216"/>
      <c r="L12" s="216"/>
      <c r="M12" s="216">
        <f t="shared" si="1"/>
        <v>0</v>
      </c>
      <c r="N12" s="218"/>
      <c r="O12" s="250"/>
    </row>
    <row r="13" spans="1:15" ht="12.95" customHeight="1" x14ac:dyDescent="0.2">
      <c r="A13" s="127" t="s">
        <v>50</v>
      </c>
      <c r="B13" s="76" t="s">
        <v>139</v>
      </c>
      <c r="C13" s="218"/>
      <c r="D13" s="219"/>
      <c r="E13" s="219"/>
      <c r="F13" s="219"/>
      <c r="G13" s="219"/>
      <c r="H13" s="219"/>
      <c r="I13" s="88" t="s">
        <v>140</v>
      </c>
      <c r="J13" s="218"/>
      <c r="K13" s="216"/>
      <c r="L13" s="216"/>
      <c r="M13" s="216">
        <f t="shared" si="1"/>
        <v>0</v>
      </c>
      <c r="N13" s="218"/>
      <c r="O13" s="250"/>
    </row>
    <row r="14" spans="1:15" ht="12.95" customHeight="1" x14ac:dyDescent="0.2">
      <c r="A14" s="127" t="s">
        <v>51</v>
      </c>
      <c r="B14" s="76" t="s">
        <v>141</v>
      </c>
      <c r="C14" s="218"/>
      <c r="D14" s="219"/>
      <c r="E14" s="219">
        <v>14973300</v>
      </c>
      <c r="F14" s="219">
        <f>G14-C14-D14-E14</f>
        <v>12929391</v>
      </c>
      <c r="G14" s="219">
        <v>27902691</v>
      </c>
      <c r="H14" s="219">
        <v>27902691</v>
      </c>
      <c r="I14" s="89" t="s">
        <v>142</v>
      </c>
      <c r="J14" s="218"/>
      <c r="K14" s="216"/>
      <c r="L14" s="216"/>
      <c r="M14" s="216">
        <f t="shared" si="1"/>
        <v>0</v>
      </c>
      <c r="N14" s="218"/>
      <c r="O14" s="250"/>
    </row>
    <row r="15" spans="1:15" ht="12.95" customHeight="1" x14ac:dyDescent="0.2">
      <c r="A15" s="127" t="s">
        <v>52</v>
      </c>
      <c r="B15" s="90" t="s">
        <v>143</v>
      </c>
      <c r="C15" s="218"/>
      <c r="D15" s="218"/>
      <c r="E15" s="218"/>
      <c r="F15" s="218"/>
      <c r="G15" s="218"/>
      <c r="H15" s="250"/>
      <c r="I15" s="88" t="s">
        <v>144</v>
      </c>
      <c r="J15" s="218"/>
      <c r="K15" s="216"/>
      <c r="L15" s="216"/>
      <c r="M15" s="216">
        <f t="shared" si="1"/>
        <v>0</v>
      </c>
      <c r="N15" s="218"/>
      <c r="O15" s="250"/>
    </row>
    <row r="16" spans="1:15" ht="24.75" customHeight="1" x14ac:dyDescent="0.2">
      <c r="A16" s="127" t="s">
        <v>24</v>
      </c>
      <c r="B16" s="76" t="s">
        <v>145</v>
      </c>
      <c r="C16" s="218">
        <v>0</v>
      </c>
      <c r="D16" s="218">
        <v>2932591</v>
      </c>
      <c r="E16" s="218">
        <v>3819500</v>
      </c>
      <c r="F16" s="218">
        <f>G16-C16-D16-E16</f>
        <v>-2932591</v>
      </c>
      <c r="G16" s="218">
        <v>3819500</v>
      </c>
      <c r="H16" s="250">
        <v>3819500</v>
      </c>
      <c r="I16" s="88" t="s">
        <v>146</v>
      </c>
      <c r="J16" s="218"/>
      <c r="K16" s="216"/>
      <c r="L16" s="216"/>
      <c r="M16" s="216">
        <f t="shared" si="1"/>
        <v>0</v>
      </c>
      <c r="N16" s="218"/>
      <c r="O16" s="250"/>
    </row>
    <row r="17" spans="1:15" ht="12.95" customHeight="1" x14ac:dyDescent="0.2">
      <c r="A17" s="127" t="s">
        <v>25</v>
      </c>
      <c r="B17" s="76" t="s">
        <v>147</v>
      </c>
      <c r="C17" s="218">
        <v>0</v>
      </c>
      <c r="D17" s="218"/>
      <c r="E17" s="218"/>
      <c r="F17" s="218"/>
      <c r="G17" s="218"/>
      <c r="H17" s="250"/>
      <c r="I17" s="76" t="s">
        <v>88</v>
      </c>
      <c r="J17" s="218">
        <v>0</v>
      </c>
      <c r="K17" s="216"/>
      <c r="L17" s="216"/>
      <c r="M17" s="216">
        <f t="shared" si="1"/>
        <v>0</v>
      </c>
      <c r="N17" s="218"/>
      <c r="O17" s="250"/>
    </row>
    <row r="18" spans="1:15" ht="12.95" customHeight="1" thickBot="1" x14ac:dyDescent="0.25">
      <c r="A18" s="127" t="s">
        <v>30</v>
      </c>
      <c r="B18" s="91" t="s">
        <v>148</v>
      </c>
      <c r="C18" s="254">
        <v>0</v>
      </c>
      <c r="D18" s="254"/>
      <c r="E18" s="254"/>
      <c r="F18" s="254"/>
      <c r="G18" s="254"/>
      <c r="H18" s="255"/>
      <c r="I18" s="91" t="s">
        <v>14</v>
      </c>
      <c r="J18" s="251">
        <f>'2. Kiadások'!E23</f>
        <v>0</v>
      </c>
      <c r="K18" s="251"/>
      <c r="L18" s="251"/>
      <c r="M18" s="216">
        <f t="shared" si="1"/>
        <v>0</v>
      </c>
      <c r="N18" s="412"/>
      <c r="O18" s="413"/>
    </row>
    <row r="19" spans="1:15" ht="15.95" customHeight="1" thickBot="1" x14ac:dyDescent="0.25">
      <c r="A19" s="80" t="s">
        <v>30</v>
      </c>
      <c r="B19" s="81" t="s">
        <v>149</v>
      </c>
      <c r="C19" s="223">
        <f t="shared" ref="C19:H19" si="2">C6+C7+C8+C9+C10+C11+C12+C13+C14+C16+C17+C18</f>
        <v>0</v>
      </c>
      <c r="D19" s="223">
        <f t="shared" si="2"/>
        <v>2932591</v>
      </c>
      <c r="E19" s="223">
        <f t="shared" si="2"/>
        <v>38333798</v>
      </c>
      <c r="F19" s="223">
        <f t="shared" si="2"/>
        <v>9996800</v>
      </c>
      <c r="G19" s="223">
        <f t="shared" si="2"/>
        <v>51263189</v>
      </c>
      <c r="H19" s="223">
        <f t="shared" si="2"/>
        <v>51263189</v>
      </c>
      <c r="I19" s="81" t="s">
        <v>12</v>
      </c>
      <c r="J19" s="223">
        <f t="shared" ref="J19:O19" si="3">+J6+J8+J9+J17+J18</f>
        <v>55928334</v>
      </c>
      <c r="K19" s="223">
        <f t="shared" si="3"/>
        <v>359150</v>
      </c>
      <c r="L19" s="223">
        <f t="shared" si="3"/>
        <v>33423416</v>
      </c>
      <c r="M19" s="223">
        <f t="shared" si="3"/>
        <v>-34567775</v>
      </c>
      <c r="N19" s="223">
        <f t="shared" si="3"/>
        <v>55143125</v>
      </c>
      <c r="O19" s="243">
        <f t="shared" si="3"/>
        <v>55143125</v>
      </c>
    </row>
    <row r="20" spans="1:15" ht="12.95" customHeight="1" x14ac:dyDescent="0.2">
      <c r="A20" s="92" t="s">
        <v>26</v>
      </c>
      <c r="B20" s="93" t="s">
        <v>150</v>
      </c>
      <c r="C20" s="252">
        <f>+C21+C22+C23+C24+C25</f>
        <v>55928334</v>
      </c>
      <c r="D20" s="252"/>
      <c r="E20" s="252"/>
      <c r="F20" s="252">
        <f>+F21+F22+F23+F24+F25</f>
        <v>-4778539</v>
      </c>
      <c r="G20" s="252">
        <f>+G21+G22+G23+G24+G25</f>
        <v>51149795</v>
      </c>
      <c r="H20" s="252">
        <f>+H21+H22+H23+H24+H25</f>
        <v>51149795</v>
      </c>
      <c r="I20" s="84" t="s">
        <v>95</v>
      </c>
      <c r="J20" s="234"/>
      <c r="K20" s="234"/>
      <c r="L20" s="234"/>
      <c r="M20" s="234"/>
      <c r="N20" s="234"/>
      <c r="O20" s="235"/>
    </row>
    <row r="21" spans="1:15" ht="12.95" customHeight="1" x14ac:dyDescent="0.2">
      <c r="A21" s="128" t="s">
        <v>54</v>
      </c>
      <c r="B21" s="94" t="s">
        <v>151</v>
      </c>
      <c r="C21" s="227">
        <f>'1. Bevételek'!E46-13074261-395035</f>
        <v>55928334</v>
      </c>
      <c r="D21" s="228"/>
      <c r="E21" s="228"/>
      <c r="F21" s="228">
        <f>G21-C21-E21</f>
        <v>-4778539</v>
      </c>
      <c r="G21" s="228">
        <v>51149795</v>
      </c>
      <c r="H21" s="228">
        <v>51149795</v>
      </c>
      <c r="I21" s="84" t="s">
        <v>152</v>
      </c>
      <c r="J21" s="227"/>
      <c r="K21" s="227"/>
      <c r="L21" s="227"/>
      <c r="M21" s="227"/>
      <c r="N21" s="227"/>
      <c r="O21" s="236"/>
    </row>
    <row r="22" spans="1:15" ht="12.95" customHeight="1" x14ac:dyDescent="0.2">
      <c r="A22" s="92" t="s">
        <v>56</v>
      </c>
      <c r="B22" s="94" t="s">
        <v>153</v>
      </c>
      <c r="C22" s="227"/>
      <c r="D22" s="228"/>
      <c r="E22" s="228"/>
      <c r="F22" s="228"/>
      <c r="G22" s="228"/>
      <c r="H22" s="228"/>
      <c r="I22" s="84" t="s">
        <v>99</v>
      </c>
      <c r="J22" s="227"/>
      <c r="K22" s="227"/>
      <c r="L22" s="227"/>
      <c r="M22" s="227"/>
      <c r="N22" s="227"/>
      <c r="O22" s="236"/>
    </row>
    <row r="23" spans="1:15" ht="12.95" customHeight="1" x14ac:dyDescent="0.2">
      <c r="A23" s="128" t="s">
        <v>27</v>
      </c>
      <c r="B23" s="94" t="s">
        <v>154</v>
      </c>
      <c r="C23" s="227"/>
      <c r="D23" s="228"/>
      <c r="E23" s="228"/>
      <c r="F23" s="228"/>
      <c r="G23" s="228"/>
      <c r="H23" s="228"/>
      <c r="I23" s="84" t="s">
        <v>100</v>
      </c>
      <c r="J23" s="227"/>
      <c r="K23" s="227"/>
      <c r="L23" s="227"/>
      <c r="M23" s="227"/>
      <c r="N23" s="227"/>
      <c r="O23" s="236"/>
    </row>
    <row r="24" spans="1:15" ht="12.95" customHeight="1" x14ac:dyDescent="0.2">
      <c r="A24" s="92" t="s">
        <v>57</v>
      </c>
      <c r="B24" s="94" t="s">
        <v>155</v>
      </c>
      <c r="C24" s="227">
        <v>0</v>
      </c>
      <c r="D24" s="226"/>
      <c r="E24" s="226"/>
      <c r="F24" s="226"/>
      <c r="G24" s="226"/>
      <c r="H24" s="226"/>
      <c r="I24" s="83" t="s">
        <v>15</v>
      </c>
      <c r="J24" s="227"/>
      <c r="K24" s="227"/>
      <c r="L24" s="227"/>
      <c r="M24" s="227"/>
      <c r="N24" s="227"/>
      <c r="O24" s="236"/>
    </row>
    <row r="25" spans="1:15" ht="12.95" customHeight="1" x14ac:dyDescent="0.2">
      <c r="A25" s="128" t="s">
        <v>53</v>
      </c>
      <c r="B25" s="95" t="s">
        <v>156</v>
      </c>
      <c r="C25" s="227"/>
      <c r="D25" s="228"/>
      <c r="E25" s="228"/>
      <c r="F25" s="228"/>
      <c r="G25" s="228"/>
      <c r="H25" s="228"/>
      <c r="I25" s="84" t="s">
        <v>157</v>
      </c>
      <c r="J25" s="227"/>
      <c r="K25" s="227"/>
      <c r="L25" s="227"/>
      <c r="M25" s="227"/>
      <c r="N25" s="227"/>
      <c r="O25" s="236"/>
    </row>
    <row r="26" spans="1:15" ht="12.95" customHeight="1" x14ac:dyDescent="0.2">
      <c r="A26" s="92" t="s">
        <v>67</v>
      </c>
      <c r="B26" s="96" t="s">
        <v>158</v>
      </c>
      <c r="C26" s="224">
        <f>+C27+C28+C29+C30+C31</f>
        <v>0</v>
      </c>
      <c r="D26" s="253"/>
      <c r="E26" s="253"/>
      <c r="F26" s="253"/>
      <c r="G26" s="253"/>
      <c r="H26" s="253"/>
      <c r="I26" s="97" t="s">
        <v>159</v>
      </c>
      <c r="J26" s="227"/>
      <c r="K26" s="227"/>
      <c r="L26" s="227"/>
      <c r="M26" s="227"/>
      <c r="N26" s="227"/>
      <c r="O26" s="236"/>
    </row>
    <row r="27" spans="1:15" ht="12.95" customHeight="1" x14ac:dyDescent="0.2">
      <c r="A27" s="128" t="s">
        <v>106</v>
      </c>
      <c r="B27" s="95" t="s">
        <v>160</v>
      </c>
      <c r="C27" s="227">
        <v>0</v>
      </c>
      <c r="D27" s="233"/>
      <c r="E27" s="233"/>
      <c r="F27" s="233"/>
      <c r="G27" s="233"/>
      <c r="H27" s="233"/>
      <c r="I27" s="97" t="s">
        <v>161</v>
      </c>
      <c r="J27" s="227"/>
      <c r="K27" s="227"/>
      <c r="L27" s="227"/>
      <c r="M27" s="227"/>
      <c r="N27" s="227"/>
      <c r="O27" s="236"/>
    </row>
    <row r="28" spans="1:15" ht="12.95" customHeight="1" x14ac:dyDescent="0.2">
      <c r="A28" s="92" t="s">
        <v>108</v>
      </c>
      <c r="B28" s="95" t="s">
        <v>162</v>
      </c>
      <c r="C28" s="227"/>
      <c r="D28" s="233"/>
      <c r="E28" s="233"/>
      <c r="F28" s="233"/>
      <c r="G28" s="233"/>
      <c r="H28" s="233"/>
      <c r="I28" s="98"/>
      <c r="J28" s="227"/>
      <c r="K28" s="227"/>
      <c r="L28" s="227"/>
      <c r="M28" s="227"/>
      <c r="N28" s="227"/>
      <c r="O28" s="236"/>
    </row>
    <row r="29" spans="1:15" ht="12.95" customHeight="1" x14ac:dyDescent="0.2">
      <c r="A29" s="128" t="s">
        <v>111</v>
      </c>
      <c r="B29" s="94" t="s">
        <v>163</v>
      </c>
      <c r="C29" s="227"/>
      <c r="D29" s="233"/>
      <c r="E29" s="233"/>
      <c r="F29" s="233"/>
      <c r="G29" s="233"/>
      <c r="H29" s="233"/>
      <c r="I29" s="99"/>
      <c r="J29" s="227"/>
      <c r="K29" s="227"/>
      <c r="L29" s="227"/>
      <c r="M29" s="227"/>
      <c r="N29" s="227"/>
      <c r="O29" s="236"/>
    </row>
    <row r="30" spans="1:15" ht="12.95" customHeight="1" x14ac:dyDescent="0.2">
      <c r="A30" s="92" t="s">
        <v>114</v>
      </c>
      <c r="B30" s="100" t="s">
        <v>164</v>
      </c>
      <c r="C30" s="227"/>
      <c r="D30" s="228"/>
      <c r="E30" s="228"/>
      <c r="F30" s="228"/>
      <c r="G30" s="228"/>
      <c r="H30" s="228"/>
      <c r="I30" s="78"/>
      <c r="J30" s="227"/>
      <c r="K30" s="227"/>
      <c r="L30" s="227"/>
      <c r="M30" s="227"/>
      <c r="N30" s="227"/>
      <c r="O30" s="236"/>
    </row>
    <row r="31" spans="1:15" ht="12.95" customHeight="1" thickBot="1" x14ac:dyDescent="0.25">
      <c r="A31" s="128" t="s">
        <v>117</v>
      </c>
      <c r="B31" s="101" t="s">
        <v>165</v>
      </c>
      <c r="C31" s="227"/>
      <c r="D31" s="233"/>
      <c r="E31" s="233"/>
      <c r="F31" s="233"/>
      <c r="G31" s="233"/>
      <c r="H31" s="233"/>
      <c r="I31" s="99"/>
      <c r="J31" s="227"/>
      <c r="K31" s="237"/>
      <c r="L31" s="237"/>
      <c r="M31" s="237"/>
      <c r="N31" s="237"/>
      <c r="O31" s="238"/>
    </row>
    <row r="32" spans="1:15" ht="21.75" customHeight="1" thickBot="1" x14ac:dyDescent="0.25">
      <c r="A32" s="80" t="s">
        <v>120</v>
      </c>
      <c r="B32" s="81" t="s">
        <v>166</v>
      </c>
      <c r="C32" s="223">
        <f t="shared" ref="C32:H32" si="4">+C20+C26</f>
        <v>55928334</v>
      </c>
      <c r="D32" s="223">
        <f t="shared" si="4"/>
        <v>0</v>
      </c>
      <c r="E32" s="223">
        <f t="shared" si="4"/>
        <v>0</v>
      </c>
      <c r="F32" s="223">
        <f t="shared" si="4"/>
        <v>-4778539</v>
      </c>
      <c r="G32" s="223">
        <f t="shared" si="4"/>
        <v>51149795</v>
      </c>
      <c r="H32" s="223">
        <f t="shared" si="4"/>
        <v>51149795</v>
      </c>
      <c r="I32" s="81" t="s">
        <v>167</v>
      </c>
      <c r="J32" s="223">
        <f>SUM(J20:J31)</f>
        <v>0</v>
      </c>
      <c r="K32" s="223">
        <f>SUM(K20:K31)</f>
        <v>0</v>
      </c>
      <c r="L32" s="223"/>
      <c r="M32" s="223"/>
      <c r="N32" s="223"/>
      <c r="O32" s="243"/>
    </row>
    <row r="33" spans="1:15" ht="24.75" thickBot="1" x14ac:dyDescent="0.25">
      <c r="A33" s="80" t="s">
        <v>123</v>
      </c>
      <c r="B33" s="86" t="s">
        <v>168</v>
      </c>
      <c r="C33" s="223">
        <f t="shared" ref="C33:H33" si="5">+C19+C32</f>
        <v>55928334</v>
      </c>
      <c r="D33" s="223">
        <f t="shared" si="5"/>
        <v>2932591</v>
      </c>
      <c r="E33" s="223">
        <f t="shared" si="5"/>
        <v>38333798</v>
      </c>
      <c r="F33" s="223">
        <f t="shared" si="5"/>
        <v>5218261</v>
      </c>
      <c r="G33" s="223">
        <f t="shared" si="5"/>
        <v>102412984</v>
      </c>
      <c r="H33" s="223">
        <f t="shared" si="5"/>
        <v>102412984</v>
      </c>
      <c r="I33" s="86" t="s">
        <v>169</v>
      </c>
      <c r="J33" s="223">
        <f t="shared" ref="J33:O33" si="6">+J19+J32</f>
        <v>55928334</v>
      </c>
      <c r="K33" s="223">
        <f t="shared" si="6"/>
        <v>359150</v>
      </c>
      <c r="L33" s="223">
        <f t="shared" si="6"/>
        <v>33423416</v>
      </c>
      <c r="M33" s="223">
        <f t="shared" si="6"/>
        <v>-34567775</v>
      </c>
      <c r="N33" s="223">
        <f t="shared" si="6"/>
        <v>55143125</v>
      </c>
      <c r="O33" s="243">
        <f t="shared" si="6"/>
        <v>55143125</v>
      </c>
    </row>
    <row r="34" spans="1:15" ht="18" customHeight="1" thickBot="1" x14ac:dyDescent="0.25">
      <c r="A34" s="80" t="s">
        <v>170</v>
      </c>
      <c r="B34" s="81" t="s">
        <v>115</v>
      </c>
      <c r="C34" s="230" t="s">
        <v>171</v>
      </c>
      <c r="D34" s="230"/>
      <c r="E34" s="230"/>
      <c r="F34" s="230"/>
      <c r="G34" s="230"/>
      <c r="H34" s="240"/>
      <c r="I34" s="81" t="s">
        <v>116</v>
      </c>
      <c r="J34" s="230"/>
      <c r="K34" s="230"/>
      <c r="L34" s="230"/>
      <c r="M34" s="230"/>
      <c r="N34" s="230"/>
      <c r="O34" s="240"/>
    </row>
    <row r="35" spans="1:15" ht="13.5" thickBot="1" x14ac:dyDescent="0.25">
      <c r="A35" s="80" t="s">
        <v>172</v>
      </c>
      <c r="B35" s="87" t="s">
        <v>173</v>
      </c>
      <c r="C35" s="232">
        <f t="shared" ref="C35:H35" si="7">SUM(C33:C34)</f>
        <v>55928334</v>
      </c>
      <c r="D35" s="232">
        <f t="shared" si="7"/>
        <v>2932591</v>
      </c>
      <c r="E35" s="232">
        <f t="shared" si="7"/>
        <v>38333798</v>
      </c>
      <c r="F35" s="232">
        <f t="shared" si="7"/>
        <v>5218261</v>
      </c>
      <c r="G35" s="232">
        <f t="shared" si="7"/>
        <v>102412984</v>
      </c>
      <c r="H35" s="232">
        <f t="shared" si="7"/>
        <v>102412984</v>
      </c>
      <c r="I35" s="87" t="s">
        <v>174</v>
      </c>
      <c r="J35" s="232">
        <f>+J33+J34</f>
        <v>55928334</v>
      </c>
      <c r="K35" s="232">
        <f>+K33+K34</f>
        <v>359150</v>
      </c>
      <c r="L35" s="232">
        <f t="shared" ref="L35:M35" si="8">+L33+L34</f>
        <v>33423416</v>
      </c>
      <c r="M35" s="232">
        <f t="shared" si="8"/>
        <v>-34567775</v>
      </c>
      <c r="N35" s="232">
        <f>+N33+N34</f>
        <v>55143125</v>
      </c>
      <c r="O35" s="241">
        <f>+O33+O34</f>
        <v>55143125</v>
      </c>
    </row>
    <row r="36" spans="1:15" ht="13.5" thickBot="1" x14ac:dyDescent="0.25">
      <c r="A36" s="80" t="s">
        <v>175</v>
      </c>
      <c r="B36" s="87" t="s">
        <v>121</v>
      </c>
      <c r="C36" s="232">
        <f>IF(C19-J19&lt;0,J19-C19,"-")</f>
        <v>55928334</v>
      </c>
      <c r="D36" s="410" t="s">
        <v>422</v>
      </c>
      <c r="E36" s="410" t="s">
        <v>422</v>
      </c>
      <c r="F36" s="232" t="str">
        <f>IF(F19-M19&lt;0,M19-F19,"-")</f>
        <v>-</v>
      </c>
      <c r="G36" s="232">
        <f>IF(G19-N19&lt;0,N19-G19,"-")</f>
        <v>3879936</v>
      </c>
      <c r="H36" s="232">
        <f>IF(H19-O19&lt;0,O19-H19,"-")</f>
        <v>3879936</v>
      </c>
      <c r="I36" s="87" t="s">
        <v>122</v>
      </c>
      <c r="J36" s="232" t="str">
        <f>IF(C19-J19&gt;0,C19-J19,"-")</f>
        <v>-</v>
      </c>
      <c r="K36" s="232">
        <v>2573441</v>
      </c>
      <c r="L36" s="410">
        <v>4910382</v>
      </c>
      <c r="M36" s="232">
        <f>IF(F19-M19&gt;0,F19-M19,"-")</f>
        <v>44564575</v>
      </c>
      <c r="N36" s="232" t="str">
        <f>IF(G19-N19&gt;0,G19-N19,"-")</f>
        <v>-</v>
      </c>
      <c r="O36" s="241" t="str">
        <f>IF(H19-O19&gt;0,H19-O19,"-")</f>
        <v>-</v>
      </c>
    </row>
    <row r="37" spans="1:15" ht="13.5" thickBot="1" x14ac:dyDescent="0.25">
      <c r="A37" s="80" t="s">
        <v>176</v>
      </c>
      <c r="B37" s="87" t="s">
        <v>124</v>
      </c>
      <c r="C37" s="232" t="str">
        <f>IF(C19+C20-J33&lt;0,J33-(C19+C20),"-")</f>
        <v>-</v>
      </c>
      <c r="D37" s="232" t="s">
        <v>422</v>
      </c>
      <c r="E37" s="410" t="s">
        <v>422</v>
      </c>
      <c r="F37" s="232" t="str">
        <f>IF(F19+F20-M33&lt;0,M33-(F19+F20),"-")</f>
        <v>-</v>
      </c>
      <c r="G37" s="232" t="str">
        <f>IF(G19+G20-N33&lt;0,N33-(G19+G20),"-")</f>
        <v>-</v>
      </c>
      <c r="H37" s="232" t="str">
        <f>IF(H19+H20-O33&lt;0,O33-(H19+H20),"-")</f>
        <v>-</v>
      </c>
      <c r="I37" s="87" t="s">
        <v>125</v>
      </c>
      <c r="J37" s="232" t="str">
        <f>IF(C19+C20-J33&gt;0,C19+C20-J33,"-")</f>
        <v>-</v>
      </c>
      <c r="K37" s="232">
        <v>2573441</v>
      </c>
      <c r="L37" s="410">
        <v>4910382</v>
      </c>
      <c r="M37" s="232">
        <f>IF(F19+F20-M33&gt;0,F19+F20-M33,"-")</f>
        <v>39786036</v>
      </c>
      <c r="N37" s="232">
        <f>IF(G19+G20-N33&gt;0,G19+G20-N33,"-")</f>
        <v>47269859</v>
      </c>
      <c r="O37" s="241">
        <f>IF(H19+H20-O33&gt;0,H19+H20-O33,"-")</f>
        <v>47269859</v>
      </c>
    </row>
    <row r="40" spans="1:15" x14ac:dyDescent="0.2">
      <c r="G40" s="133" t="s">
        <v>364</v>
      </c>
    </row>
    <row r="43" spans="1:15" x14ac:dyDescent="0.2">
      <c r="I43" s="239" t="s">
        <v>364</v>
      </c>
    </row>
  </sheetData>
  <mergeCells count="2">
    <mergeCell ref="A3:A4"/>
    <mergeCell ref="A1:O1"/>
  </mergeCells>
  <phoneticPr fontId="6" type="noConversion"/>
  <pageMargins left="0.75" right="0.75" top="0.42" bottom="0.22" header="0.17" footer="0.17"/>
  <pageSetup paperSize="9" scale="46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workbookViewId="0">
      <selection activeCell="N44" sqref="N44"/>
    </sheetView>
  </sheetViews>
  <sheetFormatPr defaultRowHeight="15" customHeight="1" x14ac:dyDescent="0.2"/>
  <cols>
    <col min="1" max="1" width="9.28515625" style="2" customWidth="1"/>
    <col min="2" max="2" width="44.7109375" style="2" bestFit="1" customWidth="1"/>
    <col min="3" max="3" width="8.28515625" style="17" bestFit="1" customWidth="1"/>
    <col min="4" max="4" width="14" style="134" bestFit="1" customWidth="1"/>
    <col min="5" max="6" width="14" style="134" customWidth="1"/>
    <col min="7" max="7" width="14" style="416" customWidth="1"/>
    <col min="8" max="9" width="14" style="134" customWidth="1"/>
    <col min="10" max="10" width="9.140625" style="2"/>
    <col min="11" max="11" width="10.140625" style="8" bestFit="1" customWidth="1"/>
    <col min="12" max="12" width="9.5703125" style="8" bestFit="1" customWidth="1"/>
    <col min="13" max="16384" width="9.140625" style="2"/>
  </cols>
  <sheetData>
    <row r="1" spans="1:24" ht="21" customHeight="1" x14ac:dyDescent="0.2">
      <c r="A1" s="503" t="s">
        <v>440</v>
      </c>
      <c r="B1" s="503"/>
      <c r="C1" s="503"/>
      <c r="D1" s="503"/>
      <c r="E1" s="503"/>
      <c r="F1" s="503"/>
      <c r="G1" s="503"/>
      <c r="H1" s="503"/>
      <c r="I1" s="503"/>
    </row>
    <row r="2" spans="1:24" ht="18.75" customHeight="1" x14ac:dyDescent="0.2">
      <c r="A2" s="503" t="s">
        <v>43</v>
      </c>
      <c r="B2" s="503"/>
      <c r="C2" s="503"/>
      <c r="D2" s="503"/>
      <c r="E2" s="503"/>
      <c r="F2" s="503"/>
      <c r="G2" s="503"/>
      <c r="H2" s="503"/>
      <c r="I2" s="503"/>
    </row>
    <row r="3" spans="1:24" ht="15" customHeight="1" thickBot="1" x14ac:dyDescent="0.25">
      <c r="D3" s="17"/>
      <c r="E3" s="17"/>
      <c r="F3" s="17"/>
      <c r="G3" s="488"/>
      <c r="H3" s="17"/>
      <c r="I3" s="281" t="s">
        <v>371</v>
      </c>
    </row>
    <row r="4" spans="1:24" ht="26.25" thickBot="1" x14ac:dyDescent="0.25">
      <c r="A4" s="606" t="s">
        <v>37</v>
      </c>
      <c r="B4" s="607"/>
      <c r="C4" s="291" t="s">
        <v>255</v>
      </c>
      <c r="D4" s="256" t="s">
        <v>359</v>
      </c>
      <c r="E4" s="266" t="s">
        <v>361</v>
      </c>
      <c r="F4" s="266" t="s">
        <v>406</v>
      </c>
      <c r="G4" s="491" t="s">
        <v>443</v>
      </c>
      <c r="H4" s="266" t="s">
        <v>366</v>
      </c>
      <c r="I4" s="104" t="s">
        <v>360</v>
      </c>
      <c r="Q4" s="267"/>
      <c r="R4" s="267"/>
      <c r="S4" s="267"/>
      <c r="T4" s="267"/>
      <c r="U4" s="199"/>
      <c r="V4" s="199"/>
      <c r="W4" s="199"/>
      <c r="X4" s="199"/>
    </row>
    <row r="5" spans="1:24" ht="21" customHeight="1" x14ac:dyDescent="0.2">
      <c r="A5" s="611" t="s">
        <v>20</v>
      </c>
      <c r="B5" s="612"/>
      <c r="C5" s="612"/>
      <c r="D5" s="612"/>
      <c r="E5" s="612"/>
      <c r="F5" s="612"/>
      <c r="G5" s="612"/>
      <c r="H5" s="612"/>
      <c r="I5" s="613"/>
    </row>
    <row r="6" spans="1:24" s="10" customFormat="1" ht="18" customHeight="1" x14ac:dyDescent="0.2">
      <c r="A6" s="614" t="s">
        <v>426</v>
      </c>
      <c r="B6" s="615"/>
      <c r="C6" s="268"/>
      <c r="D6" s="270"/>
      <c r="E6" s="270"/>
      <c r="F6" s="270"/>
      <c r="G6" s="489"/>
      <c r="H6" s="270"/>
      <c r="I6" s="271"/>
      <c r="K6" s="106"/>
      <c r="L6" s="106"/>
    </row>
    <row r="7" spans="1:24" ht="25.5" x14ac:dyDescent="0.2">
      <c r="A7" s="47" t="s">
        <v>38</v>
      </c>
      <c r="B7" s="48" t="s">
        <v>61</v>
      </c>
      <c r="C7" s="49" t="s">
        <v>64</v>
      </c>
      <c r="D7" s="257">
        <f t="shared" ref="D7:I7" si="0">SUM(D8:D9)</f>
        <v>0</v>
      </c>
      <c r="E7" s="257">
        <f t="shared" si="0"/>
        <v>0</v>
      </c>
      <c r="F7" s="257">
        <f t="shared" si="0"/>
        <v>0</v>
      </c>
      <c r="G7" s="257">
        <f t="shared" si="0"/>
        <v>0</v>
      </c>
      <c r="H7" s="257">
        <f t="shared" si="0"/>
        <v>0</v>
      </c>
      <c r="I7" s="50">
        <f t="shared" si="0"/>
        <v>0</v>
      </c>
      <c r="K7" s="276"/>
    </row>
    <row r="8" spans="1:24" ht="25.5" x14ac:dyDescent="0.2">
      <c r="A8" s="21" t="s">
        <v>38</v>
      </c>
      <c r="B8" s="11" t="s">
        <v>65</v>
      </c>
      <c r="C8" s="34"/>
      <c r="D8" s="258">
        <f>'2. Kiadások'!E28</f>
        <v>0</v>
      </c>
      <c r="E8" s="258">
        <v>0</v>
      </c>
      <c r="F8" s="258">
        <v>0</v>
      </c>
      <c r="G8" s="177">
        <v>0</v>
      </c>
      <c r="H8" s="177">
        <v>0</v>
      </c>
      <c r="I8" s="274">
        <v>0</v>
      </c>
      <c r="K8" s="276"/>
    </row>
    <row r="9" spans="1:24" ht="15.75" customHeight="1" x14ac:dyDescent="0.2">
      <c r="A9" s="44"/>
      <c r="B9" s="45"/>
      <c r="C9" s="269"/>
      <c r="D9" s="272"/>
      <c r="E9" s="272"/>
      <c r="F9" s="272"/>
      <c r="G9" s="490"/>
      <c r="H9" s="272"/>
      <c r="I9" s="273"/>
      <c r="K9" s="276"/>
    </row>
    <row r="10" spans="1:24" ht="15" customHeight="1" x14ac:dyDescent="0.2">
      <c r="A10" s="23" t="s">
        <v>39</v>
      </c>
      <c r="B10" s="26" t="s">
        <v>252</v>
      </c>
      <c r="C10" s="32" t="s">
        <v>301</v>
      </c>
      <c r="D10" s="259">
        <f t="shared" ref="D10:I10" si="1">SUM(D11:D11)</f>
        <v>200000</v>
      </c>
      <c r="E10" s="259">
        <f t="shared" si="1"/>
        <v>0</v>
      </c>
      <c r="F10" s="259">
        <f t="shared" si="1"/>
        <v>0</v>
      </c>
      <c r="G10" s="492">
        <f t="shared" si="1"/>
        <v>30000</v>
      </c>
      <c r="H10" s="259">
        <f t="shared" si="1"/>
        <v>230000</v>
      </c>
      <c r="I10" s="37">
        <f t="shared" si="1"/>
        <v>230000</v>
      </c>
      <c r="J10" s="161"/>
      <c r="K10" s="276"/>
    </row>
    <row r="11" spans="1:24" ht="15" customHeight="1" x14ac:dyDescent="0.2">
      <c r="A11" s="21" t="s">
        <v>38</v>
      </c>
      <c r="B11" s="11" t="s">
        <v>383</v>
      </c>
      <c r="C11" s="34"/>
      <c r="D11" s="258">
        <v>200000</v>
      </c>
      <c r="E11" s="258">
        <v>0</v>
      </c>
      <c r="F11" s="258">
        <v>0</v>
      </c>
      <c r="G11" s="177">
        <f>H11-D11-E11</f>
        <v>30000</v>
      </c>
      <c r="H11" s="177">
        <v>230000</v>
      </c>
      <c r="I11" s="274">
        <v>230000</v>
      </c>
      <c r="K11" s="276"/>
    </row>
    <row r="12" spans="1:24" ht="15" customHeight="1" x14ac:dyDescent="0.2">
      <c r="A12" s="278" t="s">
        <v>40</v>
      </c>
      <c r="B12" s="26" t="s">
        <v>369</v>
      </c>
      <c r="C12" s="176" t="s">
        <v>301</v>
      </c>
      <c r="D12" s="259">
        <f t="shared" ref="D12:I12" si="2">SUM(D13)</f>
        <v>0</v>
      </c>
      <c r="E12" s="259">
        <f t="shared" si="2"/>
        <v>0</v>
      </c>
      <c r="F12" s="259">
        <f t="shared" si="2"/>
        <v>0</v>
      </c>
      <c r="G12" s="492">
        <f t="shared" si="2"/>
        <v>64989</v>
      </c>
      <c r="H12" s="259">
        <f t="shared" si="2"/>
        <v>64989</v>
      </c>
      <c r="I12" s="37">
        <f t="shared" si="2"/>
        <v>64989</v>
      </c>
      <c r="K12" s="276"/>
    </row>
    <row r="13" spans="1:24" ht="15" customHeight="1" x14ac:dyDescent="0.2">
      <c r="A13" s="21" t="s">
        <v>38</v>
      </c>
      <c r="B13" s="11" t="s">
        <v>370</v>
      </c>
      <c r="C13" s="34"/>
      <c r="D13" s="258">
        <v>0</v>
      </c>
      <c r="E13" s="258">
        <v>0</v>
      </c>
      <c r="F13" s="258">
        <v>0</v>
      </c>
      <c r="G13" s="279">
        <f>H13-D13-E13</f>
        <v>64989</v>
      </c>
      <c r="H13" s="279">
        <v>64989</v>
      </c>
      <c r="I13" s="274">
        <v>64989</v>
      </c>
      <c r="K13" s="276"/>
    </row>
    <row r="14" spans="1:24" ht="26.25" customHeight="1" x14ac:dyDescent="0.2">
      <c r="A14" s="23" t="s">
        <v>41</v>
      </c>
      <c r="B14" s="24" t="s">
        <v>33</v>
      </c>
      <c r="C14" s="32" t="s">
        <v>301</v>
      </c>
      <c r="D14" s="259">
        <f t="shared" ref="D14:I14" si="3">SUM(D15:D18)</f>
        <v>8289064</v>
      </c>
      <c r="E14" s="259">
        <f t="shared" si="3"/>
        <v>0</v>
      </c>
      <c r="F14" s="259">
        <f t="shared" si="3"/>
        <v>0</v>
      </c>
      <c r="G14" s="259">
        <f t="shared" si="3"/>
        <v>-1927731</v>
      </c>
      <c r="H14" s="259">
        <f t="shared" si="3"/>
        <v>6361333</v>
      </c>
      <c r="I14" s="37">
        <f t="shared" si="3"/>
        <v>6361333</v>
      </c>
      <c r="J14" s="161"/>
      <c r="K14" s="276"/>
    </row>
    <row r="15" spans="1:24" ht="15" customHeight="1" x14ac:dyDescent="0.2">
      <c r="A15" s="21" t="s">
        <v>38</v>
      </c>
      <c r="B15" s="5" t="s">
        <v>59</v>
      </c>
      <c r="C15" s="34"/>
      <c r="D15" s="258">
        <v>0</v>
      </c>
      <c r="E15" s="258">
        <v>0</v>
      </c>
      <c r="F15" s="258">
        <v>0</v>
      </c>
      <c r="G15" s="177">
        <f>H15-D15-E15</f>
        <v>0</v>
      </c>
      <c r="H15" s="177">
        <v>0</v>
      </c>
      <c r="I15" s="274"/>
      <c r="K15" s="276"/>
    </row>
    <row r="16" spans="1:24" ht="15" customHeight="1" x14ac:dyDescent="0.2">
      <c r="A16" s="21" t="s">
        <v>39</v>
      </c>
      <c r="B16" s="6" t="s">
        <v>322</v>
      </c>
      <c r="C16" s="7"/>
      <c r="D16" s="260">
        <v>5000000</v>
      </c>
      <c r="E16" s="260">
        <v>0</v>
      </c>
      <c r="F16" s="260">
        <v>0</v>
      </c>
      <c r="G16" s="177">
        <f t="shared" ref="G16:G18" si="4">H16-D16-E16</f>
        <v>-1934731</v>
      </c>
      <c r="H16" s="163">
        <v>3065269</v>
      </c>
      <c r="I16" s="275">
        <v>3065269</v>
      </c>
      <c r="K16" s="276"/>
    </row>
    <row r="17" spans="1:12" ht="15" customHeight="1" x14ac:dyDescent="0.2">
      <c r="A17" s="21" t="s">
        <v>40</v>
      </c>
      <c r="B17" s="6" t="s">
        <v>428</v>
      </c>
      <c r="C17" s="7"/>
      <c r="D17" s="260">
        <v>2789064</v>
      </c>
      <c r="E17" s="260">
        <v>0</v>
      </c>
      <c r="F17" s="260">
        <v>0</v>
      </c>
      <c r="G17" s="177">
        <f t="shared" si="4"/>
        <v>0</v>
      </c>
      <c r="H17" s="163">
        <v>2789064</v>
      </c>
      <c r="I17" s="275">
        <v>2789064</v>
      </c>
      <c r="K17" s="276"/>
    </row>
    <row r="18" spans="1:12" ht="15" customHeight="1" x14ac:dyDescent="0.2">
      <c r="A18" s="21" t="s">
        <v>41</v>
      </c>
      <c r="B18" s="6" t="s">
        <v>323</v>
      </c>
      <c r="C18" s="34"/>
      <c r="D18" s="260">
        <v>500000</v>
      </c>
      <c r="E18" s="260">
        <v>0</v>
      </c>
      <c r="F18" s="260">
        <v>0</v>
      </c>
      <c r="G18" s="177">
        <f t="shared" si="4"/>
        <v>7000</v>
      </c>
      <c r="H18" s="163">
        <v>507000</v>
      </c>
      <c r="I18" s="275">
        <v>507000</v>
      </c>
      <c r="K18" s="276"/>
    </row>
    <row r="19" spans="1:12" ht="22.5" customHeight="1" x14ac:dyDescent="0.2">
      <c r="A19" s="23" t="s">
        <v>42</v>
      </c>
      <c r="B19" s="24" t="s">
        <v>60</v>
      </c>
      <c r="C19" s="32" t="s">
        <v>301</v>
      </c>
      <c r="D19" s="259">
        <f t="shared" ref="D19:I19" si="5">SUM(D20:D20)</f>
        <v>60000</v>
      </c>
      <c r="E19" s="259">
        <f t="shared" si="5"/>
        <v>0</v>
      </c>
      <c r="F19" s="259">
        <f t="shared" si="5"/>
        <v>0</v>
      </c>
      <c r="G19" s="259">
        <f t="shared" si="5"/>
        <v>-1800</v>
      </c>
      <c r="H19" s="259">
        <f t="shared" si="5"/>
        <v>58200</v>
      </c>
      <c r="I19" s="37">
        <f t="shared" si="5"/>
        <v>58200</v>
      </c>
      <c r="J19" s="161"/>
      <c r="K19" s="276"/>
    </row>
    <row r="20" spans="1:12" ht="12.75" x14ac:dyDescent="0.2">
      <c r="A20" s="21" t="s">
        <v>38</v>
      </c>
      <c r="B20" s="6" t="s">
        <v>321</v>
      </c>
      <c r="C20" s="34"/>
      <c r="D20" s="260">
        <v>60000</v>
      </c>
      <c r="E20" s="260">
        <v>0</v>
      </c>
      <c r="F20" s="260">
        <v>0</v>
      </c>
      <c r="G20" s="163">
        <f>H20-D20-E20</f>
        <v>-1800</v>
      </c>
      <c r="H20" s="163">
        <v>58200</v>
      </c>
      <c r="I20" s="275">
        <v>58200</v>
      </c>
      <c r="K20" s="276"/>
    </row>
    <row r="21" spans="1:12" ht="23.25" customHeight="1" x14ac:dyDescent="0.2">
      <c r="A21" s="600" t="s">
        <v>0</v>
      </c>
      <c r="B21" s="601"/>
      <c r="C21" s="35" t="s">
        <v>301</v>
      </c>
      <c r="D21" s="261">
        <f>D10+D14+D19</f>
        <v>8549064</v>
      </c>
      <c r="E21" s="261">
        <f>E10+E14+E19</f>
        <v>0</v>
      </c>
      <c r="F21" s="261">
        <f>F10+F14+F19</f>
        <v>0</v>
      </c>
      <c r="G21" s="493">
        <f>G10+G12+G14+G19</f>
        <v>-1834542</v>
      </c>
      <c r="H21" s="493">
        <f t="shared" ref="H21" si="6">H10+H12+H14+H19</f>
        <v>6714522</v>
      </c>
      <c r="I21" s="494">
        <f>I10+I12+I14+I19</f>
        <v>6714522</v>
      </c>
      <c r="K21" s="276"/>
      <c r="L21" s="276"/>
    </row>
    <row r="22" spans="1:12" ht="23.25" customHeight="1" x14ac:dyDescent="0.2">
      <c r="A22" s="614" t="s">
        <v>427</v>
      </c>
      <c r="B22" s="615"/>
      <c r="C22" s="418"/>
      <c r="D22" s="419"/>
      <c r="E22" s="419"/>
      <c r="F22" s="419"/>
      <c r="G22" s="419"/>
      <c r="H22" s="419"/>
      <c r="I22" s="420"/>
      <c r="K22" s="276"/>
      <c r="L22" s="276"/>
    </row>
    <row r="23" spans="1:12" ht="22.5" customHeight="1" x14ac:dyDescent="0.2">
      <c r="A23" s="25" t="s">
        <v>38</v>
      </c>
      <c r="B23" s="24" t="s">
        <v>33</v>
      </c>
      <c r="C23" s="32" t="s">
        <v>62</v>
      </c>
      <c r="D23" s="262">
        <f t="shared" ref="D23:I23" si="7">SUM(D24:D24)</f>
        <v>0</v>
      </c>
      <c r="E23" s="262">
        <f t="shared" si="7"/>
        <v>359150</v>
      </c>
      <c r="F23" s="262">
        <f t="shared" si="7"/>
        <v>0</v>
      </c>
      <c r="G23" s="262">
        <f t="shared" si="7"/>
        <v>0</v>
      </c>
      <c r="H23" s="262">
        <f t="shared" si="7"/>
        <v>359150</v>
      </c>
      <c r="I23" s="20">
        <f t="shared" si="7"/>
        <v>359150</v>
      </c>
      <c r="K23" s="276"/>
    </row>
    <row r="24" spans="1:12" ht="21" customHeight="1" x14ac:dyDescent="0.2">
      <c r="A24" s="21" t="s">
        <v>38</v>
      </c>
      <c r="B24" s="11" t="s">
        <v>367</v>
      </c>
      <c r="C24" s="34"/>
      <c r="D24" s="260">
        <v>0</v>
      </c>
      <c r="E24" s="260">
        <v>359150</v>
      </c>
      <c r="F24" s="260">
        <v>0</v>
      </c>
      <c r="G24" s="163">
        <f>H24-D24-E24</f>
        <v>0</v>
      </c>
      <c r="H24" s="163">
        <v>359150</v>
      </c>
      <c r="I24" s="275">
        <v>359150</v>
      </c>
      <c r="K24" s="276"/>
      <c r="L24" s="8" t="s">
        <v>364</v>
      </c>
    </row>
    <row r="25" spans="1:12" ht="21" customHeight="1" thickBot="1" x14ac:dyDescent="0.25">
      <c r="A25" s="602" t="s">
        <v>7</v>
      </c>
      <c r="B25" s="603"/>
      <c r="C25" s="33" t="s">
        <v>62</v>
      </c>
      <c r="D25" s="263">
        <f t="shared" ref="D25:I25" si="8">D23</f>
        <v>0</v>
      </c>
      <c r="E25" s="263">
        <f t="shared" si="8"/>
        <v>359150</v>
      </c>
      <c r="F25" s="263">
        <f t="shared" si="8"/>
        <v>0</v>
      </c>
      <c r="G25" s="495">
        <f t="shared" si="8"/>
        <v>0</v>
      </c>
      <c r="H25" s="263">
        <f t="shared" si="8"/>
        <v>359150</v>
      </c>
      <c r="I25" s="9">
        <f t="shared" si="8"/>
        <v>359150</v>
      </c>
      <c r="K25" s="276"/>
    </row>
    <row r="26" spans="1:12" ht="18" customHeight="1" thickBot="1" x14ac:dyDescent="0.25">
      <c r="A26" s="604" t="s">
        <v>18</v>
      </c>
      <c r="B26" s="605"/>
      <c r="C26" s="426"/>
      <c r="D26" s="264">
        <f t="shared" ref="D26:I26" si="9">D21+D25</f>
        <v>8549064</v>
      </c>
      <c r="E26" s="264">
        <f t="shared" si="9"/>
        <v>359150</v>
      </c>
      <c r="F26" s="264">
        <f t="shared" si="9"/>
        <v>0</v>
      </c>
      <c r="G26" s="496">
        <f t="shared" si="9"/>
        <v>-1834542</v>
      </c>
      <c r="H26" s="264">
        <f t="shared" si="9"/>
        <v>7073672</v>
      </c>
      <c r="I26" s="12">
        <f t="shared" si="9"/>
        <v>7073672</v>
      </c>
      <c r="J26" s="161"/>
      <c r="K26" s="276"/>
    </row>
    <row r="27" spans="1:12" ht="21" customHeight="1" x14ac:dyDescent="0.2">
      <c r="A27" s="611" t="s">
        <v>21</v>
      </c>
      <c r="B27" s="612"/>
      <c r="C27" s="612"/>
      <c r="D27" s="612"/>
      <c r="E27" s="612"/>
      <c r="F27" s="612"/>
      <c r="G27" s="612"/>
      <c r="H27" s="612"/>
      <c r="I27" s="613"/>
      <c r="K27" s="276"/>
    </row>
    <row r="28" spans="1:12" ht="15" customHeight="1" x14ac:dyDescent="0.2">
      <c r="A28" s="608" t="s">
        <v>19</v>
      </c>
      <c r="B28" s="609"/>
      <c r="C28" s="609"/>
      <c r="D28" s="609"/>
      <c r="E28" s="609"/>
      <c r="F28" s="609"/>
      <c r="G28" s="609"/>
      <c r="H28" s="609"/>
      <c r="I28" s="610"/>
      <c r="K28" s="276"/>
    </row>
    <row r="29" spans="1:12" ht="15" customHeight="1" x14ac:dyDescent="0.2">
      <c r="A29" s="27" t="s">
        <v>38</v>
      </c>
      <c r="B29" s="248" t="s">
        <v>8</v>
      </c>
      <c r="C29" s="32" t="s">
        <v>302</v>
      </c>
      <c r="D29" s="262">
        <f t="shared" ref="D29:I29" si="10">SUM(D30:D30)</f>
        <v>0</v>
      </c>
      <c r="E29" s="262">
        <f t="shared" si="10"/>
        <v>0</v>
      </c>
      <c r="F29" s="262">
        <f t="shared" si="10"/>
        <v>0</v>
      </c>
      <c r="G29" s="262">
        <f t="shared" si="10"/>
        <v>0</v>
      </c>
      <c r="H29" s="262">
        <f t="shared" si="10"/>
        <v>0</v>
      </c>
      <c r="I29" s="20">
        <f t="shared" si="10"/>
        <v>0</v>
      </c>
      <c r="J29" s="161"/>
      <c r="K29" s="276"/>
    </row>
    <row r="30" spans="1:12" ht="15" customHeight="1" x14ac:dyDescent="0.2">
      <c r="A30" s="22"/>
      <c r="B30" s="4"/>
      <c r="C30" s="34"/>
      <c r="D30" s="260"/>
      <c r="E30" s="260">
        <v>0</v>
      </c>
      <c r="F30" s="260">
        <v>0</v>
      </c>
      <c r="G30" s="163">
        <v>0</v>
      </c>
      <c r="H30" s="163">
        <v>0</v>
      </c>
      <c r="I30" s="275">
        <v>0</v>
      </c>
      <c r="K30" s="276"/>
    </row>
    <row r="31" spans="1:12" ht="15" customHeight="1" x14ac:dyDescent="0.2">
      <c r="A31" s="27" t="s">
        <v>39</v>
      </c>
      <c r="B31" s="248" t="s">
        <v>58</v>
      </c>
      <c r="C31" s="32" t="s">
        <v>302</v>
      </c>
      <c r="D31" s="262">
        <f t="shared" ref="D31:I31" si="11">SUM(D32:D32)</f>
        <v>0</v>
      </c>
      <c r="E31" s="262">
        <f t="shared" si="11"/>
        <v>0</v>
      </c>
      <c r="F31" s="262">
        <f t="shared" si="11"/>
        <v>0</v>
      </c>
      <c r="G31" s="262">
        <f t="shared" si="11"/>
        <v>0</v>
      </c>
      <c r="H31" s="262">
        <f t="shared" si="11"/>
        <v>0</v>
      </c>
      <c r="I31" s="20">
        <f t="shared" si="11"/>
        <v>0</v>
      </c>
      <c r="J31" s="161"/>
      <c r="K31" s="276"/>
    </row>
    <row r="32" spans="1:12" ht="15" customHeight="1" x14ac:dyDescent="0.2">
      <c r="A32" s="22"/>
      <c r="B32" s="19"/>
      <c r="C32" s="34"/>
      <c r="D32" s="260"/>
      <c r="E32" s="260">
        <v>0</v>
      </c>
      <c r="F32" s="260">
        <v>0</v>
      </c>
      <c r="G32" s="163">
        <v>0</v>
      </c>
      <c r="H32" s="163">
        <v>0</v>
      </c>
      <c r="I32" s="275">
        <v>0</v>
      </c>
      <c r="K32" s="276"/>
    </row>
    <row r="33" spans="1:11" ht="15" customHeight="1" x14ac:dyDescent="0.2">
      <c r="A33" s="25" t="s">
        <v>40</v>
      </c>
      <c r="B33" s="248" t="s">
        <v>66</v>
      </c>
      <c r="C33" s="32" t="s">
        <v>302</v>
      </c>
      <c r="D33" s="262">
        <f t="shared" ref="D33:I33" si="12">SUM(D34:D39)</f>
        <v>2512000</v>
      </c>
      <c r="E33" s="262">
        <f t="shared" si="12"/>
        <v>0</v>
      </c>
      <c r="F33" s="262">
        <f t="shared" si="12"/>
        <v>0</v>
      </c>
      <c r="G33" s="262">
        <f t="shared" si="12"/>
        <v>-630000</v>
      </c>
      <c r="H33" s="262">
        <f t="shared" si="12"/>
        <v>1882000</v>
      </c>
      <c r="I33" s="20">
        <f t="shared" si="12"/>
        <v>1882000</v>
      </c>
      <c r="J33" s="161"/>
      <c r="K33" s="276"/>
    </row>
    <row r="34" spans="1:11" ht="15" customHeight="1" x14ac:dyDescent="0.2">
      <c r="A34" s="22" t="s">
        <v>38</v>
      </c>
      <c r="B34" s="19" t="s">
        <v>324</v>
      </c>
      <c r="C34" s="34"/>
      <c r="D34" s="260">
        <v>800000</v>
      </c>
      <c r="E34" s="260">
        <v>0</v>
      </c>
      <c r="F34" s="260">
        <v>0</v>
      </c>
      <c r="G34" s="163">
        <f>H34-D34-E34</f>
        <v>-180000</v>
      </c>
      <c r="H34" s="163">
        <v>620000</v>
      </c>
      <c r="I34" s="275">
        <v>620000</v>
      </c>
      <c r="K34" s="276"/>
    </row>
    <row r="35" spans="1:11" ht="15" customHeight="1" x14ac:dyDescent="0.2">
      <c r="A35" s="22" t="s">
        <v>39</v>
      </c>
      <c r="B35" s="19" t="s">
        <v>55</v>
      </c>
      <c r="C35" s="34"/>
      <c r="D35" s="260">
        <v>400000</v>
      </c>
      <c r="E35" s="260">
        <v>0</v>
      </c>
      <c r="F35" s="260">
        <v>0</v>
      </c>
      <c r="G35" s="163">
        <f t="shared" ref="G35:G39" si="13">H35-D35-E35</f>
        <v>-50000</v>
      </c>
      <c r="H35" s="163">
        <v>350000</v>
      </c>
      <c r="I35" s="275">
        <v>350000</v>
      </c>
      <c r="K35" s="276"/>
    </row>
    <row r="36" spans="1:11" ht="15" customHeight="1" x14ac:dyDescent="0.2">
      <c r="A36" s="22" t="s">
        <v>40</v>
      </c>
      <c r="B36" s="11" t="s">
        <v>325</v>
      </c>
      <c r="C36" s="34"/>
      <c r="D36" s="260">
        <v>300000</v>
      </c>
      <c r="E36" s="260">
        <v>0</v>
      </c>
      <c r="F36" s="260">
        <v>0</v>
      </c>
      <c r="G36" s="163">
        <f t="shared" si="13"/>
        <v>0</v>
      </c>
      <c r="H36" s="163">
        <v>300000</v>
      </c>
      <c r="I36" s="275">
        <v>300000</v>
      </c>
      <c r="K36" s="276"/>
    </row>
    <row r="37" spans="1:11" ht="15" customHeight="1" x14ac:dyDescent="0.2">
      <c r="A37" s="22" t="s">
        <v>41</v>
      </c>
      <c r="B37" s="19" t="s">
        <v>326</v>
      </c>
      <c r="C37" s="34"/>
      <c r="D37" s="260">
        <v>400000</v>
      </c>
      <c r="E37" s="260">
        <v>0</v>
      </c>
      <c r="F37" s="260">
        <v>0</v>
      </c>
      <c r="G37" s="163">
        <f t="shared" si="13"/>
        <v>-400000</v>
      </c>
      <c r="H37" s="163">
        <v>0</v>
      </c>
      <c r="I37" s="275">
        <v>0</v>
      </c>
      <c r="K37" s="276"/>
    </row>
    <row r="38" spans="1:11" ht="15" customHeight="1" x14ac:dyDescent="0.2">
      <c r="A38" s="22" t="s">
        <v>42</v>
      </c>
      <c r="B38" s="19" t="s">
        <v>327</v>
      </c>
      <c r="C38" s="34"/>
      <c r="D38" s="260">
        <v>600000</v>
      </c>
      <c r="E38" s="260">
        <v>0</v>
      </c>
      <c r="F38" s="260">
        <v>0</v>
      </c>
      <c r="G38" s="163">
        <f t="shared" si="13"/>
        <v>0</v>
      </c>
      <c r="H38" s="163">
        <v>600000</v>
      </c>
      <c r="I38" s="275">
        <v>600000</v>
      </c>
      <c r="K38" s="276"/>
    </row>
    <row r="39" spans="1:11" ht="15" customHeight="1" x14ac:dyDescent="0.2">
      <c r="A39" s="22" t="s">
        <v>47</v>
      </c>
      <c r="B39" s="19" t="s">
        <v>183</v>
      </c>
      <c r="C39" s="34"/>
      <c r="D39" s="260">
        <v>12000</v>
      </c>
      <c r="E39" s="260">
        <v>0</v>
      </c>
      <c r="F39" s="260">
        <v>0</v>
      </c>
      <c r="G39" s="163">
        <f t="shared" si="13"/>
        <v>0</v>
      </c>
      <c r="H39" s="163">
        <v>12000</v>
      </c>
      <c r="I39" s="275">
        <v>12000</v>
      </c>
      <c r="K39" s="276"/>
    </row>
    <row r="40" spans="1:11" ht="18" customHeight="1" x14ac:dyDescent="0.2">
      <c r="A40" s="600" t="s">
        <v>9</v>
      </c>
      <c r="B40" s="601"/>
      <c r="C40" s="417" t="s">
        <v>302</v>
      </c>
      <c r="D40" s="261">
        <f t="shared" ref="D40:I40" si="14">D29+D31+D33</f>
        <v>2512000</v>
      </c>
      <c r="E40" s="261">
        <f t="shared" si="14"/>
        <v>0</v>
      </c>
      <c r="F40" s="261">
        <f t="shared" si="14"/>
        <v>0</v>
      </c>
      <c r="G40" s="493">
        <f t="shared" si="14"/>
        <v>-630000</v>
      </c>
      <c r="H40" s="493">
        <f t="shared" si="14"/>
        <v>1882000</v>
      </c>
      <c r="I40" s="494">
        <f t="shared" si="14"/>
        <v>1882000</v>
      </c>
      <c r="K40" s="276"/>
    </row>
    <row r="41" spans="1:11" ht="15" customHeight="1" x14ac:dyDescent="0.2">
      <c r="A41" s="608" t="s">
        <v>328</v>
      </c>
      <c r="B41" s="609"/>
      <c r="C41" s="609"/>
      <c r="D41" s="609"/>
      <c r="E41" s="609"/>
      <c r="F41" s="609"/>
      <c r="G41" s="609"/>
      <c r="H41" s="609"/>
      <c r="I41" s="610"/>
      <c r="K41" s="276"/>
    </row>
    <row r="42" spans="1:11" ht="15" customHeight="1" x14ac:dyDescent="0.2">
      <c r="A42" s="277" t="s">
        <v>38</v>
      </c>
      <c r="B42" s="174" t="s">
        <v>329</v>
      </c>
      <c r="C42" s="176" t="s">
        <v>330</v>
      </c>
      <c r="D42" s="265">
        <f t="shared" ref="D42:I42" si="15">D43</f>
        <v>978000</v>
      </c>
      <c r="E42" s="265">
        <f t="shared" si="15"/>
        <v>0</v>
      </c>
      <c r="F42" s="265">
        <f t="shared" si="15"/>
        <v>0</v>
      </c>
      <c r="G42" s="265">
        <f t="shared" si="15"/>
        <v>-24364</v>
      </c>
      <c r="H42" s="265">
        <f t="shared" si="15"/>
        <v>953636</v>
      </c>
      <c r="I42" s="175">
        <f t="shared" si="15"/>
        <v>953636</v>
      </c>
      <c r="K42" s="276"/>
    </row>
    <row r="43" spans="1:11" ht="15" customHeight="1" x14ac:dyDescent="0.2">
      <c r="A43" s="22" t="s">
        <v>38</v>
      </c>
      <c r="B43" s="4" t="s">
        <v>368</v>
      </c>
      <c r="C43" s="34"/>
      <c r="D43" s="260">
        <v>978000</v>
      </c>
      <c r="E43" s="260">
        <v>0</v>
      </c>
      <c r="F43" s="260">
        <v>0</v>
      </c>
      <c r="G43" s="163">
        <f>H43-D43-E43</f>
        <v>-24364</v>
      </c>
      <c r="H43" s="163">
        <v>953636</v>
      </c>
      <c r="I43" s="275">
        <v>953636</v>
      </c>
      <c r="K43" s="276"/>
    </row>
    <row r="44" spans="1:11" ht="18" customHeight="1" x14ac:dyDescent="0.2">
      <c r="A44" s="600" t="s">
        <v>331</v>
      </c>
      <c r="B44" s="601"/>
      <c r="C44" s="417" t="s">
        <v>330</v>
      </c>
      <c r="D44" s="261">
        <f t="shared" ref="D44:I44" si="16">D42</f>
        <v>978000</v>
      </c>
      <c r="E44" s="261">
        <f t="shared" si="16"/>
        <v>0</v>
      </c>
      <c r="F44" s="261">
        <f t="shared" si="16"/>
        <v>0</v>
      </c>
      <c r="G44" s="493">
        <f t="shared" si="16"/>
        <v>-24364</v>
      </c>
      <c r="H44" s="493">
        <f t="shared" si="16"/>
        <v>953636</v>
      </c>
      <c r="I44" s="494">
        <f t="shared" si="16"/>
        <v>953636</v>
      </c>
      <c r="K44" s="276"/>
    </row>
    <row r="45" spans="1:11" ht="18" customHeight="1" x14ac:dyDescent="0.2">
      <c r="A45" s="600" t="s">
        <v>424</v>
      </c>
      <c r="B45" s="601"/>
      <c r="C45" s="427"/>
      <c r="D45" s="415">
        <f>D40+D44</f>
        <v>3490000</v>
      </c>
      <c r="E45" s="415">
        <f>E40+E44</f>
        <v>0</v>
      </c>
      <c r="F45" s="415">
        <f>F40+F44</f>
        <v>0</v>
      </c>
      <c r="G45" s="497">
        <f>G40+G44</f>
        <v>-654364</v>
      </c>
      <c r="H45" s="497">
        <f t="shared" ref="H45:I45" si="17">H40+H44</f>
        <v>2835636</v>
      </c>
      <c r="I45" s="498">
        <f t="shared" si="17"/>
        <v>2835636</v>
      </c>
      <c r="K45" s="276"/>
    </row>
    <row r="46" spans="1:11" ht="18" customHeight="1" thickBot="1" x14ac:dyDescent="0.25">
      <c r="A46" s="598" t="s">
        <v>425</v>
      </c>
      <c r="B46" s="599"/>
      <c r="C46" s="305"/>
      <c r="D46" s="263">
        <f>D26+D45</f>
        <v>12039064</v>
      </c>
      <c r="E46" s="263">
        <f>E26+E45</f>
        <v>359150</v>
      </c>
      <c r="F46" s="263">
        <f>F26+F45</f>
        <v>0</v>
      </c>
      <c r="G46" s="495">
        <f>G26+G45</f>
        <v>-2488906</v>
      </c>
      <c r="H46" s="495">
        <f t="shared" ref="H46:I46" si="18">H26+H45</f>
        <v>9909308</v>
      </c>
      <c r="I46" s="499">
        <f t="shared" si="18"/>
        <v>9909308</v>
      </c>
      <c r="K46" s="276"/>
    </row>
    <row r="48" spans="1:11" ht="15" customHeight="1" x14ac:dyDescent="0.2">
      <c r="E48" s="416"/>
      <c r="F48" s="416"/>
      <c r="H48" s="416"/>
      <c r="I48" s="416"/>
    </row>
  </sheetData>
  <mergeCells count="16">
    <mergeCell ref="A4:B4"/>
    <mergeCell ref="A1:I1"/>
    <mergeCell ref="A2:I2"/>
    <mergeCell ref="A44:B44"/>
    <mergeCell ref="A40:B40"/>
    <mergeCell ref="A28:I28"/>
    <mergeCell ref="A41:I41"/>
    <mergeCell ref="A5:I5"/>
    <mergeCell ref="A27:I27"/>
    <mergeCell ref="A6:B6"/>
    <mergeCell ref="A22:B22"/>
    <mergeCell ref="A46:B46"/>
    <mergeCell ref="A21:B21"/>
    <mergeCell ref="A25:B25"/>
    <mergeCell ref="A26:B26"/>
    <mergeCell ref="A45:B45"/>
  </mergeCells>
  <phoneticPr fontId="6" type="noConversion"/>
  <printOptions horizontalCentered="1"/>
  <pageMargins left="0.59055118110236227" right="0.59055118110236227" top="0.55118110236220474" bottom="0.39370078740157483" header="0.27559055118110237" footer="0.19685039370078741"/>
  <pageSetup paperSize="9" scale="53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5"/>
  <sheetViews>
    <sheetView topLeftCell="A34" workbookViewId="0">
      <selection activeCell="N41" sqref="N41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4.28515625" style="2" bestFit="1" customWidth="1"/>
    <col min="6" max="6" width="7.28515625" style="17" bestFit="1" customWidth="1"/>
    <col min="7" max="12" width="12.28515625" style="134" customWidth="1"/>
    <col min="13" max="13" width="15.7109375" style="2" customWidth="1"/>
    <col min="14" max="14" width="10.85546875" style="8" bestFit="1" customWidth="1"/>
    <col min="15" max="16384" width="9.140625" style="2"/>
  </cols>
  <sheetData>
    <row r="1" spans="1:14" ht="15" customHeight="1" x14ac:dyDescent="0.2">
      <c r="A1" s="503" t="s">
        <v>440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</row>
    <row r="2" spans="1:14" ht="19.5" customHeight="1" x14ac:dyDescent="0.2">
      <c r="A2" s="503" t="s">
        <v>48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</row>
    <row r="3" spans="1:14" ht="15" customHeight="1" thickBot="1" x14ac:dyDescent="0.25">
      <c r="A3" s="3"/>
      <c r="B3" s="3"/>
      <c r="C3" s="10"/>
      <c r="D3" s="10"/>
      <c r="E3" s="3"/>
      <c r="F3" s="18"/>
      <c r="J3" s="15"/>
      <c r="K3" s="15"/>
      <c r="L3" s="15" t="s">
        <v>186</v>
      </c>
    </row>
    <row r="4" spans="1:14" ht="42.75" customHeight="1" thickBot="1" x14ac:dyDescent="0.25">
      <c r="A4" s="606" t="s">
        <v>37</v>
      </c>
      <c r="B4" s="607"/>
      <c r="C4" s="607"/>
      <c r="D4" s="607"/>
      <c r="E4" s="607"/>
      <c r="F4" s="291" t="s">
        <v>255</v>
      </c>
      <c r="G4" s="282" t="s">
        <v>359</v>
      </c>
      <c r="H4" s="282" t="s">
        <v>361</v>
      </c>
      <c r="I4" s="266" t="s">
        <v>406</v>
      </c>
      <c r="J4" s="266" t="s">
        <v>443</v>
      </c>
      <c r="K4" s="266" t="s">
        <v>366</v>
      </c>
      <c r="L4" s="104" t="s">
        <v>360</v>
      </c>
    </row>
    <row r="5" spans="1:14" ht="18" customHeight="1" x14ac:dyDescent="0.2">
      <c r="A5" s="641" t="s">
        <v>38</v>
      </c>
      <c r="B5" s="648" t="s">
        <v>32</v>
      </c>
      <c r="C5" s="612"/>
      <c r="D5" s="612"/>
      <c r="E5" s="612"/>
      <c r="F5" s="612"/>
      <c r="G5" s="612"/>
      <c r="H5" s="421"/>
      <c r="I5" s="483"/>
      <c r="J5" s="293"/>
      <c r="K5" s="293"/>
      <c r="L5" s="294"/>
    </row>
    <row r="6" spans="1:14" ht="15" customHeight="1" x14ac:dyDescent="0.2">
      <c r="A6" s="617"/>
      <c r="B6" s="634" t="s">
        <v>38</v>
      </c>
      <c r="C6" s="623" t="s">
        <v>36</v>
      </c>
      <c r="D6" s="624"/>
      <c r="E6" s="625"/>
      <c r="F6" s="38" t="s">
        <v>332</v>
      </c>
      <c r="G6" s="262">
        <f t="shared" ref="G6:L6" si="0">SUM(G7:G8)</f>
        <v>750000</v>
      </c>
      <c r="H6" s="262">
        <f t="shared" si="0"/>
        <v>0</v>
      </c>
      <c r="I6" s="262">
        <f t="shared" si="0"/>
        <v>0</v>
      </c>
      <c r="J6" s="262">
        <f t="shared" si="0"/>
        <v>-637500</v>
      </c>
      <c r="K6" s="262">
        <f t="shared" si="0"/>
        <v>112500</v>
      </c>
      <c r="L6" s="20">
        <f t="shared" si="0"/>
        <v>112500</v>
      </c>
      <c r="N6" s="276"/>
    </row>
    <row r="7" spans="1:14" s="10" customFormat="1" ht="15" customHeight="1" x14ac:dyDescent="0.2">
      <c r="A7" s="617"/>
      <c r="B7" s="635"/>
      <c r="C7" s="28" t="s">
        <v>38</v>
      </c>
      <c r="D7" s="639" t="s">
        <v>16</v>
      </c>
      <c r="E7" s="640"/>
      <c r="F7" s="39"/>
      <c r="G7" s="286">
        <v>0</v>
      </c>
      <c r="H7" s="286">
        <v>0</v>
      </c>
      <c r="I7" s="286">
        <v>0</v>
      </c>
      <c r="J7" s="163">
        <f>K7-G7-H7-I7</f>
        <v>0</v>
      </c>
      <c r="K7" s="163">
        <v>0</v>
      </c>
      <c r="L7" s="275"/>
      <c r="N7" s="436"/>
    </row>
    <row r="8" spans="1:14" s="10" customFormat="1" ht="15" customHeight="1" x14ac:dyDescent="0.2">
      <c r="A8" s="617"/>
      <c r="B8" s="635"/>
      <c r="C8" s="46" t="s">
        <v>39</v>
      </c>
      <c r="D8" s="649" t="s">
        <v>382</v>
      </c>
      <c r="E8" s="650"/>
      <c r="F8" s="39"/>
      <c r="G8" s="286">
        <v>750000</v>
      </c>
      <c r="H8" s="286">
        <v>0</v>
      </c>
      <c r="I8" s="286">
        <v>0</v>
      </c>
      <c r="J8" s="163">
        <f>K8-G8-H8-I8</f>
        <v>-637500</v>
      </c>
      <c r="K8" s="163">
        <v>112500</v>
      </c>
      <c r="L8" s="275">
        <v>112500</v>
      </c>
      <c r="N8" s="436"/>
    </row>
    <row r="9" spans="1:14" ht="15" customHeight="1" x14ac:dyDescent="0.2">
      <c r="A9" s="617"/>
      <c r="B9" s="634" t="s">
        <v>39</v>
      </c>
      <c r="C9" s="623" t="s">
        <v>44</v>
      </c>
      <c r="D9" s="624"/>
      <c r="E9" s="625"/>
      <c r="F9" s="40" t="s">
        <v>378</v>
      </c>
      <c r="G9" s="284">
        <f t="shared" ref="G9:L9" si="1">G10+G12+G14+G21</f>
        <v>13650000</v>
      </c>
      <c r="H9" s="284">
        <f t="shared" si="1"/>
        <v>0</v>
      </c>
      <c r="I9" s="284">
        <f t="shared" si="1"/>
        <v>-1492520</v>
      </c>
      <c r="J9" s="284">
        <f t="shared" si="1"/>
        <v>-6648110</v>
      </c>
      <c r="K9" s="284">
        <f t="shared" si="1"/>
        <v>5509370</v>
      </c>
      <c r="L9" s="292">
        <f t="shared" si="1"/>
        <v>5509370</v>
      </c>
      <c r="N9" s="276"/>
    </row>
    <row r="10" spans="1:14" s="10" customFormat="1" ht="15" customHeight="1" x14ac:dyDescent="0.2">
      <c r="A10" s="617"/>
      <c r="B10" s="635"/>
      <c r="C10" s="14" t="s">
        <v>38</v>
      </c>
      <c r="D10" s="639" t="s">
        <v>45</v>
      </c>
      <c r="E10" s="640"/>
      <c r="F10" s="39"/>
      <c r="G10" s="283">
        <f>SUM(G11)</f>
        <v>0</v>
      </c>
      <c r="H10" s="283">
        <f t="shared" ref="H10:L10" si="2">SUM(H11)</f>
        <v>0</v>
      </c>
      <c r="I10" s="283">
        <f t="shared" si="2"/>
        <v>0</v>
      </c>
      <c r="J10" s="283">
        <f t="shared" si="2"/>
        <v>2327250</v>
      </c>
      <c r="K10" s="283">
        <f t="shared" si="2"/>
        <v>2327250</v>
      </c>
      <c r="L10" s="289">
        <f t="shared" si="2"/>
        <v>2327250</v>
      </c>
      <c r="N10" s="276"/>
    </row>
    <row r="11" spans="1:14" s="10" customFormat="1" ht="15" customHeight="1" x14ac:dyDescent="0.2">
      <c r="A11" s="617"/>
      <c r="B11" s="635"/>
      <c r="C11" s="42"/>
      <c r="D11" s="31" t="s">
        <v>38</v>
      </c>
      <c r="E11" s="500" t="s">
        <v>449</v>
      </c>
      <c r="F11" s="39"/>
      <c r="G11" s="286">
        <v>0</v>
      </c>
      <c r="H11" s="286">
        <v>0</v>
      </c>
      <c r="I11" s="286">
        <v>0</v>
      </c>
      <c r="J11" s="163">
        <f>K11-G11-H11-I11</f>
        <v>2327250</v>
      </c>
      <c r="K11" s="163">
        <v>2327250</v>
      </c>
      <c r="L11" s="275">
        <v>2327250</v>
      </c>
      <c r="N11" s="436"/>
    </row>
    <row r="12" spans="1:14" s="10" customFormat="1" ht="15" customHeight="1" x14ac:dyDescent="0.2">
      <c r="A12" s="617"/>
      <c r="B12" s="635"/>
      <c r="C12" s="634" t="s">
        <v>39</v>
      </c>
      <c r="D12" s="639" t="s">
        <v>46</v>
      </c>
      <c r="E12" s="640"/>
      <c r="F12" s="39"/>
      <c r="G12" s="283">
        <f>SUM(G13:G13)</f>
        <v>0</v>
      </c>
      <c r="H12" s="283">
        <v>0</v>
      </c>
      <c r="I12" s="283">
        <v>0</v>
      </c>
      <c r="J12" s="441">
        <f>K12-G12-H12-I12</f>
        <v>0</v>
      </c>
      <c r="K12" s="441">
        <v>0</v>
      </c>
      <c r="L12" s="442">
        <v>0</v>
      </c>
      <c r="N12" s="436"/>
    </row>
    <row r="13" spans="1:14" ht="15" customHeight="1" x14ac:dyDescent="0.2">
      <c r="A13" s="617"/>
      <c r="B13" s="635"/>
      <c r="C13" s="636"/>
      <c r="D13" s="7" t="s">
        <v>38</v>
      </c>
      <c r="E13" s="29"/>
      <c r="F13" s="41"/>
      <c r="G13" s="285"/>
      <c r="H13" s="285"/>
      <c r="I13" s="285"/>
      <c r="J13" s="443"/>
      <c r="K13" s="443"/>
      <c r="L13" s="444"/>
      <c r="N13" s="276"/>
    </row>
    <row r="14" spans="1:14" s="10" customFormat="1" ht="15" customHeight="1" x14ac:dyDescent="0.2">
      <c r="A14" s="617"/>
      <c r="B14" s="635"/>
      <c r="C14" s="634" t="s">
        <v>40</v>
      </c>
      <c r="D14" s="639" t="s">
        <v>10</v>
      </c>
      <c r="E14" s="640"/>
      <c r="F14" s="39"/>
      <c r="G14" s="283">
        <f>SUM(G15:G20)</f>
        <v>13650000</v>
      </c>
      <c r="H14" s="283">
        <f t="shared" ref="H14:I14" si="3">SUM(H15:H20)</f>
        <v>0</v>
      </c>
      <c r="I14" s="283">
        <f t="shared" si="3"/>
        <v>-1492520</v>
      </c>
      <c r="J14" s="283">
        <f t="shared" ref="J14" si="4">SUM(J15:J20)</f>
        <v>-9067480</v>
      </c>
      <c r="K14" s="283">
        <f t="shared" ref="K14" si="5">SUM(K15:K20)</f>
        <v>3090000</v>
      </c>
      <c r="L14" s="289">
        <f t="shared" ref="L14" si="6">SUM(L15:L20)</f>
        <v>3090000</v>
      </c>
      <c r="N14" s="436"/>
    </row>
    <row r="15" spans="1:14" s="10" customFormat="1" ht="15" customHeight="1" x14ac:dyDescent="0.2">
      <c r="A15" s="617"/>
      <c r="B15" s="635"/>
      <c r="C15" s="635"/>
      <c r="D15" s="4" t="s">
        <v>38</v>
      </c>
      <c r="E15" s="29" t="s">
        <v>335</v>
      </c>
      <c r="F15" s="39" t="s">
        <v>378</v>
      </c>
      <c r="G15" s="286">
        <v>8000000</v>
      </c>
      <c r="H15" s="286">
        <v>0</v>
      </c>
      <c r="I15" s="286">
        <v>-4500000</v>
      </c>
      <c r="J15" s="163">
        <f>K15-G15-H15-I15</f>
        <v>-3500000</v>
      </c>
      <c r="K15" s="163">
        <v>0</v>
      </c>
      <c r="L15" s="275">
        <v>0</v>
      </c>
      <c r="N15" s="436"/>
    </row>
    <row r="16" spans="1:14" s="10" customFormat="1" ht="15" customHeight="1" x14ac:dyDescent="0.2">
      <c r="A16" s="617"/>
      <c r="B16" s="635"/>
      <c r="C16" s="51"/>
      <c r="D16" s="4" t="s">
        <v>39</v>
      </c>
      <c r="E16" s="487" t="s">
        <v>339</v>
      </c>
      <c r="F16" s="39"/>
      <c r="G16" s="286">
        <v>5000000</v>
      </c>
      <c r="H16" s="286">
        <v>0</v>
      </c>
      <c r="I16" s="286">
        <v>0</v>
      </c>
      <c r="J16" s="163">
        <f t="shared" ref="J16:J20" si="7">K16-G16-H16-I16</f>
        <v>-5000000</v>
      </c>
      <c r="K16" s="163">
        <v>0</v>
      </c>
      <c r="L16" s="275">
        <v>0</v>
      </c>
      <c r="N16" s="436"/>
    </row>
    <row r="17" spans="1:17" s="10" customFormat="1" ht="15" customHeight="1" x14ac:dyDescent="0.2">
      <c r="A17" s="617"/>
      <c r="B17" s="635"/>
      <c r="C17" s="51"/>
      <c r="D17" s="4" t="s">
        <v>40</v>
      </c>
      <c r="E17" s="29" t="s">
        <v>342</v>
      </c>
      <c r="F17" s="39"/>
      <c r="G17" s="286">
        <v>250000</v>
      </c>
      <c r="H17" s="286">
        <v>0</v>
      </c>
      <c r="I17" s="286">
        <v>0</v>
      </c>
      <c r="J17" s="163">
        <f t="shared" si="7"/>
        <v>-250000</v>
      </c>
      <c r="K17" s="163">
        <v>0</v>
      </c>
      <c r="L17" s="275">
        <v>0</v>
      </c>
      <c r="N17" s="436"/>
    </row>
    <row r="18" spans="1:17" s="10" customFormat="1" ht="15" customHeight="1" x14ac:dyDescent="0.2">
      <c r="A18" s="617"/>
      <c r="B18" s="635"/>
      <c r="C18" s="51"/>
      <c r="D18" s="4" t="s">
        <v>41</v>
      </c>
      <c r="E18" s="29" t="s">
        <v>343</v>
      </c>
      <c r="F18" s="39"/>
      <c r="G18" s="286">
        <v>400000</v>
      </c>
      <c r="H18" s="286">
        <v>0</v>
      </c>
      <c r="I18" s="286">
        <v>0</v>
      </c>
      <c r="J18" s="163">
        <f t="shared" si="7"/>
        <v>-400000</v>
      </c>
      <c r="K18" s="163">
        <v>0</v>
      </c>
      <c r="L18" s="275">
        <v>0</v>
      </c>
      <c r="N18" s="436"/>
    </row>
    <row r="19" spans="1:17" s="10" customFormat="1" ht="15" customHeight="1" x14ac:dyDescent="0.2">
      <c r="A19" s="617"/>
      <c r="B19" s="635"/>
      <c r="C19" s="422"/>
      <c r="D19" s="4" t="s">
        <v>42</v>
      </c>
      <c r="E19" s="424" t="s">
        <v>429</v>
      </c>
      <c r="F19" s="39"/>
      <c r="G19" s="286">
        <v>0</v>
      </c>
      <c r="H19" s="286">
        <v>0</v>
      </c>
      <c r="I19" s="286">
        <v>3007480</v>
      </c>
      <c r="J19" s="163">
        <f t="shared" si="7"/>
        <v>42520</v>
      </c>
      <c r="K19" s="437">
        <v>3050000</v>
      </c>
      <c r="L19" s="440">
        <v>3050000</v>
      </c>
      <c r="N19" s="436"/>
    </row>
    <row r="20" spans="1:17" s="10" customFormat="1" ht="15" customHeight="1" x14ac:dyDescent="0.2">
      <c r="A20" s="617"/>
      <c r="B20" s="635"/>
      <c r="C20" s="485"/>
      <c r="D20" s="4" t="s">
        <v>47</v>
      </c>
      <c r="E20" s="484" t="s">
        <v>448</v>
      </c>
      <c r="F20" s="39"/>
      <c r="G20" s="286">
        <v>0</v>
      </c>
      <c r="H20" s="286">
        <v>0</v>
      </c>
      <c r="I20" s="286">
        <v>0</v>
      </c>
      <c r="J20" s="163">
        <f t="shared" si="7"/>
        <v>40000</v>
      </c>
      <c r="K20" s="437">
        <v>40000</v>
      </c>
      <c r="L20" s="440">
        <v>40000</v>
      </c>
      <c r="N20" s="436"/>
    </row>
    <row r="21" spans="1:17" s="10" customFormat="1" ht="15" customHeight="1" x14ac:dyDescent="0.2">
      <c r="A21" s="617"/>
      <c r="B21" s="635"/>
      <c r="C21" s="634" t="s">
        <v>41</v>
      </c>
      <c r="D21" s="639" t="s">
        <v>11</v>
      </c>
      <c r="E21" s="640"/>
      <c r="F21" s="39" t="s">
        <v>378</v>
      </c>
      <c r="G21" s="283">
        <f t="shared" ref="G21:L21" si="8">SUM(G22:G22)</f>
        <v>0</v>
      </c>
      <c r="H21" s="283">
        <f t="shared" si="8"/>
        <v>0</v>
      </c>
      <c r="I21" s="283">
        <f t="shared" si="8"/>
        <v>0</v>
      </c>
      <c r="J21" s="438">
        <f t="shared" si="8"/>
        <v>92120</v>
      </c>
      <c r="K21" s="438">
        <f t="shared" si="8"/>
        <v>92120</v>
      </c>
      <c r="L21" s="439">
        <f t="shared" si="8"/>
        <v>92120</v>
      </c>
      <c r="N21" s="436"/>
      <c r="Q21" s="153"/>
    </row>
    <row r="22" spans="1:17" s="10" customFormat="1" ht="16.5" customHeight="1" x14ac:dyDescent="0.2">
      <c r="A22" s="617"/>
      <c r="B22" s="635"/>
      <c r="C22" s="635"/>
      <c r="D22" s="31" t="s">
        <v>38</v>
      </c>
      <c r="E22" s="6" t="s">
        <v>376</v>
      </c>
      <c r="F22" s="39"/>
      <c r="G22" s="286">
        <v>0</v>
      </c>
      <c r="H22" s="286">
        <v>0</v>
      </c>
      <c r="I22" s="286">
        <v>0</v>
      </c>
      <c r="J22" s="163">
        <f>K22-G22-H22-I22</f>
        <v>92120</v>
      </c>
      <c r="K22" s="163">
        <v>92120</v>
      </c>
      <c r="L22" s="275">
        <v>92120</v>
      </c>
      <c r="N22" s="436"/>
    </row>
    <row r="23" spans="1:17" ht="18.75" customHeight="1" x14ac:dyDescent="0.2">
      <c r="A23" s="617"/>
      <c r="B23" s="634" t="s">
        <v>40</v>
      </c>
      <c r="C23" s="623" t="s">
        <v>381</v>
      </c>
      <c r="D23" s="624"/>
      <c r="E23" s="625"/>
      <c r="F23" s="40" t="s">
        <v>345</v>
      </c>
      <c r="G23" s="284">
        <f t="shared" ref="G23:L23" si="9">G24+G27+G33+G34</f>
        <v>400000</v>
      </c>
      <c r="H23" s="284">
        <f t="shared" si="9"/>
        <v>0</v>
      </c>
      <c r="I23" s="284">
        <f t="shared" si="9"/>
        <v>15148118</v>
      </c>
      <c r="J23" s="284">
        <f t="shared" si="9"/>
        <v>-27389</v>
      </c>
      <c r="K23" s="284">
        <f t="shared" si="9"/>
        <v>15520729</v>
      </c>
      <c r="L23" s="292">
        <f t="shared" si="9"/>
        <v>15520729</v>
      </c>
      <c r="N23" s="276"/>
    </row>
    <row r="24" spans="1:17" s="10" customFormat="1" ht="15" customHeight="1" x14ac:dyDescent="0.2">
      <c r="A24" s="617"/>
      <c r="B24" s="635"/>
      <c r="C24" s="14" t="s">
        <v>38</v>
      </c>
      <c r="D24" s="637" t="s">
        <v>336</v>
      </c>
      <c r="E24" s="638"/>
      <c r="F24" s="39" t="s">
        <v>184</v>
      </c>
      <c r="G24" s="283">
        <f t="shared" ref="G24:L24" si="10">SUM(G25:G26)</f>
        <v>50000</v>
      </c>
      <c r="H24" s="283">
        <f t="shared" si="10"/>
        <v>0</v>
      </c>
      <c r="I24" s="283">
        <f t="shared" si="10"/>
        <v>0</v>
      </c>
      <c r="J24" s="438">
        <f t="shared" si="10"/>
        <v>-50000</v>
      </c>
      <c r="K24" s="438">
        <f t="shared" si="10"/>
        <v>0</v>
      </c>
      <c r="L24" s="442">
        <f t="shared" si="10"/>
        <v>0</v>
      </c>
      <c r="N24" s="436"/>
    </row>
    <row r="25" spans="1:17" ht="12.75" x14ac:dyDescent="0.2">
      <c r="A25" s="617"/>
      <c r="B25" s="635"/>
      <c r="C25" s="644"/>
      <c r="D25" s="7" t="s">
        <v>38</v>
      </c>
      <c r="E25" s="11" t="s">
        <v>337</v>
      </c>
      <c r="F25" s="41"/>
      <c r="G25" s="286">
        <v>50000</v>
      </c>
      <c r="H25" s="286">
        <v>0</v>
      </c>
      <c r="I25" s="286">
        <v>0</v>
      </c>
      <c r="J25" s="163">
        <f>K25-G25-H25-I25</f>
        <v>-50000</v>
      </c>
      <c r="K25" s="163">
        <v>0</v>
      </c>
      <c r="L25" s="275">
        <v>0</v>
      </c>
      <c r="N25" s="276"/>
    </row>
    <row r="26" spans="1:17" ht="15" customHeight="1" x14ac:dyDescent="0.2">
      <c r="A26" s="617"/>
      <c r="B26" s="635"/>
      <c r="C26" s="645"/>
      <c r="D26" s="7"/>
      <c r="E26" s="4"/>
      <c r="F26" s="41"/>
      <c r="G26" s="286"/>
      <c r="H26" s="286"/>
      <c r="I26" s="286"/>
      <c r="J26" s="163"/>
      <c r="K26" s="163"/>
      <c r="L26" s="275"/>
      <c r="N26" s="276"/>
    </row>
    <row r="27" spans="1:17" s="10" customFormat="1" ht="26.25" customHeight="1" x14ac:dyDescent="0.2">
      <c r="A27" s="617"/>
      <c r="B27" s="635"/>
      <c r="C27" s="634" t="s">
        <v>39</v>
      </c>
      <c r="D27" s="639" t="s">
        <v>22</v>
      </c>
      <c r="E27" s="640"/>
      <c r="F27" s="39" t="s">
        <v>377</v>
      </c>
      <c r="G27" s="283">
        <f t="shared" ref="G27:L27" si="11">SUM(G28:G32)</f>
        <v>350000</v>
      </c>
      <c r="H27" s="283">
        <f t="shared" si="11"/>
        <v>0</v>
      </c>
      <c r="I27" s="283">
        <f t="shared" si="11"/>
        <v>15148118</v>
      </c>
      <c r="J27" s="438">
        <f t="shared" si="11"/>
        <v>22611</v>
      </c>
      <c r="K27" s="438">
        <f t="shared" si="11"/>
        <v>15520729</v>
      </c>
      <c r="L27" s="442">
        <f t="shared" si="11"/>
        <v>15520729</v>
      </c>
      <c r="N27" s="436"/>
    </row>
    <row r="28" spans="1:17" s="10" customFormat="1" ht="26.25" customHeight="1" x14ac:dyDescent="0.2">
      <c r="A28" s="617"/>
      <c r="B28" s="635"/>
      <c r="C28" s="635"/>
      <c r="D28" s="31" t="s">
        <v>38</v>
      </c>
      <c r="E28" s="4" t="s">
        <v>338</v>
      </c>
      <c r="F28" s="39"/>
      <c r="G28" s="286">
        <v>100000</v>
      </c>
      <c r="H28" s="286">
        <v>0</v>
      </c>
      <c r="I28" s="286">
        <v>0</v>
      </c>
      <c r="J28" s="163">
        <f>K28-G28-H28-I28</f>
        <v>-100000</v>
      </c>
      <c r="K28" s="163">
        <v>0</v>
      </c>
      <c r="L28" s="275">
        <v>0</v>
      </c>
      <c r="N28" s="436"/>
    </row>
    <row r="29" spans="1:17" s="10" customFormat="1" ht="26.25" customHeight="1" x14ac:dyDescent="0.2">
      <c r="A29" s="617"/>
      <c r="B29" s="635"/>
      <c r="C29" s="635"/>
      <c r="D29" s="31" t="s">
        <v>39</v>
      </c>
      <c r="E29" s="445" t="s">
        <v>431</v>
      </c>
      <c r="F29" s="39"/>
      <c r="G29" s="286">
        <v>200000</v>
      </c>
      <c r="H29" s="286">
        <v>0</v>
      </c>
      <c r="I29" s="286">
        <v>34118</v>
      </c>
      <c r="J29" s="163">
        <f t="shared" ref="J29:J32" si="12">K29-G29-H29-I29</f>
        <v>152926</v>
      </c>
      <c r="K29" s="163">
        <v>387044</v>
      </c>
      <c r="L29" s="275">
        <v>387044</v>
      </c>
      <c r="N29" s="436"/>
    </row>
    <row r="30" spans="1:17" s="10" customFormat="1" ht="26.25" customHeight="1" x14ac:dyDescent="0.2">
      <c r="A30" s="617"/>
      <c r="B30" s="635"/>
      <c r="C30" s="635"/>
      <c r="D30" s="31" t="s">
        <v>40</v>
      </c>
      <c r="E30" s="4" t="s">
        <v>375</v>
      </c>
      <c r="F30" s="39"/>
      <c r="G30" s="286">
        <v>50000</v>
      </c>
      <c r="H30" s="286">
        <v>0</v>
      </c>
      <c r="I30" s="286">
        <v>0</v>
      </c>
      <c r="J30" s="163">
        <f t="shared" si="12"/>
        <v>-30315</v>
      </c>
      <c r="K30" s="163">
        <v>19685</v>
      </c>
      <c r="L30" s="275">
        <v>19685</v>
      </c>
      <c r="N30" s="436"/>
    </row>
    <row r="31" spans="1:17" s="10" customFormat="1" ht="26.25" customHeight="1" x14ac:dyDescent="0.2">
      <c r="A31" s="617"/>
      <c r="B31" s="635"/>
      <c r="C31" s="635"/>
      <c r="D31" s="4" t="s">
        <v>41</v>
      </c>
      <c r="E31" s="424" t="s">
        <v>379</v>
      </c>
      <c r="F31" s="39"/>
      <c r="G31" s="286">
        <v>0</v>
      </c>
      <c r="H31" s="286">
        <v>0</v>
      </c>
      <c r="I31" s="286">
        <v>3674000</v>
      </c>
      <c r="J31" s="163">
        <f t="shared" si="12"/>
        <v>0</v>
      </c>
      <c r="K31" s="163">
        <v>3674000</v>
      </c>
      <c r="L31" s="275">
        <v>3674000</v>
      </c>
      <c r="N31" s="436"/>
    </row>
    <row r="32" spans="1:17" s="10" customFormat="1" ht="26.25" customHeight="1" x14ac:dyDescent="0.2">
      <c r="A32" s="617"/>
      <c r="B32" s="635"/>
      <c r="C32" s="635"/>
      <c r="D32" s="31" t="s">
        <v>42</v>
      </c>
      <c r="E32" s="425" t="s">
        <v>430</v>
      </c>
      <c r="F32" s="39"/>
      <c r="G32" s="286">
        <v>0</v>
      </c>
      <c r="H32" s="286">
        <v>0</v>
      </c>
      <c r="I32" s="286">
        <v>11440000</v>
      </c>
      <c r="J32" s="163">
        <f t="shared" si="12"/>
        <v>0</v>
      </c>
      <c r="K32" s="163">
        <v>11440000</v>
      </c>
      <c r="L32" s="275">
        <v>11440000</v>
      </c>
      <c r="N32" s="436"/>
    </row>
    <row r="33" spans="1:17" s="10" customFormat="1" ht="15" customHeight="1" x14ac:dyDescent="0.2">
      <c r="A33" s="617"/>
      <c r="B33" s="635"/>
      <c r="C33" s="14" t="s">
        <v>40</v>
      </c>
      <c r="D33" s="639" t="s">
        <v>17</v>
      </c>
      <c r="E33" s="640"/>
      <c r="F33" s="39"/>
      <c r="G33" s="283">
        <v>0</v>
      </c>
      <c r="H33" s="283">
        <v>0</v>
      </c>
      <c r="I33" s="283">
        <v>0</v>
      </c>
      <c r="J33" s="441">
        <f>K33-G33-H33-I33</f>
        <v>0</v>
      </c>
      <c r="K33" s="441">
        <v>0</v>
      </c>
      <c r="L33" s="442">
        <v>0</v>
      </c>
      <c r="N33" s="436"/>
    </row>
    <row r="34" spans="1:17" s="10" customFormat="1" ht="15" customHeight="1" x14ac:dyDescent="0.2">
      <c r="A34" s="647"/>
      <c r="B34" s="636"/>
      <c r="C34" s="14" t="s">
        <v>41</v>
      </c>
      <c r="D34" s="639" t="s">
        <v>23</v>
      </c>
      <c r="E34" s="640"/>
      <c r="F34" s="39"/>
      <c r="G34" s="283">
        <v>0</v>
      </c>
      <c r="H34" s="283">
        <v>0</v>
      </c>
      <c r="I34" s="283">
        <v>0</v>
      </c>
      <c r="J34" s="441">
        <f>K34-G34-H34-I34</f>
        <v>0</v>
      </c>
      <c r="K34" s="441">
        <v>0</v>
      </c>
      <c r="L34" s="442">
        <v>0</v>
      </c>
      <c r="N34" s="436"/>
    </row>
    <row r="35" spans="1:17" ht="15" customHeight="1" x14ac:dyDescent="0.2">
      <c r="A35" s="616"/>
      <c r="B35" s="16" t="s">
        <v>41</v>
      </c>
      <c r="C35" s="623" t="s">
        <v>31</v>
      </c>
      <c r="D35" s="624"/>
      <c r="E35" s="625"/>
      <c r="F35" s="40"/>
      <c r="G35" s="284">
        <v>0</v>
      </c>
      <c r="H35" s="284">
        <v>0</v>
      </c>
      <c r="I35" s="284">
        <v>0</v>
      </c>
      <c r="J35" s="284">
        <v>0</v>
      </c>
      <c r="K35" s="284">
        <v>0</v>
      </c>
      <c r="L35" s="292">
        <v>0</v>
      </c>
      <c r="N35" s="276"/>
    </row>
    <row r="36" spans="1:17" ht="15" customHeight="1" x14ac:dyDescent="0.2">
      <c r="A36" s="617"/>
      <c r="B36" s="156" t="s">
        <v>42</v>
      </c>
      <c r="C36" s="623" t="s">
        <v>344</v>
      </c>
      <c r="D36" s="624"/>
      <c r="E36" s="625"/>
      <c r="F36" s="40" t="s">
        <v>347</v>
      </c>
      <c r="G36" s="284">
        <f>(G6+G9+G23)*0.27</f>
        <v>3996000.0000000005</v>
      </c>
      <c r="H36" s="284">
        <v>0</v>
      </c>
      <c r="I36" s="284">
        <v>4892800</v>
      </c>
      <c r="J36" s="284">
        <f>K36-G36-H36-I36</f>
        <v>-4642957</v>
      </c>
      <c r="K36" s="284">
        <v>4245843</v>
      </c>
      <c r="L36" s="292">
        <v>4245843</v>
      </c>
      <c r="M36" s="161"/>
      <c r="N36" s="276"/>
    </row>
    <row r="37" spans="1:17" ht="18" customHeight="1" thickBot="1" x14ac:dyDescent="0.25">
      <c r="A37" s="618"/>
      <c r="B37" s="630" t="s">
        <v>29</v>
      </c>
      <c r="C37" s="631"/>
      <c r="D37" s="631"/>
      <c r="E37" s="599"/>
      <c r="F37" s="451" t="s">
        <v>304</v>
      </c>
      <c r="G37" s="432">
        <f t="shared" ref="G37:L37" si="13">G6+G9+G23+G35+G36</f>
        <v>18796000</v>
      </c>
      <c r="H37" s="432">
        <f t="shared" si="13"/>
        <v>0</v>
      </c>
      <c r="I37" s="432">
        <f t="shared" si="13"/>
        <v>18548398</v>
      </c>
      <c r="J37" s="432">
        <f t="shared" si="13"/>
        <v>-11955956</v>
      </c>
      <c r="K37" s="432">
        <f t="shared" si="13"/>
        <v>25388442</v>
      </c>
      <c r="L37" s="433">
        <f t="shared" si="13"/>
        <v>25388442</v>
      </c>
      <c r="M37" s="161"/>
      <c r="N37" s="276"/>
    </row>
    <row r="38" spans="1:17" ht="31.5" customHeight="1" x14ac:dyDescent="0.2">
      <c r="A38" s="641" t="s">
        <v>39</v>
      </c>
      <c r="B38" s="642" t="s">
        <v>2</v>
      </c>
      <c r="C38" s="643"/>
      <c r="D38" s="643"/>
      <c r="E38" s="643"/>
      <c r="F38" s="643"/>
      <c r="G38" s="643"/>
      <c r="H38" s="423"/>
      <c r="I38" s="486"/>
      <c r="J38" s="247"/>
      <c r="K38" s="247"/>
      <c r="L38" s="290"/>
      <c r="N38" s="276"/>
    </row>
    <row r="39" spans="1:17" ht="15" customHeight="1" x14ac:dyDescent="0.2">
      <c r="A39" s="617"/>
      <c r="B39" s="634" t="s">
        <v>38</v>
      </c>
      <c r="C39" s="620" t="s">
        <v>3</v>
      </c>
      <c r="D39" s="620"/>
      <c r="E39" s="620"/>
      <c r="F39" s="32" t="s">
        <v>68</v>
      </c>
      <c r="G39" s="259">
        <f t="shared" ref="G39:L39" si="14">G40+G42</f>
        <v>35066834</v>
      </c>
      <c r="H39" s="259">
        <f t="shared" si="14"/>
        <v>0</v>
      </c>
      <c r="I39" s="259">
        <f t="shared" si="14"/>
        <v>4673931</v>
      </c>
      <c r="J39" s="259">
        <f t="shared" si="14"/>
        <v>-17345570</v>
      </c>
      <c r="K39" s="259">
        <f t="shared" si="14"/>
        <v>22395195</v>
      </c>
      <c r="L39" s="37">
        <f t="shared" si="14"/>
        <v>22395195</v>
      </c>
      <c r="N39" s="276"/>
    </row>
    <row r="40" spans="1:17" s="10" customFormat="1" ht="15" customHeight="1" x14ac:dyDescent="0.2">
      <c r="A40" s="617"/>
      <c r="B40" s="635"/>
      <c r="C40" s="30" t="s">
        <v>38</v>
      </c>
      <c r="D40" s="639" t="s">
        <v>4</v>
      </c>
      <c r="E40" s="640"/>
      <c r="F40" s="14" t="s">
        <v>68</v>
      </c>
      <c r="G40" s="280">
        <f t="shared" ref="G40:L40" si="15">SUM(G41:G41)</f>
        <v>500000</v>
      </c>
      <c r="H40" s="280">
        <f t="shared" si="15"/>
        <v>0</v>
      </c>
      <c r="I40" s="280">
        <f t="shared" si="15"/>
        <v>0</v>
      </c>
      <c r="J40" s="447">
        <f t="shared" si="15"/>
        <v>-500000</v>
      </c>
      <c r="K40" s="447">
        <f t="shared" si="15"/>
        <v>0</v>
      </c>
      <c r="L40" s="450">
        <f t="shared" si="15"/>
        <v>0</v>
      </c>
      <c r="N40" s="436"/>
    </row>
    <row r="41" spans="1:17" ht="29.25" customHeight="1" x14ac:dyDescent="0.2">
      <c r="A41" s="617"/>
      <c r="B41" s="635"/>
      <c r="C41" s="43"/>
      <c r="D41" s="4" t="s">
        <v>38</v>
      </c>
      <c r="E41" s="105" t="s">
        <v>334</v>
      </c>
      <c r="F41" s="7"/>
      <c r="G41" s="258">
        <v>500000</v>
      </c>
      <c r="H41" s="258">
        <v>0</v>
      </c>
      <c r="I41" s="258">
        <v>0</v>
      </c>
      <c r="J41" s="177">
        <f>K41-G41-H41-I41</f>
        <v>-500000</v>
      </c>
      <c r="K41" s="177">
        <v>0</v>
      </c>
      <c r="L41" s="274">
        <v>0</v>
      </c>
      <c r="N41" s="276"/>
    </row>
    <row r="42" spans="1:17" s="10" customFormat="1" ht="15" customHeight="1" x14ac:dyDescent="0.2">
      <c r="A42" s="617"/>
      <c r="B42" s="635"/>
      <c r="C42" s="634" t="s">
        <v>39</v>
      </c>
      <c r="D42" s="639" t="s">
        <v>5</v>
      </c>
      <c r="E42" s="640"/>
      <c r="F42" s="14" t="s">
        <v>68</v>
      </c>
      <c r="G42" s="280">
        <f>SUM(G43:G44)</f>
        <v>34566834</v>
      </c>
      <c r="H42" s="280">
        <f>SUM(H43:H45)</f>
        <v>0</v>
      </c>
      <c r="I42" s="280">
        <f>SUM(I43:I45)</f>
        <v>4673931</v>
      </c>
      <c r="J42" s="447">
        <f>SUM(J43:J45)</f>
        <v>-16845570</v>
      </c>
      <c r="K42" s="447">
        <f>SUM(K43:K45)</f>
        <v>22395195</v>
      </c>
      <c r="L42" s="450">
        <f>SUM(L43:L45)</f>
        <v>22395195</v>
      </c>
      <c r="N42" s="436"/>
      <c r="Q42" s="153"/>
    </row>
    <row r="43" spans="1:17" s="10" customFormat="1" ht="15" customHeight="1" x14ac:dyDescent="0.2">
      <c r="A43" s="617"/>
      <c r="B43" s="635"/>
      <c r="C43" s="635"/>
      <c r="D43" s="4" t="s">
        <v>38</v>
      </c>
      <c r="E43" s="431" t="s">
        <v>447</v>
      </c>
      <c r="F43" s="39"/>
      <c r="G43" s="287">
        <v>29570154</v>
      </c>
      <c r="H43" s="287">
        <v>0</v>
      </c>
      <c r="I43" s="287">
        <v>-6046702</v>
      </c>
      <c r="J43" s="177">
        <f>K43-G43-H43-I43</f>
        <v>-1128257</v>
      </c>
      <c r="K43" s="177">
        <v>22395195</v>
      </c>
      <c r="L43" s="274">
        <v>22395195</v>
      </c>
      <c r="N43" s="436"/>
    </row>
    <row r="44" spans="1:17" s="10" customFormat="1" ht="15" customHeight="1" x14ac:dyDescent="0.2">
      <c r="A44" s="617"/>
      <c r="B44" s="635"/>
      <c r="C44" s="635"/>
      <c r="D44" s="4" t="s">
        <v>39</v>
      </c>
      <c r="E44" s="431" t="s">
        <v>379</v>
      </c>
      <c r="F44" s="39"/>
      <c r="G44" s="287">
        <v>4996680</v>
      </c>
      <c r="H44" s="287">
        <v>0</v>
      </c>
      <c r="I44" s="287">
        <v>-4665980</v>
      </c>
      <c r="J44" s="177">
        <f t="shared" ref="J44:J45" si="16">K44-G44-H44-I44</f>
        <v>-330700</v>
      </c>
      <c r="K44" s="177">
        <v>0</v>
      </c>
      <c r="L44" s="274">
        <v>0</v>
      </c>
      <c r="N44" s="436"/>
    </row>
    <row r="45" spans="1:17" s="10" customFormat="1" ht="15" customHeight="1" x14ac:dyDescent="0.2">
      <c r="A45" s="428"/>
      <c r="B45" s="429"/>
      <c r="C45" s="429"/>
      <c r="D45" s="430" t="s">
        <v>40</v>
      </c>
      <c r="E45" s="2" t="s">
        <v>432</v>
      </c>
      <c r="F45" s="449"/>
      <c r="G45" s="448">
        <v>0</v>
      </c>
      <c r="H45" s="448">
        <v>0</v>
      </c>
      <c r="I45" s="448">
        <v>15386613</v>
      </c>
      <c r="J45" s="177">
        <f t="shared" si="16"/>
        <v>-15386613</v>
      </c>
      <c r="K45" s="279">
        <v>0</v>
      </c>
      <c r="L45" s="274">
        <v>0</v>
      </c>
      <c r="N45" s="436"/>
    </row>
    <row r="46" spans="1:17" ht="15" customHeight="1" x14ac:dyDescent="0.2">
      <c r="A46" s="616"/>
      <c r="B46" s="619" t="s">
        <v>39</v>
      </c>
      <c r="C46" s="620" t="s">
        <v>6</v>
      </c>
      <c r="D46" s="620"/>
      <c r="E46" s="620"/>
      <c r="F46" s="32" t="s">
        <v>346</v>
      </c>
      <c r="G46" s="259">
        <f t="shared" ref="G46:L46" si="17">SUM(G47:G48)</f>
        <v>750000</v>
      </c>
      <c r="H46" s="259">
        <f t="shared" si="17"/>
        <v>0</v>
      </c>
      <c r="I46" s="259">
        <f t="shared" si="17"/>
        <v>0</v>
      </c>
      <c r="J46" s="259">
        <f t="shared" si="17"/>
        <v>-750000</v>
      </c>
      <c r="K46" s="259">
        <f t="shared" si="17"/>
        <v>0</v>
      </c>
      <c r="L46" s="37">
        <f t="shared" si="17"/>
        <v>0</v>
      </c>
      <c r="N46" s="276"/>
    </row>
    <row r="47" spans="1:17" ht="15" customHeight="1" x14ac:dyDescent="0.2">
      <c r="A47" s="617"/>
      <c r="B47" s="619"/>
      <c r="C47" s="7" t="s">
        <v>38</v>
      </c>
      <c r="D47" s="621" t="s">
        <v>340</v>
      </c>
      <c r="E47" s="622"/>
      <c r="F47" s="7"/>
      <c r="G47" s="258">
        <v>600000</v>
      </c>
      <c r="H47" s="258">
        <v>0</v>
      </c>
      <c r="I47" s="258">
        <v>0</v>
      </c>
      <c r="J47" s="177">
        <f>K47-G47-H47-I47</f>
        <v>-600000</v>
      </c>
      <c r="K47" s="177">
        <v>0</v>
      </c>
      <c r="L47" s="274">
        <v>0</v>
      </c>
      <c r="N47" s="276"/>
    </row>
    <row r="48" spans="1:17" ht="15" customHeight="1" x14ac:dyDescent="0.2">
      <c r="A48" s="617"/>
      <c r="B48" s="155"/>
      <c r="C48" s="7" t="s">
        <v>39</v>
      </c>
      <c r="D48" s="621" t="s">
        <v>433</v>
      </c>
      <c r="E48" s="622"/>
      <c r="F48" s="7"/>
      <c r="G48" s="279">
        <v>150000</v>
      </c>
      <c r="H48" s="279">
        <v>0</v>
      </c>
      <c r="I48" s="279">
        <v>0</v>
      </c>
      <c r="J48" s="177">
        <f>K48-G48-H48-I48</f>
        <v>-150000</v>
      </c>
      <c r="K48" s="177">
        <v>0</v>
      </c>
      <c r="L48" s="274">
        <v>0</v>
      </c>
      <c r="N48" s="276"/>
    </row>
    <row r="49" spans="1:27" s="10" customFormat="1" ht="15" customHeight="1" x14ac:dyDescent="0.2">
      <c r="A49" s="617"/>
      <c r="B49" s="13" t="s">
        <v>40</v>
      </c>
      <c r="C49" s="623" t="s">
        <v>28</v>
      </c>
      <c r="D49" s="624"/>
      <c r="E49" s="625"/>
      <c r="F49" s="32"/>
      <c r="G49" s="259">
        <v>0</v>
      </c>
      <c r="H49" s="259"/>
      <c r="I49" s="259">
        <v>0</v>
      </c>
      <c r="J49" s="259">
        <v>0</v>
      </c>
      <c r="K49" s="259">
        <v>0</v>
      </c>
      <c r="L49" s="37">
        <v>0</v>
      </c>
      <c r="N49" s="436"/>
    </row>
    <row r="50" spans="1:27" s="10" customFormat="1" ht="15" customHeight="1" x14ac:dyDescent="0.2">
      <c r="A50" s="617"/>
      <c r="B50" s="155">
        <v>4</v>
      </c>
      <c r="C50" s="623" t="s">
        <v>341</v>
      </c>
      <c r="D50" s="624"/>
      <c r="E50" s="625"/>
      <c r="F50" s="32" t="s">
        <v>348</v>
      </c>
      <c r="G50" s="259">
        <f>(G40+G46)*0.27</f>
        <v>337500</v>
      </c>
      <c r="H50" s="259"/>
      <c r="I50" s="259">
        <v>10201087</v>
      </c>
      <c r="J50" s="259">
        <f>K50-G50-H50-I50</f>
        <v>-4491885</v>
      </c>
      <c r="K50" s="259">
        <v>6046702</v>
      </c>
      <c r="L50" s="37">
        <v>6046702</v>
      </c>
      <c r="M50" s="153"/>
      <c r="N50" s="436"/>
    </row>
    <row r="51" spans="1:27" ht="18" customHeight="1" thickBot="1" x14ac:dyDescent="0.25">
      <c r="A51" s="618"/>
      <c r="B51" s="626" t="s">
        <v>34</v>
      </c>
      <c r="C51" s="626"/>
      <c r="D51" s="626"/>
      <c r="E51" s="626"/>
      <c r="F51" s="427" t="s">
        <v>305</v>
      </c>
      <c r="G51" s="434">
        <f t="shared" ref="G51:L51" si="18">G39+G46+G49+G50</f>
        <v>36154334</v>
      </c>
      <c r="H51" s="434">
        <f t="shared" si="18"/>
        <v>0</v>
      </c>
      <c r="I51" s="434">
        <f t="shared" si="18"/>
        <v>14875018</v>
      </c>
      <c r="J51" s="435">
        <f t="shared" si="18"/>
        <v>-22587455</v>
      </c>
      <c r="K51" s="435">
        <f t="shared" si="18"/>
        <v>28441897</v>
      </c>
      <c r="L51" s="307">
        <f t="shared" si="18"/>
        <v>28441897</v>
      </c>
      <c r="M51" s="161"/>
      <c r="N51" s="276"/>
    </row>
    <row r="52" spans="1:27" s="161" customFormat="1" ht="18" customHeight="1" x14ac:dyDescent="0.2">
      <c r="A52" s="308" t="s">
        <v>40</v>
      </c>
      <c r="B52" s="309" t="s">
        <v>311</v>
      </c>
      <c r="C52" s="310"/>
      <c r="D52" s="310"/>
      <c r="E52" s="310"/>
      <c r="F52" s="310"/>
      <c r="G52" s="310"/>
      <c r="H52" s="310"/>
      <c r="I52" s="310"/>
      <c r="J52" s="310"/>
      <c r="K52" s="310"/>
      <c r="L52" s="311"/>
      <c r="M52" s="312"/>
      <c r="N52" s="312"/>
    </row>
    <row r="53" spans="1:27" s="161" customFormat="1" ht="18" customHeight="1" x14ac:dyDescent="0.2">
      <c r="A53" s="152"/>
      <c r="B53" s="295" t="s">
        <v>38</v>
      </c>
      <c r="C53" s="627" t="s">
        <v>372</v>
      </c>
      <c r="D53" s="628"/>
      <c r="E53" s="629"/>
      <c r="F53" s="296" t="s">
        <v>62</v>
      </c>
      <c r="G53" s="297">
        <f t="shared" ref="G53:L53" si="19">SUM(G54)</f>
        <v>0</v>
      </c>
      <c r="H53" s="297">
        <f t="shared" si="19"/>
        <v>359150</v>
      </c>
      <c r="I53" s="297">
        <f t="shared" si="19"/>
        <v>0</v>
      </c>
      <c r="J53" s="297">
        <f t="shared" si="19"/>
        <v>0</v>
      </c>
      <c r="K53" s="297">
        <f t="shared" si="19"/>
        <v>359150</v>
      </c>
      <c r="L53" s="298">
        <f t="shared" si="19"/>
        <v>359150</v>
      </c>
    </row>
    <row r="54" spans="1:27" s="161" customFormat="1" ht="24.75" customHeight="1" x14ac:dyDescent="0.2">
      <c r="A54" s="299"/>
      <c r="B54" s="249"/>
      <c r="C54" s="300" t="s">
        <v>38</v>
      </c>
      <c r="D54" s="632" t="s">
        <v>367</v>
      </c>
      <c r="E54" s="633"/>
      <c r="F54" s="300"/>
      <c r="G54" s="177">
        <v>0</v>
      </c>
      <c r="H54" s="177">
        <v>359150</v>
      </c>
      <c r="I54" s="177">
        <v>0</v>
      </c>
      <c r="J54" s="177">
        <f>K54-G54-H54-I54</f>
        <v>0</v>
      </c>
      <c r="K54" s="177">
        <v>359150</v>
      </c>
      <c r="L54" s="274">
        <v>359150</v>
      </c>
      <c r="M54" s="161" t="s">
        <v>365</v>
      </c>
    </row>
    <row r="55" spans="1:27" s="161" customFormat="1" ht="18" customHeight="1" x14ac:dyDescent="0.2">
      <c r="A55" s="152"/>
      <c r="B55" s="295" t="s">
        <v>39</v>
      </c>
      <c r="C55" s="627" t="s">
        <v>373</v>
      </c>
      <c r="D55" s="628"/>
      <c r="E55" s="629"/>
      <c r="F55" s="296" t="s">
        <v>330</v>
      </c>
      <c r="G55" s="297">
        <f t="shared" ref="G55:L55" si="20">SUM(G56)</f>
        <v>978000</v>
      </c>
      <c r="H55" s="297">
        <f t="shared" si="20"/>
        <v>0</v>
      </c>
      <c r="I55" s="297">
        <f t="shared" si="20"/>
        <v>0</v>
      </c>
      <c r="J55" s="297">
        <f t="shared" si="20"/>
        <v>-24364</v>
      </c>
      <c r="K55" s="297">
        <f t="shared" si="20"/>
        <v>953636</v>
      </c>
      <c r="L55" s="298">
        <f t="shared" si="20"/>
        <v>953636</v>
      </c>
    </row>
    <row r="56" spans="1:27" s="161" customFormat="1" ht="18" customHeight="1" x14ac:dyDescent="0.2">
      <c r="A56" s="299"/>
      <c r="B56" s="301"/>
      <c r="C56" s="300" t="s">
        <v>38</v>
      </c>
      <c r="D56" s="621" t="s">
        <v>380</v>
      </c>
      <c r="E56" s="622"/>
      <c r="F56" s="302"/>
      <c r="G56" s="303">
        <v>978000</v>
      </c>
      <c r="H56" s="303">
        <v>0</v>
      </c>
      <c r="I56" s="303">
        <v>0</v>
      </c>
      <c r="J56" s="303">
        <f>K56-G56-H56-I56</f>
        <v>-24364</v>
      </c>
      <c r="K56" s="303">
        <v>953636</v>
      </c>
      <c r="L56" s="304">
        <v>953636</v>
      </c>
    </row>
    <row r="57" spans="1:27" s="161" customFormat="1" ht="18" customHeight="1" thickBot="1" x14ac:dyDescent="0.25">
      <c r="A57" s="152"/>
      <c r="B57" s="630" t="s">
        <v>374</v>
      </c>
      <c r="C57" s="631"/>
      <c r="D57" s="631"/>
      <c r="E57" s="599"/>
      <c r="F57" s="305" t="s">
        <v>306</v>
      </c>
      <c r="G57" s="306">
        <f t="shared" ref="G57:L57" si="21">G53+G55</f>
        <v>978000</v>
      </c>
      <c r="H57" s="306">
        <f t="shared" si="21"/>
        <v>359150</v>
      </c>
      <c r="I57" s="306">
        <f t="shared" si="21"/>
        <v>0</v>
      </c>
      <c r="J57" s="306">
        <f t="shared" si="21"/>
        <v>-24364</v>
      </c>
      <c r="K57" s="306">
        <f t="shared" si="21"/>
        <v>1312786</v>
      </c>
      <c r="L57" s="307">
        <f t="shared" si="21"/>
        <v>1312786</v>
      </c>
    </row>
    <row r="58" spans="1:27" ht="18" customHeight="1" thickBot="1" x14ac:dyDescent="0.25">
      <c r="A58" s="604" t="s">
        <v>310</v>
      </c>
      <c r="B58" s="646"/>
      <c r="C58" s="646"/>
      <c r="D58" s="646"/>
      <c r="E58" s="605"/>
      <c r="F58" s="36"/>
      <c r="G58" s="288">
        <f t="shared" ref="G58:L58" si="22">G37+G51+G57</f>
        <v>55928334</v>
      </c>
      <c r="H58" s="288">
        <f t="shared" si="22"/>
        <v>359150</v>
      </c>
      <c r="I58" s="288">
        <f t="shared" si="22"/>
        <v>33423416</v>
      </c>
      <c r="J58" s="501">
        <f t="shared" si="22"/>
        <v>-34567775</v>
      </c>
      <c r="K58" s="501">
        <f t="shared" si="22"/>
        <v>55143125</v>
      </c>
      <c r="L58" s="502">
        <f t="shared" si="22"/>
        <v>55143125</v>
      </c>
      <c r="N58" s="276"/>
      <c r="V58" s="8"/>
      <c r="W58" s="8"/>
      <c r="Y58" s="8"/>
      <c r="Z58" s="8"/>
      <c r="AA58" s="8"/>
    </row>
    <row r="59" spans="1:27" ht="15" customHeight="1" x14ac:dyDescent="0.2">
      <c r="V59" s="8"/>
      <c r="W59" s="8"/>
      <c r="X59" s="8"/>
      <c r="Y59" s="8"/>
      <c r="Z59" s="8"/>
      <c r="AA59" s="8"/>
    </row>
    <row r="60" spans="1:27" ht="15" customHeight="1" x14ac:dyDescent="0.2">
      <c r="H60" s="416"/>
      <c r="I60" s="416"/>
      <c r="J60" s="416"/>
      <c r="K60" s="416"/>
      <c r="L60" s="416"/>
    </row>
    <row r="64" spans="1:27" ht="21" customHeight="1" x14ac:dyDescent="0.2">
      <c r="A64" s="3"/>
    </row>
    <row r="65" spans="1:1" ht="15" customHeight="1" x14ac:dyDescent="0.2">
      <c r="A65" s="3"/>
    </row>
  </sheetData>
  <mergeCells count="51">
    <mergeCell ref="A58:E58"/>
    <mergeCell ref="A1:L1"/>
    <mergeCell ref="A2:L2"/>
    <mergeCell ref="A4:E4"/>
    <mergeCell ref="D12:E12"/>
    <mergeCell ref="C21:C22"/>
    <mergeCell ref="D21:E21"/>
    <mergeCell ref="A5:A34"/>
    <mergeCell ref="B5:G5"/>
    <mergeCell ref="B6:B8"/>
    <mergeCell ref="C6:E6"/>
    <mergeCell ref="D7:E7"/>
    <mergeCell ref="C9:E9"/>
    <mergeCell ref="D10:E10"/>
    <mergeCell ref="D27:E27"/>
    <mergeCell ref="D8:E8"/>
    <mergeCell ref="B9:B22"/>
    <mergeCell ref="C14:C15"/>
    <mergeCell ref="D14:E14"/>
    <mergeCell ref="C25:C26"/>
    <mergeCell ref="C12:C13"/>
    <mergeCell ref="A38:A44"/>
    <mergeCell ref="B38:G38"/>
    <mergeCell ref="B39:B44"/>
    <mergeCell ref="C39:E39"/>
    <mergeCell ref="D40:E40"/>
    <mergeCell ref="C42:C44"/>
    <mergeCell ref="D42:E42"/>
    <mergeCell ref="A35:A37"/>
    <mergeCell ref="C35:E35"/>
    <mergeCell ref="B37:E37"/>
    <mergeCell ref="B23:B34"/>
    <mergeCell ref="C23:E23"/>
    <mergeCell ref="D24:E24"/>
    <mergeCell ref="C27:C32"/>
    <mergeCell ref="D33:E33"/>
    <mergeCell ref="D34:E34"/>
    <mergeCell ref="C36:E36"/>
    <mergeCell ref="C53:E53"/>
    <mergeCell ref="C55:E55"/>
    <mergeCell ref="B57:E57"/>
    <mergeCell ref="D54:E54"/>
    <mergeCell ref="D56:E56"/>
    <mergeCell ref="A46:A51"/>
    <mergeCell ref="B46:B47"/>
    <mergeCell ref="C46:E46"/>
    <mergeCell ref="D47:E47"/>
    <mergeCell ref="C49:E49"/>
    <mergeCell ref="B51:E51"/>
    <mergeCell ref="C50:E50"/>
    <mergeCell ref="D48:E48"/>
  </mergeCells>
  <phoneticPr fontId="6" type="noConversion"/>
  <printOptions horizontalCentered="1"/>
  <pageMargins left="0.59055118110236227" right="0.59055118110236227" top="0.43307086614173229" bottom="0.39370078740157483" header="0.23622047244094491" footer="0.19685039370078741"/>
  <pageSetup paperSize="9" scale="61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topLeftCell="A4" zoomScaleNormal="100" workbookViewId="0">
      <selection activeCell="C31" sqref="C31"/>
    </sheetView>
  </sheetViews>
  <sheetFormatPr defaultColWidth="8.7109375" defaultRowHeight="12.75" x14ac:dyDescent="0.2"/>
  <cols>
    <col min="1" max="1" width="7" customWidth="1"/>
    <col min="2" max="2" width="35.140625" bestFit="1" customWidth="1"/>
    <col min="3" max="3" width="14.28515625" customWidth="1"/>
    <col min="4" max="4" width="13.140625" customWidth="1"/>
    <col min="5" max="5" width="13.5703125" customWidth="1"/>
    <col min="6" max="9" width="10.28515625" customWidth="1"/>
    <col min="10" max="10" width="17.28515625" customWidth="1"/>
  </cols>
  <sheetData>
    <row r="1" spans="1:10" ht="13.5" thickBot="1" x14ac:dyDescent="0.25"/>
    <row r="2" spans="1:10" ht="18.75" customHeight="1" x14ac:dyDescent="0.2">
      <c r="A2" s="653" t="s">
        <v>79</v>
      </c>
      <c r="B2" s="655" t="s">
        <v>384</v>
      </c>
      <c r="C2" s="655" t="s">
        <v>385</v>
      </c>
      <c r="D2" s="655" t="s">
        <v>386</v>
      </c>
      <c r="E2" s="655" t="s">
        <v>387</v>
      </c>
      <c r="F2" s="657" t="s">
        <v>388</v>
      </c>
      <c r="G2" s="658"/>
      <c r="H2" s="658"/>
      <c r="I2" s="659"/>
      <c r="J2" s="651" t="s">
        <v>403</v>
      </c>
    </row>
    <row r="3" spans="1:10" ht="24.75" thickBot="1" x14ac:dyDescent="0.25">
      <c r="A3" s="654"/>
      <c r="B3" s="656"/>
      <c r="C3" s="656"/>
      <c r="D3" s="656"/>
      <c r="E3" s="656"/>
      <c r="F3" s="341" t="s">
        <v>389</v>
      </c>
      <c r="G3" s="341" t="s">
        <v>390</v>
      </c>
      <c r="H3" s="341" t="s">
        <v>391</v>
      </c>
      <c r="I3" s="342" t="s">
        <v>392</v>
      </c>
      <c r="J3" s="652"/>
    </row>
    <row r="4" spans="1:10" ht="13.5" thickBot="1" x14ac:dyDescent="0.25">
      <c r="A4" s="319">
        <v>1</v>
      </c>
      <c r="B4" s="320">
        <v>2</v>
      </c>
      <c r="C4" s="320">
        <v>3</v>
      </c>
      <c r="D4" s="320">
        <v>4</v>
      </c>
      <c r="E4" s="320">
        <v>5</v>
      </c>
      <c r="F4" s="320">
        <v>6</v>
      </c>
      <c r="G4" s="320">
        <v>7</v>
      </c>
      <c r="H4" s="320">
        <v>8</v>
      </c>
      <c r="I4" s="321">
        <v>9</v>
      </c>
      <c r="J4" s="322" t="s">
        <v>393</v>
      </c>
    </row>
    <row r="5" spans="1:10" ht="21.75" x14ac:dyDescent="0.2">
      <c r="A5" s="323" t="s">
        <v>38</v>
      </c>
      <c r="B5" s="324" t="s">
        <v>394</v>
      </c>
      <c r="C5" s="344"/>
      <c r="D5" s="325"/>
      <c r="E5" s="325"/>
      <c r="F5" s="325"/>
      <c r="G5" s="325"/>
      <c r="H5" s="325"/>
      <c r="I5" s="326"/>
      <c r="J5" s="327"/>
    </row>
    <row r="6" spans="1:10" x14ac:dyDescent="0.2">
      <c r="A6" s="328" t="s">
        <v>39</v>
      </c>
      <c r="B6" s="329" t="s">
        <v>395</v>
      </c>
      <c r="C6" s="345"/>
      <c r="D6" s="329"/>
      <c r="E6" s="329"/>
      <c r="F6" s="329"/>
      <c r="G6" s="329"/>
      <c r="H6" s="329"/>
      <c r="I6" s="330"/>
      <c r="J6" s="331"/>
    </row>
    <row r="7" spans="1:10" x14ac:dyDescent="0.2">
      <c r="A7" s="328" t="s">
        <v>40</v>
      </c>
      <c r="B7" s="329" t="s">
        <v>395</v>
      </c>
      <c r="C7" s="345"/>
      <c r="D7" s="329"/>
      <c r="E7" s="329"/>
      <c r="F7" s="329"/>
      <c r="G7" s="329"/>
      <c r="H7" s="329"/>
      <c r="I7" s="330"/>
      <c r="J7" s="331"/>
    </row>
    <row r="8" spans="1:10" ht="21.75" x14ac:dyDescent="0.2">
      <c r="A8" s="328" t="s">
        <v>41</v>
      </c>
      <c r="B8" s="332" t="s">
        <v>396</v>
      </c>
      <c r="C8" s="346"/>
      <c r="D8" s="329"/>
      <c r="E8" s="329"/>
      <c r="F8" s="329"/>
      <c r="G8" s="329"/>
      <c r="H8" s="329"/>
      <c r="I8" s="330"/>
      <c r="J8" s="331"/>
    </row>
    <row r="9" spans="1:10" x14ac:dyDescent="0.2">
      <c r="A9" s="328" t="s">
        <v>42</v>
      </c>
      <c r="B9" s="329" t="s">
        <v>397</v>
      </c>
      <c r="C9" s="345">
        <v>2020</v>
      </c>
      <c r="D9" s="329"/>
      <c r="E9" s="329">
        <v>0</v>
      </c>
      <c r="F9" s="329">
        <v>0</v>
      </c>
      <c r="G9" s="329">
        <v>0</v>
      </c>
      <c r="H9" s="329">
        <v>0</v>
      </c>
      <c r="I9" s="330">
        <v>0</v>
      </c>
      <c r="J9" s="331"/>
    </row>
    <row r="10" spans="1:10" x14ac:dyDescent="0.2">
      <c r="A10" s="328" t="s">
        <v>47</v>
      </c>
      <c r="B10" s="329" t="s">
        <v>398</v>
      </c>
      <c r="C10" s="345">
        <v>2020</v>
      </c>
      <c r="D10" s="329"/>
      <c r="E10" s="329"/>
      <c r="F10" s="329"/>
      <c r="G10" s="329"/>
      <c r="H10" s="329"/>
      <c r="I10" s="330"/>
      <c r="J10" s="331"/>
    </row>
    <row r="11" spans="1:10" x14ac:dyDescent="0.2">
      <c r="A11" s="328" t="s">
        <v>49</v>
      </c>
      <c r="B11" s="333" t="s">
        <v>399</v>
      </c>
      <c r="C11" s="346"/>
      <c r="D11" s="329"/>
      <c r="E11" s="329"/>
      <c r="F11" s="329"/>
      <c r="G11" s="329"/>
      <c r="H11" s="329"/>
      <c r="I11" s="330"/>
      <c r="J11" s="331"/>
    </row>
    <row r="12" spans="1:10" x14ac:dyDescent="0.2">
      <c r="A12" s="328" t="s">
        <v>50</v>
      </c>
      <c r="B12" s="329"/>
      <c r="C12" s="345"/>
      <c r="D12" s="329"/>
      <c r="E12" s="329"/>
      <c r="F12" s="329"/>
      <c r="G12" s="329"/>
      <c r="H12" s="329"/>
      <c r="I12" s="330"/>
      <c r="J12" s="331"/>
    </row>
    <row r="13" spans="1:10" x14ac:dyDescent="0.2">
      <c r="A13" s="328"/>
      <c r="B13" s="329"/>
      <c r="C13" s="345"/>
      <c r="D13" s="329"/>
      <c r="E13" s="329"/>
      <c r="F13" s="329"/>
      <c r="G13" s="329"/>
      <c r="H13" s="329"/>
      <c r="I13" s="330"/>
      <c r="J13" s="331"/>
    </row>
    <row r="14" spans="1:10" x14ac:dyDescent="0.2">
      <c r="A14" s="328" t="s">
        <v>51</v>
      </c>
      <c r="B14" s="333" t="s">
        <v>400</v>
      </c>
      <c r="C14" s="346"/>
      <c r="D14" s="329"/>
      <c r="E14" s="329"/>
      <c r="F14" s="329"/>
      <c r="G14" s="329"/>
      <c r="H14" s="329"/>
      <c r="I14" s="330"/>
      <c r="J14" s="331"/>
    </row>
    <row r="15" spans="1:10" x14ac:dyDescent="0.2">
      <c r="A15" s="328" t="s">
        <v>52</v>
      </c>
      <c r="B15" s="329"/>
      <c r="C15" s="345">
        <v>2020</v>
      </c>
      <c r="D15" s="329"/>
      <c r="E15" s="329"/>
      <c r="F15" s="329"/>
      <c r="G15" s="329"/>
      <c r="H15" s="329"/>
      <c r="I15" s="330"/>
      <c r="J15" s="331"/>
    </row>
    <row r="16" spans="1:10" x14ac:dyDescent="0.2">
      <c r="A16" s="334" t="s">
        <v>24</v>
      </c>
      <c r="B16" s="333" t="s">
        <v>401</v>
      </c>
      <c r="C16" s="346"/>
      <c r="D16" s="329"/>
      <c r="E16" s="329"/>
      <c r="F16" s="329"/>
      <c r="G16" s="329"/>
      <c r="H16" s="329"/>
      <c r="I16" s="330"/>
      <c r="J16" s="331"/>
    </row>
    <row r="17" spans="1:10" x14ac:dyDescent="0.2">
      <c r="A17" s="334" t="s">
        <v>25</v>
      </c>
      <c r="B17" s="329"/>
      <c r="C17" s="345"/>
      <c r="D17" s="329"/>
      <c r="E17" s="329"/>
      <c r="F17" s="329"/>
      <c r="G17" s="329"/>
      <c r="H17" s="329"/>
      <c r="I17" s="330"/>
      <c r="J17" s="331"/>
    </row>
    <row r="18" spans="1:10" ht="13.5" thickBot="1" x14ac:dyDescent="0.25">
      <c r="A18" s="334" t="s">
        <v>30</v>
      </c>
      <c r="B18" s="335" t="s">
        <v>395</v>
      </c>
      <c r="C18" s="347"/>
      <c r="D18" s="335"/>
      <c r="E18" s="335"/>
      <c r="F18" s="335"/>
      <c r="G18" s="335"/>
      <c r="H18" s="335"/>
      <c r="I18" s="336"/>
      <c r="J18" s="337"/>
    </row>
    <row r="19" spans="1:10" ht="13.5" thickBot="1" x14ac:dyDescent="0.25">
      <c r="A19" s="319" t="s">
        <v>26</v>
      </c>
      <c r="B19" s="343" t="s">
        <v>402</v>
      </c>
      <c r="C19" s="348"/>
      <c r="D19" s="338"/>
      <c r="E19" s="338"/>
      <c r="F19" s="338"/>
      <c r="G19" s="338"/>
      <c r="H19" s="338"/>
      <c r="I19" s="339"/>
      <c r="J19" s="340"/>
    </row>
  </sheetData>
  <mergeCells count="7">
    <mergeCell ref="J2:J3"/>
    <mergeCell ref="A2:A3"/>
    <mergeCell ref="B2:B3"/>
    <mergeCell ref="C2:C3"/>
    <mergeCell ref="D2:D3"/>
    <mergeCell ref="E2:E3"/>
    <mergeCell ref="F2:I2"/>
  </mergeCells>
  <pageMargins left="0.7" right="0.7" top="0.75" bottom="0.75" header="0.3" footer="0.3"/>
  <pageSetup paperSize="9" scale="94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DPC920</cp:lastModifiedBy>
  <cp:lastPrinted>2021-03-08T07:33:35Z</cp:lastPrinted>
  <dcterms:created xsi:type="dcterms:W3CDTF">2005-12-27T13:42:28Z</dcterms:created>
  <dcterms:modified xsi:type="dcterms:W3CDTF">2021-03-08T07:40:07Z</dcterms:modified>
</cp:coreProperties>
</file>